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4240" windowHeight="13140" tabRatio="831" activeTab="1"/>
  </bookViews>
  <sheets>
    <sheet name="Sum, scheme" sheetId="20" r:id="rId1"/>
    <sheet name="Sum , MPA" sheetId="39" r:id="rId2"/>
    <sheet name="Summary " sheetId="48" r:id="rId3"/>
    <sheet name="1.1" sheetId="47" r:id="rId4"/>
    <sheet name="1.2" sheetId="46" r:id="rId5"/>
    <sheet name="2.1" sheetId="45" r:id="rId6"/>
    <sheet name="2.2" sheetId="44" r:id="rId7"/>
    <sheet name="2.3" sheetId="43" r:id="rId8"/>
    <sheet name="3.1" sheetId="42" r:id="rId9"/>
    <sheet name="3.2" sheetId="41" r:id="rId10"/>
    <sheet name="4.1 " sheetId="24" r:id="rId11"/>
    <sheet name="4.2" sheetId="25" r:id="rId12"/>
    <sheet name="4.3 " sheetId="26" r:id="rId13"/>
  </sheets>
  <definedNames>
    <definedName name="_xlnm._FilterDatabase" localSheetId="9" hidden="1">'3.2'!$A$10:$BD$10</definedName>
    <definedName name="_xlnm.Print_Titles" localSheetId="1">'Sum , MPA'!$A:$C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43"/>
  <c r="I43"/>
  <c r="P43"/>
  <c r="P42"/>
  <c r="H42"/>
  <c r="I42"/>
  <c r="AS54" l="1"/>
  <c r="BK52" i="45"/>
  <c r="G52" s="1"/>
  <c r="T52" s="1"/>
  <c r="X52" s="1"/>
  <c r="BJ52"/>
  <c r="BH52"/>
  <c r="BF52"/>
  <c r="BD52"/>
  <c r="BB52"/>
  <c r="AZ52"/>
  <c r="AX52"/>
  <c r="AV52"/>
  <c r="AT52"/>
  <c r="AR52"/>
  <c r="AP52"/>
  <c r="AN52"/>
  <c r="AL52"/>
  <c r="AJ52"/>
  <c r="AH52"/>
  <c r="AF52"/>
  <c r="AD52"/>
  <c r="AB52"/>
  <c r="BK50"/>
  <c r="G50" s="1"/>
  <c r="T50" s="1"/>
  <c r="X50" s="1"/>
  <c r="BJ50"/>
  <c r="BH50"/>
  <c r="BF50"/>
  <c r="BD50"/>
  <c r="BB50"/>
  <c r="AZ50"/>
  <c r="AX50"/>
  <c r="AV50"/>
  <c r="AT50"/>
  <c r="AR50"/>
  <c r="AP50"/>
  <c r="AN50"/>
  <c r="AL50"/>
  <c r="AJ50"/>
  <c r="AH50"/>
  <c r="AF50"/>
  <c r="AD50"/>
  <c r="AB50"/>
  <c r="BK51"/>
  <c r="G51" s="1"/>
  <c r="BJ51"/>
  <c r="BH51"/>
  <c r="BF51"/>
  <c r="BD51"/>
  <c r="BB51"/>
  <c r="AZ51"/>
  <c r="AX51"/>
  <c r="AV51"/>
  <c r="AT51"/>
  <c r="AR51"/>
  <c r="AP51"/>
  <c r="AN51"/>
  <c r="AL51"/>
  <c r="AJ51"/>
  <c r="AH51"/>
  <c r="AF51"/>
  <c r="AD51"/>
  <c r="AB51"/>
  <c r="H55" i="43"/>
  <c r="J55"/>
  <c r="K55"/>
  <c r="L55"/>
  <c r="M55"/>
  <c r="N55"/>
  <c r="O55"/>
  <c r="Q55"/>
  <c r="Z55"/>
  <c r="AB55"/>
  <c r="AD55"/>
  <c r="AF55"/>
  <c r="AH55"/>
  <c r="AJ55"/>
  <c r="AL55"/>
  <c r="AN55"/>
  <c r="AP55"/>
  <c r="AR55"/>
  <c r="AT55"/>
  <c r="AV55"/>
  <c r="AX55"/>
  <c r="AZ55"/>
  <c r="BB55"/>
  <c r="BD55"/>
  <c r="BF55"/>
  <c r="BL55"/>
  <c r="BM55"/>
  <c r="BN55"/>
  <c r="BP55"/>
  <c r="BL51"/>
  <c r="BO51"/>
  <c r="BQ51"/>
  <c r="BS51"/>
  <c r="BT51"/>
  <c r="G43"/>
  <c r="BN43" s="1"/>
  <c r="BR43" s="1"/>
  <c r="BV43" s="1"/>
  <c r="BK43"/>
  <c r="BJ42"/>
  <c r="F42" s="1"/>
  <c r="BJ43"/>
  <c r="F43" s="1"/>
  <c r="BJ54"/>
  <c r="BA54"/>
  <c r="AO54"/>
  <c r="BK54" s="1"/>
  <c r="G54" s="1"/>
  <c r="AC42"/>
  <c r="AC43"/>
  <c r="R43" l="1"/>
  <c r="S43"/>
  <c r="S42"/>
  <c r="R42"/>
  <c r="W43"/>
  <c r="V43"/>
  <c r="BK42"/>
  <c r="BO54"/>
  <c r="F54"/>
  <c r="S52" i="45"/>
  <c r="W52" s="1"/>
  <c r="V52"/>
  <c r="Z52" s="1"/>
  <c r="H52"/>
  <c r="BO52" s="1"/>
  <c r="BS52" s="1"/>
  <c r="BW52" s="1"/>
  <c r="BL52"/>
  <c r="V50"/>
  <c r="Z50" s="1"/>
  <c r="U52"/>
  <c r="Y52" s="1"/>
  <c r="BL50"/>
  <c r="T51"/>
  <c r="X51" s="1"/>
  <c r="V51"/>
  <c r="Z51" s="1"/>
  <c r="S51"/>
  <c r="W51" s="1"/>
  <c r="BL51"/>
  <c r="S50"/>
  <c r="W50" s="1"/>
  <c r="H50"/>
  <c r="U50"/>
  <c r="Y50" s="1"/>
  <c r="H51"/>
  <c r="U51"/>
  <c r="Y51" s="1"/>
  <c r="V54" i="43"/>
  <c r="I54"/>
  <c r="G42" l="1"/>
  <c r="BR54"/>
  <c r="R54"/>
  <c r="R55" s="1"/>
  <c r="R52" i="45"/>
  <c r="R50"/>
  <c r="BO50"/>
  <c r="BS50" s="1"/>
  <c r="BW50" s="1"/>
  <c r="R51"/>
  <c r="BO51"/>
  <c r="BS51" s="1"/>
  <c r="BW51" s="1"/>
  <c r="W42" i="43" l="1"/>
  <c r="V42"/>
  <c r="BN42"/>
  <c r="BR55"/>
  <c r="BV54"/>
  <c r="AM43"/>
  <c r="AO43"/>
  <c r="AM42"/>
  <c r="AG43"/>
  <c r="AW43"/>
  <c r="AE43"/>
  <c r="BG42"/>
  <c r="BE42"/>
  <c r="BC42"/>
  <c r="BA42"/>
  <c r="AY42"/>
  <c r="AW42"/>
  <c r="AO42"/>
  <c r="AQ42"/>
  <c r="AS42"/>
  <c r="AU42"/>
  <c r="AK42"/>
  <c r="AI42"/>
  <c r="AG42"/>
  <c r="AE42"/>
  <c r="AA42"/>
  <c r="BC37" i="47"/>
  <c r="AQ49" i="43"/>
  <c r="AW49"/>
  <c r="AC49"/>
  <c r="AY49"/>
  <c r="AM49"/>
  <c r="BK45" i="45"/>
  <c r="G45" s="1"/>
  <c r="V45" s="1"/>
  <c r="Z45" s="1"/>
  <c r="BB45"/>
  <c r="BH45"/>
  <c r="BF45"/>
  <c r="BD45"/>
  <c r="AH45"/>
  <c r="AF45"/>
  <c r="W45"/>
  <c r="AB45"/>
  <c r="AD45"/>
  <c r="AP45"/>
  <c r="AR45"/>
  <c r="AT45"/>
  <c r="AV45"/>
  <c r="AX45"/>
  <c r="AZ45"/>
  <c r="BJ45"/>
  <c r="BK60"/>
  <c r="G60" s="1"/>
  <c r="BF60"/>
  <c r="BB60"/>
  <c r="AZ60"/>
  <c r="AR60"/>
  <c r="AF60"/>
  <c r="AB60"/>
  <c r="AD60"/>
  <c r="AH60"/>
  <c r="AJ60"/>
  <c r="AL60"/>
  <c r="AN60"/>
  <c r="AP60"/>
  <c r="AT60"/>
  <c r="AV60"/>
  <c r="AX60"/>
  <c r="BD60"/>
  <c r="BH60"/>
  <c r="BJ60"/>
  <c r="AI28"/>
  <c r="AK19" i="25"/>
  <c r="AO19"/>
  <c r="AU19"/>
  <c r="AW19"/>
  <c r="AY19"/>
  <c r="BC19"/>
  <c r="BE19"/>
  <c r="BG19"/>
  <c r="BJ19"/>
  <c r="F19" s="1"/>
  <c r="BA19"/>
  <c r="AS19"/>
  <c r="AQ19"/>
  <c r="AM19"/>
  <c r="AG19"/>
  <c r="AI19"/>
  <c r="AC19"/>
  <c r="AE19"/>
  <c r="AA19"/>
  <c r="R19" l="1"/>
  <c r="V19" s="1"/>
  <c r="G19"/>
  <c r="BR42" i="43"/>
  <c r="BK19" i="25"/>
  <c r="BP19" s="1"/>
  <c r="T60" i="45"/>
  <c r="X60" s="1"/>
  <c r="U60"/>
  <c r="Y60" s="1"/>
  <c r="V60"/>
  <c r="Z60" s="1"/>
  <c r="H60"/>
  <c r="BO60" s="1"/>
  <c r="BS60" s="1"/>
  <c r="BW60" s="1"/>
  <c r="H45"/>
  <c r="BL45"/>
  <c r="U45"/>
  <c r="Y45" s="1"/>
  <c r="T45"/>
  <c r="X45" s="1"/>
  <c r="BL60"/>
  <c r="S60"/>
  <c r="W60" s="1"/>
  <c r="AK28" i="25"/>
  <c r="AH13" i="26"/>
  <c r="AR13"/>
  <c r="BF13"/>
  <c r="AN29" i="42"/>
  <c r="L20" i="48"/>
  <c r="K20"/>
  <c r="BE10" i="47"/>
  <c r="BV42" i="43" l="1"/>
  <c r="N60" i="45"/>
  <c r="BT19" i="25"/>
  <c r="H19"/>
  <c r="I19"/>
  <c r="N45" i="45"/>
  <c r="BO45"/>
  <c r="BS45" s="1"/>
  <c r="BW45" s="1"/>
  <c r="BJ63" i="46"/>
  <c r="BK63"/>
  <c r="BN63"/>
  <c r="BO63"/>
  <c r="BQ63"/>
  <c r="BR63"/>
  <c r="BS63"/>
  <c r="BJ54"/>
  <c r="BK54"/>
  <c r="BL54"/>
  <c r="BN54"/>
  <c r="BO54"/>
  <c r="BQ54"/>
  <c r="BR54"/>
  <c r="BS54"/>
  <c r="BJ60"/>
  <c r="BK60"/>
  <c r="BL60"/>
  <c r="BM60"/>
  <c r="BO60"/>
  <c r="BQ60"/>
  <c r="BR60"/>
  <c r="BJ51"/>
  <c r="BK51"/>
  <c r="BN51"/>
  <c r="BO51"/>
  <c r="BQ51"/>
  <c r="BR51"/>
  <c r="BS51"/>
  <c r="BJ41"/>
  <c r="BJ64" s="1"/>
  <c r="BK41"/>
  <c r="BL41"/>
  <c r="BN41"/>
  <c r="BO41"/>
  <c r="BQ41"/>
  <c r="BR41"/>
  <c r="BS41"/>
  <c r="BJ34"/>
  <c r="BK34"/>
  <c r="BL34"/>
  <c r="BN34"/>
  <c r="BO34"/>
  <c r="BQ34"/>
  <c r="BR34"/>
  <c r="BS34"/>
  <c r="BJ31"/>
  <c r="BK31"/>
  <c r="BJ24"/>
  <c r="BK24"/>
  <c r="BL24"/>
  <c r="BN24"/>
  <c r="BO24"/>
  <c r="BQ24"/>
  <c r="BR24"/>
  <c r="BJ16"/>
  <c r="BK16"/>
  <c r="BL16"/>
  <c r="BM16"/>
  <c r="BO16"/>
  <c r="BQ16"/>
  <c r="BR16"/>
  <c r="BS16"/>
  <c r="BJ14"/>
  <c r="BK14"/>
  <c r="BK64" s="1"/>
  <c r="BL14"/>
  <c r="BN14"/>
  <c r="BO14"/>
  <c r="BQ14"/>
  <c r="BR14"/>
  <c r="H63"/>
  <c r="I63"/>
  <c r="J63"/>
  <c r="K63"/>
  <c r="L63"/>
  <c r="M63"/>
  <c r="N63"/>
  <c r="O63"/>
  <c r="X63"/>
  <c r="Z63"/>
  <c r="AB63"/>
  <c r="AD63"/>
  <c r="AF63"/>
  <c r="AH63"/>
  <c r="AJ63"/>
  <c r="AL63"/>
  <c r="AN63"/>
  <c r="AP63"/>
  <c r="AR63"/>
  <c r="AT63"/>
  <c r="AV63"/>
  <c r="AX63"/>
  <c r="AZ63"/>
  <c r="BB63"/>
  <c r="BD63"/>
  <c r="BF63"/>
  <c r="BL40" i="47"/>
  <c r="BM40"/>
  <c r="BL35"/>
  <c r="BM35"/>
  <c r="BP35"/>
  <c r="BM27"/>
  <c r="BN27"/>
  <c r="BQ27"/>
  <c r="BS27"/>
  <c r="BT27"/>
  <c r="BU27"/>
  <c r="BM21"/>
  <c r="BL15"/>
  <c r="BM15"/>
  <c r="BN15"/>
  <c r="BP15"/>
  <c r="BQ15"/>
  <c r="BS15"/>
  <c r="BT15"/>
  <c r="AW30" i="44"/>
  <c r="BM83" i="45"/>
  <c r="BN83"/>
  <c r="BO83"/>
  <c r="BP83"/>
  <c r="BR83"/>
  <c r="BT83"/>
  <c r="BU83"/>
  <c r="BV83"/>
  <c r="BM63"/>
  <c r="BN63"/>
  <c r="BP63"/>
  <c r="BR63"/>
  <c r="BT63"/>
  <c r="BU63"/>
  <c r="BV63"/>
  <c r="BM42"/>
  <c r="BN42"/>
  <c r="BP42"/>
  <c r="BQ42"/>
  <c r="BR42"/>
  <c r="BT42"/>
  <c r="BU42"/>
  <c r="BV42"/>
  <c r="BM35"/>
  <c r="BN35"/>
  <c r="BP35"/>
  <c r="BQ35"/>
  <c r="BR35"/>
  <c r="BT35"/>
  <c r="BU35"/>
  <c r="BV35"/>
  <c r="BM31"/>
  <c r="BN31"/>
  <c r="BP31"/>
  <c r="BR31"/>
  <c r="BT31"/>
  <c r="BU31"/>
  <c r="BV31"/>
  <c r="BN63" i="44"/>
  <c r="BN81"/>
  <c r="BO81"/>
  <c r="BQ81"/>
  <c r="BS81"/>
  <c r="BT81"/>
  <c r="BU81"/>
  <c r="BO63"/>
  <c r="BQ63"/>
  <c r="BS63"/>
  <c r="BT63"/>
  <c r="BU63"/>
  <c r="BQ39"/>
  <c r="BS39"/>
  <c r="BT39"/>
  <c r="BU39"/>
  <c r="BM39"/>
  <c r="BN39"/>
  <c r="BO39"/>
  <c r="BU22"/>
  <c r="BU23"/>
  <c r="BU31"/>
  <c r="BU32"/>
  <c r="BQ33"/>
  <c r="BR24"/>
  <c r="BR25"/>
  <c r="BR26"/>
  <c r="BR27"/>
  <c r="BR28"/>
  <c r="BR29"/>
  <c r="BR30"/>
  <c r="BR31"/>
  <c r="BV31" s="1"/>
  <c r="BH14" i="43"/>
  <c r="BL40"/>
  <c r="BM40"/>
  <c r="BN40"/>
  <c r="BO40"/>
  <c r="BQ40"/>
  <c r="BS40"/>
  <c r="BT40"/>
  <c r="BU14"/>
  <c r="BV28" i="42"/>
  <c r="BV29"/>
  <c r="BV30"/>
  <c r="BM41"/>
  <c r="BM42" s="1"/>
  <c r="BN41"/>
  <c r="BN42" s="1"/>
  <c r="BM35"/>
  <c r="BN35"/>
  <c r="BP35"/>
  <c r="BR35"/>
  <c r="BT35"/>
  <c r="BU35"/>
  <c r="BM31"/>
  <c r="BN31"/>
  <c r="BR31"/>
  <c r="BT31"/>
  <c r="BU31"/>
  <c r="BM25"/>
  <c r="BN25"/>
  <c r="BP25"/>
  <c r="BQ25"/>
  <c r="BR25"/>
  <c r="BT25"/>
  <c r="BU25"/>
  <c r="BM18"/>
  <c r="BN18"/>
  <c r="BP18"/>
  <c r="BQ18"/>
  <c r="BR18"/>
  <c r="BT18"/>
  <c r="BU18"/>
  <c r="BM14"/>
  <c r="BN14"/>
  <c r="BP14"/>
  <c r="BQ14"/>
  <c r="BR14"/>
  <c r="BT14"/>
  <c r="BU14"/>
  <c r="BM35" i="26"/>
  <c r="K34"/>
  <c r="L34"/>
  <c r="M34"/>
  <c r="N34"/>
  <c r="O34"/>
  <c r="P34"/>
  <c r="Q34"/>
  <c r="R34"/>
  <c r="S34"/>
  <c r="U34"/>
  <c r="V34"/>
  <c r="AA34"/>
  <c r="AC34"/>
  <c r="AE34"/>
  <c r="AG34"/>
  <c r="AI34"/>
  <c r="AK34"/>
  <c r="AL34"/>
  <c r="AM34"/>
  <c r="AO34"/>
  <c r="AP34"/>
  <c r="AQ34"/>
  <c r="AS34"/>
  <c r="AU34"/>
  <c r="AV34"/>
  <c r="AW34"/>
  <c r="AX34"/>
  <c r="AY34"/>
  <c r="AZ34"/>
  <c r="BA34"/>
  <c r="BC34"/>
  <c r="BD34"/>
  <c r="BE34"/>
  <c r="BF34"/>
  <c r="BG34"/>
  <c r="BH34"/>
  <c r="BI34"/>
  <c r="BN34"/>
  <c r="K27"/>
  <c r="L27"/>
  <c r="M27"/>
  <c r="N27"/>
  <c r="O27"/>
  <c r="P27"/>
  <c r="Q27"/>
  <c r="R27"/>
  <c r="S27"/>
  <c r="T27"/>
  <c r="U27"/>
  <c r="AA27"/>
  <c r="AC27"/>
  <c r="AE27"/>
  <c r="AG27"/>
  <c r="AI27"/>
  <c r="AK27"/>
  <c r="AL27"/>
  <c r="AM27"/>
  <c r="AO27"/>
  <c r="AP27"/>
  <c r="AQ27"/>
  <c r="AS27"/>
  <c r="AU27"/>
  <c r="AV27"/>
  <c r="AW27"/>
  <c r="AX27"/>
  <c r="AY27"/>
  <c r="AZ27"/>
  <c r="BA27"/>
  <c r="BC27"/>
  <c r="BD27"/>
  <c r="BE27"/>
  <c r="BF27"/>
  <c r="BG27"/>
  <c r="BH27"/>
  <c r="BI27"/>
  <c r="BN27"/>
  <c r="BN35" s="1"/>
  <c r="BO27"/>
  <c r="BQ27"/>
  <c r="BR27"/>
  <c r="BT27"/>
  <c r="BU27"/>
  <c r="K22"/>
  <c r="L22"/>
  <c r="M22"/>
  <c r="N22"/>
  <c r="O22"/>
  <c r="P22"/>
  <c r="Q22"/>
  <c r="R22"/>
  <c r="S22"/>
  <c r="T22"/>
  <c r="V22"/>
  <c r="AA22"/>
  <c r="AC22"/>
  <c r="AE22"/>
  <c r="AG22"/>
  <c r="AI22"/>
  <c r="AK22"/>
  <c r="AL22"/>
  <c r="AM22"/>
  <c r="AO22"/>
  <c r="AP22"/>
  <c r="AQ22"/>
  <c r="AS22"/>
  <c r="AU22"/>
  <c r="AV22"/>
  <c r="AW22"/>
  <c r="AX22"/>
  <c r="AY22"/>
  <c r="AZ22"/>
  <c r="BA22"/>
  <c r="BC22"/>
  <c r="BD22"/>
  <c r="BE22"/>
  <c r="BF22"/>
  <c r="BG22"/>
  <c r="BH22"/>
  <c r="BI22"/>
  <c r="BN22"/>
  <c r="BO22"/>
  <c r="BQ22"/>
  <c r="BR22"/>
  <c r="BT22"/>
  <c r="BU22"/>
  <c r="K18"/>
  <c r="L18"/>
  <c r="M18"/>
  <c r="N18"/>
  <c r="O18"/>
  <c r="P18"/>
  <c r="Q18"/>
  <c r="R18"/>
  <c r="AA18"/>
  <c r="AC18"/>
  <c r="AE18"/>
  <c r="AG18"/>
  <c r="AI18"/>
  <c r="AK18"/>
  <c r="AM18"/>
  <c r="AO18"/>
  <c r="AQ18"/>
  <c r="AS18"/>
  <c r="AU18"/>
  <c r="AW18"/>
  <c r="AY18"/>
  <c r="BA18"/>
  <c r="BC18"/>
  <c r="BE18"/>
  <c r="BG18"/>
  <c r="BI18"/>
  <c r="BN18"/>
  <c r="BO18"/>
  <c r="BQ18"/>
  <c r="BR18"/>
  <c r="BT18"/>
  <c r="BU18"/>
  <c r="BN14"/>
  <c r="BO14"/>
  <c r="BQ14"/>
  <c r="BR14"/>
  <c r="BT14"/>
  <c r="BU14"/>
  <c r="BK13"/>
  <c r="G13" s="1"/>
  <c r="BL86" i="24"/>
  <c r="BL87" s="1"/>
  <c r="BM86"/>
  <c r="BM87" s="1"/>
  <c r="BN86"/>
  <c r="BO86"/>
  <c r="BP86"/>
  <c r="BQ86"/>
  <c r="BS86"/>
  <c r="BU35"/>
  <c r="BU36"/>
  <c r="BU37"/>
  <c r="BU39"/>
  <c r="BU40"/>
  <c r="BU41"/>
  <c r="BU42"/>
  <c r="BU46"/>
  <c r="BL47"/>
  <c r="BM47"/>
  <c r="BR43"/>
  <c r="BU13"/>
  <c r="BU14"/>
  <c r="BU15"/>
  <c r="BU16"/>
  <c r="BU17"/>
  <c r="BU18"/>
  <c r="BU19"/>
  <c r="BU20"/>
  <c r="BU21"/>
  <c r="BU22"/>
  <c r="BU23"/>
  <c r="BO15" i="25"/>
  <c r="BP15"/>
  <c r="BQ15"/>
  <c r="BS15"/>
  <c r="BS19" s="1"/>
  <c r="BU19" s="1"/>
  <c r="BV19" s="1"/>
  <c r="BR18"/>
  <c r="BU21"/>
  <c r="BU22"/>
  <c r="BU23"/>
  <c r="BU24"/>
  <c r="BU25"/>
  <c r="BU26"/>
  <c r="BU27"/>
  <c r="BU28"/>
  <c r="BL54"/>
  <c r="BM54"/>
  <c r="BP54"/>
  <c r="BL47"/>
  <c r="BM47"/>
  <c r="BN47"/>
  <c r="BO47"/>
  <c r="BP47"/>
  <c r="BQ47"/>
  <c r="BT47"/>
  <c r="BL29"/>
  <c r="BL55" s="1"/>
  <c r="BM29"/>
  <c r="BO29"/>
  <c r="BL15"/>
  <c r="BM15"/>
  <c r="BP31" i="41"/>
  <c r="BR31"/>
  <c r="BS31"/>
  <c r="BT31"/>
  <c r="BM27"/>
  <c r="BN25"/>
  <c r="BP25"/>
  <c r="BR25"/>
  <c r="BS25"/>
  <c r="BT25"/>
  <c r="BV41" i="43"/>
  <c r="K33"/>
  <c r="M33"/>
  <c r="N33"/>
  <c r="O33"/>
  <c r="Q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L33"/>
  <c r="BM33"/>
  <c r="BN33"/>
  <c r="BO33"/>
  <c r="BQ33"/>
  <c r="BS33"/>
  <c r="BT33"/>
  <c r="H24"/>
  <c r="J24"/>
  <c r="K24"/>
  <c r="L24"/>
  <c r="M24"/>
  <c r="N24"/>
  <c r="O24"/>
  <c r="Q24"/>
  <c r="Z24"/>
  <c r="AB24"/>
  <c r="AD24"/>
  <c r="AF24"/>
  <c r="AH24"/>
  <c r="AJ24"/>
  <c r="AL24"/>
  <c r="AN24"/>
  <c r="AP24"/>
  <c r="AR24"/>
  <c r="AT24"/>
  <c r="AV24"/>
  <c r="AX24"/>
  <c r="AZ24"/>
  <c r="BA24"/>
  <c r="BB24"/>
  <c r="BD24"/>
  <c r="BF24"/>
  <c r="BH24"/>
  <c r="BL24"/>
  <c r="BM24"/>
  <c r="BN24"/>
  <c r="BO24"/>
  <c r="BQ24"/>
  <c r="BS24"/>
  <c r="BT24"/>
  <c r="H19"/>
  <c r="J19"/>
  <c r="K19"/>
  <c r="L19"/>
  <c r="M19"/>
  <c r="N19"/>
  <c r="O19"/>
  <c r="Q19"/>
  <c r="Z19"/>
  <c r="AB19"/>
  <c r="AD19"/>
  <c r="AF19"/>
  <c r="AH19"/>
  <c r="AJ19"/>
  <c r="AL19"/>
  <c r="AN19"/>
  <c r="AP19"/>
  <c r="AR19"/>
  <c r="AT19"/>
  <c r="AV19"/>
  <c r="AX19"/>
  <c r="AZ19"/>
  <c r="BA19"/>
  <c r="BB19"/>
  <c r="BD19"/>
  <c r="BF19"/>
  <c r="BH19"/>
  <c r="BL19"/>
  <c r="BM19"/>
  <c r="BN19"/>
  <c r="BO19"/>
  <c r="BQ19"/>
  <c r="BS19"/>
  <c r="BT19"/>
  <c r="J15"/>
  <c r="K15"/>
  <c r="L15"/>
  <c r="M15"/>
  <c r="N15"/>
  <c r="O15"/>
  <c r="P15"/>
  <c r="Q15"/>
  <c r="Z15"/>
  <c r="AB15"/>
  <c r="AD15"/>
  <c r="AF15"/>
  <c r="AH15"/>
  <c r="AJ15"/>
  <c r="AL15"/>
  <c r="AN15"/>
  <c r="AP15"/>
  <c r="AR15"/>
  <c r="AT15"/>
  <c r="AV15"/>
  <c r="AX15"/>
  <c r="AZ15"/>
  <c r="BB15"/>
  <c r="BD15"/>
  <c r="BF15"/>
  <c r="BH15"/>
  <c r="BL15"/>
  <c r="BM15"/>
  <c r="BN15"/>
  <c r="BQ15"/>
  <c r="BS15"/>
  <c r="BT15"/>
  <c r="I14" i="42"/>
  <c r="K14"/>
  <c r="L14"/>
  <c r="N14"/>
  <c r="O14"/>
  <c r="P14"/>
  <c r="AA14"/>
  <c r="AC14"/>
  <c r="AE14"/>
  <c r="AG14"/>
  <c r="AI14"/>
  <c r="AK14"/>
  <c r="AM14"/>
  <c r="AO14"/>
  <c r="AQ14"/>
  <c r="AS14"/>
  <c r="AU14"/>
  <c r="AW14"/>
  <c r="AY14"/>
  <c r="BA14"/>
  <c r="BC14"/>
  <c r="BE14"/>
  <c r="BG14"/>
  <c r="BI14"/>
  <c r="I25"/>
  <c r="J25"/>
  <c r="K25"/>
  <c r="N25"/>
  <c r="O25"/>
  <c r="P25"/>
  <c r="Q25"/>
  <c r="R25"/>
  <c r="AA25"/>
  <c r="AC25"/>
  <c r="AE25"/>
  <c r="AG25"/>
  <c r="AI25"/>
  <c r="AK25"/>
  <c r="AM25"/>
  <c r="AO25"/>
  <c r="AQ25"/>
  <c r="AS25"/>
  <c r="AU25"/>
  <c r="AW25"/>
  <c r="AY25"/>
  <c r="BA25"/>
  <c r="BC25"/>
  <c r="BE25"/>
  <c r="BG25"/>
  <c r="BI25"/>
  <c r="BH54" i="45"/>
  <c r="BK54"/>
  <c r="BF54"/>
  <c r="BD54"/>
  <c r="BB54"/>
  <c r="AZ54"/>
  <c r="AV54"/>
  <c r="AT54"/>
  <c r="AR54"/>
  <c r="AP54"/>
  <c r="AN54"/>
  <c r="AL54"/>
  <c r="AJ54"/>
  <c r="AH54"/>
  <c r="AF54"/>
  <c r="AD54"/>
  <c r="AB54"/>
  <c r="BH53"/>
  <c r="BK53"/>
  <c r="BF53"/>
  <c r="BD53"/>
  <c r="BB53"/>
  <c r="AZ53"/>
  <c r="AV53"/>
  <c r="AT53"/>
  <c r="AR53"/>
  <c r="AN53"/>
  <c r="AP53"/>
  <c r="AL53"/>
  <c r="AJ53"/>
  <c r="AH53"/>
  <c r="AF53"/>
  <c r="AD53"/>
  <c r="AB53"/>
  <c r="BM55" i="25" l="1"/>
  <c r="BM28" i="41"/>
  <c r="BM29" s="1"/>
  <c r="BM30" s="1"/>
  <c r="BM41" i="47"/>
  <c r="BQ87" i="44"/>
  <c r="BL56" i="43"/>
  <c r="BT84" i="45"/>
  <c r="BM84"/>
  <c r="BU84"/>
  <c r="BR84"/>
  <c r="BP84"/>
  <c r="BV84"/>
  <c r="BN84"/>
  <c r="BN85" s="1"/>
  <c r="BV39" i="24"/>
  <c r="BM31" i="41" l="1"/>
  <c r="I25"/>
  <c r="J25"/>
  <c r="L25"/>
  <c r="M25"/>
  <c r="N25"/>
  <c r="P25"/>
  <c r="Q25"/>
  <c r="U25"/>
  <c r="Y25"/>
  <c r="AA25"/>
  <c r="AC25"/>
  <c r="AE25"/>
  <c r="AG25"/>
  <c r="AI25"/>
  <c r="AK25"/>
  <c r="AM25"/>
  <c r="AO25"/>
  <c r="AQ25"/>
  <c r="AS25"/>
  <c r="AU25"/>
  <c r="AW25"/>
  <c r="AY25"/>
  <c r="BA25"/>
  <c r="BC25"/>
  <c r="BE25"/>
  <c r="BG25"/>
  <c r="BD14" i="46" l="1"/>
  <c r="BB14"/>
  <c r="AZ14"/>
  <c r="AO34" i="47"/>
  <c r="BJ34"/>
  <c r="F34" s="1"/>
  <c r="Z33"/>
  <c r="AB33"/>
  <c r="AD33"/>
  <c r="AF33"/>
  <c r="AH33"/>
  <c r="AJ33"/>
  <c r="V85" i="44"/>
  <c r="BI85"/>
  <c r="BJ85"/>
  <c r="F85" s="1"/>
  <c r="BK85"/>
  <c r="BC85"/>
  <c r="I35" i="42"/>
  <c r="J35"/>
  <c r="L35"/>
  <c r="N35"/>
  <c r="O35"/>
  <c r="P35"/>
  <c r="Q35"/>
  <c r="R35"/>
  <c r="AA35"/>
  <c r="AC35"/>
  <c r="AE35"/>
  <c r="AG35"/>
  <c r="AI35"/>
  <c r="AK35"/>
  <c r="AM35"/>
  <c r="AO35"/>
  <c r="AQ35"/>
  <c r="AS35"/>
  <c r="AU35"/>
  <c r="AW35"/>
  <c r="AY35"/>
  <c r="BA35"/>
  <c r="BC35"/>
  <c r="BE35"/>
  <c r="BG35"/>
  <c r="BI35"/>
  <c r="BJ45" i="43"/>
  <c r="BK45" s="1"/>
  <c r="BE45"/>
  <c r="AG45"/>
  <c r="BJ48"/>
  <c r="BK48" s="1"/>
  <c r="BI48"/>
  <c r="BG48"/>
  <c r="BE48"/>
  <c r="BC48"/>
  <c r="BA48"/>
  <c r="AY48"/>
  <c r="AW48"/>
  <c r="AU48"/>
  <c r="AS48"/>
  <c r="AQ48"/>
  <c r="AO48"/>
  <c r="AM48"/>
  <c r="AK48"/>
  <c r="AI48"/>
  <c r="AG48"/>
  <c r="AE48"/>
  <c r="AC48"/>
  <c r="AA48"/>
  <c r="F48"/>
  <c r="G48" s="1"/>
  <c r="BJ47"/>
  <c r="BK47" s="1"/>
  <c r="BG47"/>
  <c r="BE47"/>
  <c r="BC47"/>
  <c r="BA47"/>
  <c r="AY47"/>
  <c r="AW47"/>
  <c r="AU47"/>
  <c r="AS47"/>
  <c r="AQ47"/>
  <c r="AO47"/>
  <c r="AM47"/>
  <c r="AK47"/>
  <c r="AI47"/>
  <c r="AG47"/>
  <c r="AE47"/>
  <c r="AC47"/>
  <c r="AA47"/>
  <c r="BJ46"/>
  <c r="F46" s="1"/>
  <c r="BG46"/>
  <c r="BE46"/>
  <c r="BC46"/>
  <c r="BA46"/>
  <c r="AY46"/>
  <c r="AW46"/>
  <c r="AU46"/>
  <c r="AS46"/>
  <c r="AQ46"/>
  <c r="AO46"/>
  <c r="AM46"/>
  <c r="AK46"/>
  <c r="AI46"/>
  <c r="AG46"/>
  <c r="AE46"/>
  <c r="AC46"/>
  <c r="AA46"/>
  <c r="BJ44"/>
  <c r="BI44"/>
  <c r="BG44"/>
  <c r="BE44"/>
  <c r="BC44"/>
  <c r="BA44"/>
  <c r="AY44"/>
  <c r="AW44"/>
  <c r="AU44"/>
  <c r="AS44"/>
  <c r="AQ44"/>
  <c r="AQ51" s="1"/>
  <c r="AO44"/>
  <c r="AM44"/>
  <c r="AK44"/>
  <c r="AI44"/>
  <c r="AG44"/>
  <c r="AE44"/>
  <c r="AC44"/>
  <c r="AA44"/>
  <c r="J50"/>
  <c r="K50"/>
  <c r="K51" s="1"/>
  <c r="L50"/>
  <c r="M50"/>
  <c r="M51" s="1"/>
  <c r="N50"/>
  <c r="N51" s="1"/>
  <c r="O50"/>
  <c r="O51" s="1"/>
  <c r="Q50"/>
  <c r="Q51" s="1"/>
  <c r="Z50"/>
  <c r="Z51" s="1"/>
  <c r="AB50"/>
  <c r="AB51" s="1"/>
  <c r="AD50"/>
  <c r="AD51" s="1"/>
  <c r="AF50"/>
  <c r="AF51" s="1"/>
  <c r="AH50"/>
  <c r="AH51" s="1"/>
  <c r="AJ50"/>
  <c r="AJ51" s="1"/>
  <c r="AK50"/>
  <c r="AL50"/>
  <c r="AL51" s="1"/>
  <c r="AN50"/>
  <c r="AN51" s="1"/>
  <c r="AP50"/>
  <c r="AP51" s="1"/>
  <c r="AQ50"/>
  <c r="AR50"/>
  <c r="AR51" s="1"/>
  <c r="AT50"/>
  <c r="AT51" s="1"/>
  <c r="AV50"/>
  <c r="AV51" s="1"/>
  <c r="AW50"/>
  <c r="AX50"/>
  <c r="AX51" s="1"/>
  <c r="AZ50"/>
  <c r="AZ51" s="1"/>
  <c r="BA50"/>
  <c r="BB50"/>
  <c r="BB51" s="1"/>
  <c r="BD50"/>
  <c r="BD51" s="1"/>
  <c r="BF50"/>
  <c r="BF51" s="1"/>
  <c r="BH50"/>
  <c r="BH51" s="1"/>
  <c r="BI50"/>
  <c r="BJ49"/>
  <c r="BG49"/>
  <c r="BE49"/>
  <c r="BE50" s="1"/>
  <c r="BC49"/>
  <c r="BC50" s="1"/>
  <c r="BA49"/>
  <c r="AY50"/>
  <c r="AU49"/>
  <c r="AU50" s="1"/>
  <c r="AS49"/>
  <c r="AS50" s="1"/>
  <c r="AO49"/>
  <c r="AO50" s="1"/>
  <c r="AM50"/>
  <c r="AK49"/>
  <c r="AI49"/>
  <c r="AI50" s="1"/>
  <c r="AG49"/>
  <c r="AG50" s="1"/>
  <c r="AE49"/>
  <c r="AE50" s="1"/>
  <c r="AE41"/>
  <c r="AM51" l="1"/>
  <c r="BK44"/>
  <c r="AC51"/>
  <c r="BA51"/>
  <c r="BK46"/>
  <c r="AE51"/>
  <c r="AG51"/>
  <c r="AS51"/>
  <c r="AI51"/>
  <c r="F44"/>
  <c r="T44" s="1"/>
  <c r="AW51"/>
  <c r="BI51"/>
  <c r="AY51"/>
  <c r="AO51"/>
  <c r="BE51"/>
  <c r="AU51"/>
  <c r="BC51"/>
  <c r="AK51"/>
  <c r="BJ50"/>
  <c r="BJ51" s="1"/>
  <c r="S46"/>
  <c r="W46" s="1"/>
  <c r="R46"/>
  <c r="V46" s="1"/>
  <c r="G46"/>
  <c r="U46"/>
  <c r="Y46" s="1"/>
  <c r="T46"/>
  <c r="X46" s="1"/>
  <c r="T48"/>
  <c r="X48" s="1"/>
  <c r="U48"/>
  <c r="Y48" s="1"/>
  <c r="BG50"/>
  <c r="BG51" s="1"/>
  <c r="R48"/>
  <c r="V48" s="1"/>
  <c r="F45"/>
  <c r="S48"/>
  <c r="W48" s="1"/>
  <c r="G34" i="47"/>
  <c r="T34"/>
  <c r="X34" s="1"/>
  <c r="S34"/>
  <c r="W34" s="1"/>
  <c r="R34"/>
  <c r="V34" s="1"/>
  <c r="U34"/>
  <c r="Y34" s="1"/>
  <c r="S85" i="44"/>
  <c r="W85" s="1"/>
  <c r="T85"/>
  <c r="X85" s="1"/>
  <c r="G85"/>
  <c r="U85"/>
  <c r="Y85" s="1"/>
  <c r="BM48" i="43"/>
  <c r="F47"/>
  <c r="G47" s="1"/>
  <c r="BM44"/>
  <c r="H48"/>
  <c r="I48"/>
  <c r="BP48"/>
  <c r="BR48" s="1"/>
  <c r="BV48" s="1"/>
  <c r="V22" i="41"/>
  <c r="W22"/>
  <c r="X22"/>
  <c r="Z22"/>
  <c r="AB22"/>
  <c r="AD22"/>
  <c r="AF22"/>
  <c r="AH22"/>
  <c r="AJ22"/>
  <c r="AL22"/>
  <c r="AN22"/>
  <c r="AP22"/>
  <c r="AR22"/>
  <c r="AT22"/>
  <c r="AV22"/>
  <c r="AX22"/>
  <c r="AZ22"/>
  <c r="BB22"/>
  <c r="BD22"/>
  <c r="BH22"/>
  <c r="BF22"/>
  <c r="BI22"/>
  <c r="E22"/>
  <c r="F22" s="1"/>
  <c r="K22" s="1"/>
  <c r="R22"/>
  <c r="S22"/>
  <c r="T22"/>
  <c r="AC50" i="43"/>
  <c r="AA49"/>
  <c r="AA50" s="1"/>
  <c r="F49"/>
  <c r="BE34" i="47"/>
  <c r="BK34" s="1"/>
  <c r="BO34" s="1"/>
  <c r="BR34" s="1"/>
  <c r="BV34" s="1"/>
  <c r="X44" i="43" l="1"/>
  <c r="U44"/>
  <c r="R44"/>
  <c r="BM51"/>
  <c r="BM56" s="1"/>
  <c r="L46"/>
  <c r="BP46"/>
  <c r="BR46" s="1"/>
  <c r="BV46" s="1"/>
  <c r="AA51"/>
  <c r="G44"/>
  <c r="J47"/>
  <c r="BP47"/>
  <c r="BR47" s="1"/>
  <c r="BV47" s="1"/>
  <c r="G45"/>
  <c r="S45"/>
  <c r="W45" s="1"/>
  <c r="R45"/>
  <c r="V45" s="1"/>
  <c r="U45"/>
  <c r="Y45" s="1"/>
  <c r="T45"/>
  <c r="X45" s="1"/>
  <c r="S44"/>
  <c r="H34" i="47"/>
  <c r="I34"/>
  <c r="P85" i="44"/>
  <c r="BP85"/>
  <c r="BR85" s="1"/>
  <c r="BV85" s="1"/>
  <c r="U49" i="43"/>
  <c r="T49"/>
  <c r="S49"/>
  <c r="R49"/>
  <c r="F50"/>
  <c r="F51" s="1"/>
  <c r="BK49"/>
  <c r="I85" i="44"/>
  <c r="H85"/>
  <c r="T47" i="43"/>
  <c r="X47" s="1"/>
  <c r="R47"/>
  <c r="V47" s="1"/>
  <c r="U47"/>
  <c r="Y47" s="1"/>
  <c r="S47"/>
  <c r="W47" s="1"/>
  <c r="BJ22" i="41"/>
  <c r="BM22" s="1"/>
  <c r="BQ22" s="1"/>
  <c r="BU22" s="1"/>
  <c r="BN45" i="43" l="1"/>
  <c r="L45"/>
  <c r="L51" s="1"/>
  <c r="W44"/>
  <c r="V44"/>
  <c r="BP44"/>
  <c r="P44"/>
  <c r="J44"/>
  <c r="J51" s="1"/>
  <c r="Y44"/>
  <c r="U51"/>
  <c r="R50"/>
  <c r="R51" s="1"/>
  <c r="V49"/>
  <c r="S50"/>
  <c r="S51" s="1"/>
  <c r="W49"/>
  <c r="G49"/>
  <c r="BK50"/>
  <c r="BK51" s="1"/>
  <c r="T50"/>
  <c r="T51" s="1"/>
  <c r="X49"/>
  <c r="Y49"/>
  <c r="U50"/>
  <c r="BJ30" i="42"/>
  <c r="BJ29"/>
  <c r="BJ28"/>
  <c r="BH28"/>
  <c r="BH29"/>
  <c r="BF28"/>
  <c r="BF29"/>
  <c r="BD28"/>
  <c r="BD29"/>
  <c r="BB28"/>
  <c r="BB29"/>
  <c r="AZ28"/>
  <c r="AZ29"/>
  <c r="AX28"/>
  <c r="AX29"/>
  <c r="AV28"/>
  <c r="AV29"/>
  <c r="AT28"/>
  <c r="AT29"/>
  <c r="AR28"/>
  <c r="AR29"/>
  <c r="AP28"/>
  <c r="AP29"/>
  <c r="AN28"/>
  <c r="AL28"/>
  <c r="AL29"/>
  <c r="AJ28"/>
  <c r="AJ29"/>
  <c r="AH28"/>
  <c r="AH29"/>
  <c r="AF28"/>
  <c r="AF29"/>
  <c r="AD28"/>
  <c r="AD29"/>
  <c r="AB28"/>
  <c r="AB29"/>
  <c r="BK29"/>
  <c r="G29" s="1"/>
  <c r="AB20" i="41"/>
  <c r="AB21"/>
  <c r="Z20"/>
  <c r="Z21"/>
  <c r="Z19"/>
  <c r="AB19"/>
  <c r="BH22" i="42"/>
  <c r="BH23"/>
  <c r="AJ22"/>
  <c r="AJ23"/>
  <c r="AH22"/>
  <c r="AH23"/>
  <c r="AF23"/>
  <c r="AB20"/>
  <c r="AD20"/>
  <c r="AF20"/>
  <c r="AH20"/>
  <c r="AJ20"/>
  <c r="AL20"/>
  <c r="AN20"/>
  <c r="AP20"/>
  <c r="AR20"/>
  <c r="AT20"/>
  <c r="AB21"/>
  <c r="AD21"/>
  <c r="AF21"/>
  <c r="AH21"/>
  <c r="AJ21"/>
  <c r="AL21"/>
  <c r="AN21"/>
  <c r="AP21"/>
  <c r="AR21"/>
  <c r="AT21"/>
  <c r="AX21"/>
  <c r="AZ21"/>
  <c r="BB21"/>
  <c r="BD21"/>
  <c r="BK22"/>
  <c r="G22" s="1"/>
  <c r="U22" s="1"/>
  <c r="BK23"/>
  <c r="G23" s="1"/>
  <c r="AF22"/>
  <c r="AA29" i="44"/>
  <c r="AA30"/>
  <c r="AC29"/>
  <c r="AC30"/>
  <c r="AE29"/>
  <c r="AE30"/>
  <c r="AG28"/>
  <c r="AG29"/>
  <c r="AG30"/>
  <c r="AI28"/>
  <c r="AI29"/>
  <c r="AI30"/>
  <c r="AK28"/>
  <c r="AK29"/>
  <c r="AK30"/>
  <c r="AM28"/>
  <c r="AM29"/>
  <c r="AM30"/>
  <c r="AO28"/>
  <c r="AO29"/>
  <c r="AO30"/>
  <c r="AQ28"/>
  <c r="AQ29"/>
  <c r="AQ30"/>
  <c r="AS28"/>
  <c r="AS29"/>
  <c r="AS30"/>
  <c r="AU28"/>
  <c r="AU29"/>
  <c r="AU30"/>
  <c r="AW28"/>
  <c r="AW29"/>
  <c r="AY28"/>
  <c r="AY29"/>
  <c r="AY30"/>
  <c r="BA28"/>
  <c r="BA29"/>
  <c r="BA30"/>
  <c r="BC28"/>
  <c r="BC29"/>
  <c r="BC30"/>
  <c r="BE28"/>
  <c r="BE29"/>
  <c r="BE30"/>
  <c r="BG28"/>
  <c r="BG29"/>
  <c r="BG30"/>
  <c r="BJ23"/>
  <c r="F23" s="1"/>
  <c r="G23" s="1"/>
  <c r="L23" s="1"/>
  <c r="BJ24"/>
  <c r="F24" s="1"/>
  <c r="G24" s="1"/>
  <c r="L24" s="1"/>
  <c r="BJ25"/>
  <c r="F25" s="1"/>
  <c r="G25" s="1"/>
  <c r="L25" s="1"/>
  <c r="BJ26"/>
  <c r="F26" s="1"/>
  <c r="G26" s="1"/>
  <c r="L26" s="1"/>
  <c r="BJ27"/>
  <c r="F27" s="1"/>
  <c r="G27" s="1"/>
  <c r="L27" s="1"/>
  <c r="BJ28"/>
  <c r="F28" s="1"/>
  <c r="G28" s="1"/>
  <c r="L28" s="1"/>
  <c r="BJ29"/>
  <c r="F29" s="1"/>
  <c r="G29" s="1"/>
  <c r="L29" s="1"/>
  <c r="BJ30"/>
  <c r="F30" s="1"/>
  <c r="AA20" i="45"/>
  <c r="BN51" i="43" l="1"/>
  <c r="BN56" s="1"/>
  <c r="BR45"/>
  <c r="BV45" s="1"/>
  <c r="G30" i="44"/>
  <c r="L30" s="1"/>
  <c r="BR44" i="43"/>
  <c r="W51"/>
  <c r="X50"/>
  <c r="X51" s="1"/>
  <c r="Y50"/>
  <c r="Y51" s="1"/>
  <c r="W50"/>
  <c r="V50"/>
  <c r="V51" s="1"/>
  <c r="BN49"/>
  <c r="G50"/>
  <c r="I49"/>
  <c r="H49"/>
  <c r="H51" s="1"/>
  <c r="H29" i="42"/>
  <c r="I29" s="1"/>
  <c r="S29"/>
  <c r="V29"/>
  <c r="U29"/>
  <c r="T29"/>
  <c r="BL29"/>
  <c r="BQ29" s="1"/>
  <c r="BK28"/>
  <c r="G28" s="1"/>
  <c r="BL22"/>
  <c r="BL23"/>
  <c r="V22"/>
  <c r="H22"/>
  <c r="BO22" s="1"/>
  <c r="BS22" s="1"/>
  <c r="BW22" s="1"/>
  <c r="T22"/>
  <c r="S22"/>
  <c r="T23"/>
  <c r="V23"/>
  <c r="U23"/>
  <c r="H23"/>
  <c r="S23"/>
  <c r="BK29" i="44"/>
  <c r="BT29" s="1"/>
  <c r="BU29" s="1"/>
  <c r="BV29" s="1"/>
  <c r="BK30"/>
  <c r="BS30" s="1"/>
  <c r="M23" i="42" l="1"/>
  <c r="BO23"/>
  <c r="BS23" s="1"/>
  <c r="BW23" s="1"/>
  <c r="P50" i="43"/>
  <c r="P51" s="1"/>
  <c r="G51"/>
  <c r="BV44"/>
  <c r="I50"/>
  <c r="I51" s="1"/>
  <c r="BR49"/>
  <c r="Z29" i="42"/>
  <c r="BS29"/>
  <c r="BW29" s="1"/>
  <c r="BQ31"/>
  <c r="BU30" i="44"/>
  <c r="BS33"/>
  <c r="BS87" s="1"/>
  <c r="Z23" i="42"/>
  <c r="W22"/>
  <c r="X22"/>
  <c r="Y22"/>
  <c r="M22"/>
  <c r="H28"/>
  <c r="M28" s="1"/>
  <c r="V28"/>
  <c r="U28"/>
  <c r="S28"/>
  <c r="T28"/>
  <c r="X23"/>
  <c r="Y29"/>
  <c r="W29"/>
  <c r="X29"/>
  <c r="J29"/>
  <c r="BL28"/>
  <c r="BP28" s="1"/>
  <c r="Z22"/>
  <c r="W23"/>
  <c r="Y23"/>
  <c r="BS28" l="1"/>
  <c r="BW28" s="1"/>
  <c r="BP31"/>
  <c r="BV49" i="43"/>
  <c r="BV30" i="44"/>
  <c r="Y28" i="42"/>
  <c r="Z28"/>
  <c r="X28"/>
  <c r="W28"/>
  <c r="O63" i="45"/>
  <c r="P63"/>
  <c r="Q63"/>
  <c r="R63"/>
  <c r="AA63"/>
  <c r="AC63"/>
  <c r="AE63"/>
  <c r="AG63"/>
  <c r="AI63"/>
  <c r="AK63"/>
  <c r="AM63"/>
  <c r="AO63"/>
  <c r="AQ63"/>
  <c r="AS63"/>
  <c r="AU63"/>
  <c r="AW63"/>
  <c r="AY63"/>
  <c r="BA63"/>
  <c r="BC63"/>
  <c r="BE63"/>
  <c r="BG63"/>
  <c r="BI63"/>
  <c r="I63"/>
  <c r="J63"/>
  <c r="L63"/>
  <c r="AE28" i="44" l="1"/>
  <c r="AC28"/>
  <c r="AA28"/>
  <c r="BG27"/>
  <c r="BE27"/>
  <c r="BC27"/>
  <c r="BA27"/>
  <c r="AY27"/>
  <c r="AW27"/>
  <c r="AU27"/>
  <c r="AS27"/>
  <c r="AQ27"/>
  <c r="AO27"/>
  <c r="AM27"/>
  <c r="AK27"/>
  <c r="AI27"/>
  <c r="AG27"/>
  <c r="AE27"/>
  <c r="AC27"/>
  <c r="AA27"/>
  <c r="BG26"/>
  <c r="BG25"/>
  <c r="BE26"/>
  <c r="BE25"/>
  <c r="BC26"/>
  <c r="BC25"/>
  <c r="BA26"/>
  <c r="BA25"/>
  <c r="AY26"/>
  <c r="AY25"/>
  <c r="AW26"/>
  <c r="AW25"/>
  <c r="AU26"/>
  <c r="AU25"/>
  <c r="AS26"/>
  <c r="AS25"/>
  <c r="AQ26"/>
  <c r="AQ25"/>
  <c r="AO26"/>
  <c r="AO25"/>
  <c r="AM26"/>
  <c r="AM25"/>
  <c r="AK26"/>
  <c r="AK25"/>
  <c r="AI26"/>
  <c r="AI25"/>
  <c r="AG26"/>
  <c r="AG25"/>
  <c r="AE26"/>
  <c r="AE25"/>
  <c r="AC26"/>
  <c r="AC25"/>
  <c r="AA26"/>
  <c r="AA25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BG23"/>
  <c r="BE23"/>
  <c r="BC23"/>
  <c r="BA23"/>
  <c r="AY23"/>
  <c r="AW23"/>
  <c r="AU23"/>
  <c r="AS23"/>
  <c r="AQ23"/>
  <c r="AO23"/>
  <c r="AM23"/>
  <c r="AK23"/>
  <c r="AI23"/>
  <c r="AG23"/>
  <c r="AE23"/>
  <c r="AC23"/>
  <c r="AA23"/>
  <c r="BJ22"/>
  <c r="F22" s="1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BK24" l="1"/>
  <c r="BT24" s="1"/>
  <c r="BK23"/>
  <c r="BP23" s="1"/>
  <c r="BR23" s="1"/>
  <c r="BV23" s="1"/>
  <c r="BK26"/>
  <c r="BT26" s="1"/>
  <c r="BU26" s="1"/>
  <c r="BV26" s="1"/>
  <c r="BK28"/>
  <c r="BT28" s="1"/>
  <c r="BU28" s="1"/>
  <c r="BV28" s="1"/>
  <c r="BK25"/>
  <c r="BT25" s="1"/>
  <c r="BU25" s="1"/>
  <c r="BV25" s="1"/>
  <c r="BK27"/>
  <c r="BT27" s="1"/>
  <c r="BU27" s="1"/>
  <c r="BV27" s="1"/>
  <c r="BK22"/>
  <c r="BN22" s="1"/>
  <c r="R22"/>
  <c r="V22" s="1"/>
  <c r="U22"/>
  <c r="Y22" s="1"/>
  <c r="G22"/>
  <c r="T22"/>
  <c r="X22" s="1"/>
  <c r="S22"/>
  <c r="W22" s="1"/>
  <c r="BN33" l="1"/>
  <c r="BR22"/>
  <c r="BT33"/>
  <c r="BT87" s="1"/>
  <c r="BU24"/>
  <c r="BV24" s="1"/>
  <c r="BV22"/>
  <c r="H22"/>
  <c r="I22"/>
  <c r="BK34" i="42" l="1"/>
  <c r="G34" s="1"/>
  <c r="BK33"/>
  <c r="BH34"/>
  <c r="BF34"/>
  <c r="BD34"/>
  <c r="BB34"/>
  <c r="AZ34"/>
  <c r="AX34"/>
  <c r="AV34"/>
  <c r="AT34"/>
  <c r="AR34"/>
  <c r="AP34"/>
  <c r="AN34"/>
  <c r="AL34"/>
  <c r="AJ34"/>
  <c r="AH34"/>
  <c r="AF34"/>
  <c r="AD34"/>
  <c r="AB34"/>
  <c r="G53" i="45"/>
  <c r="BA26" i="43"/>
  <c r="AS26"/>
  <c r="BK49" i="45"/>
  <c r="G49" s="1"/>
  <c r="BH49"/>
  <c r="BF49"/>
  <c r="BD49"/>
  <c r="BB49"/>
  <c r="AZ49"/>
  <c r="AV49"/>
  <c r="AT49"/>
  <c r="AR49"/>
  <c r="AP49"/>
  <c r="AN49"/>
  <c r="AL49"/>
  <c r="AJ49"/>
  <c r="AH49"/>
  <c r="AF49"/>
  <c r="AD49"/>
  <c r="AB49"/>
  <c r="AX49"/>
  <c r="BJ49"/>
  <c r="BK46"/>
  <c r="BI19" i="41"/>
  <c r="E19" s="1"/>
  <c r="BI20"/>
  <c r="E20" s="1"/>
  <c r="BI21"/>
  <c r="E21" s="1"/>
  <c r="BH19"/>
  <c r="BH20"/>
  <c r="BH21"/>
  <c r="BF19"/>
  <c r="BF20"/>
  <c r="BF21"/>
  <c r="BD19"/>
  <c r="BD20"/>
  <c r="BD21"/>
  <c r="BB19"/>
  <c r="BB20"/>
  <c r="BB21"/>
  <c r="AZ19"/>
  <c r="AZ20"/>
  <c r="AZ21"/>
  <c r="AX19"/>
  <c r="AX20"/>
  <c r="AX21"/>
  <c r="AV19"/>
  <c r="AV20"/>
  <c r="AV21"/>
  <c r="AT19"/>
  <c r="AT20"/>
  <c r="AT21"/>
  <c r="AR19"/>
  <c r="AR20"/>
  <c r="AR21"/>
  <c r="AP19"/>
  <c r="AP20"/>
  <c r="AP21"/>
  <c r="AN19"/>
  <c r="AN20"/>
  <c r="AN21"/>
  <c r="AL19"/>
  <c r="AL20"/>
  <c r="AL21"/>
  <c r="AJ19"/>
  <c r="AJ20"/>
  <c r="AJ21"/>
  <c r="AH19"/>
  <c r="AH20"/>
  <c r="AH21"/>
  <c r="AF19"/>
  <c r="AF20"/>
  <c r="AF21"/>
  <c r="AD19"/>
  <c r="AD20"/>
  <c r="AD21"/>
  <c r="BK40" i="42"/>
  <c r="G40" s="1"/>
  <c r="BJ40"/>
  <c r="BF40"/>
  <c r="BD40"/>
  <c r="BB40"/>
  <c r="AZ40"/>
  <c r="AX40"/>
  <c r="AV40"/>
  <c r="AT40"/>
  <c r="AR40"/>
  <c r="AP40"/>
  <c r="AN40"/>
  <c r="AL40"/>
  <c r="AJ40"/>
  <c r="AH40"/>
  <c r="AF40"/>
  <c r="AD40"/>
  <c r="AB40"/>
  <c r="BH40"/>
  <c r="L41"/>
  <c r="N41"/>
  <c r="O41"/>
  <c r="P41"/>
  <c r="R41"/>
  <c r="AA41"/>
  <c r="AC41"/>
  <c r="AE41"/>
  <c r="AG41"/>
  <c r="AI41"/>
  <c r="AK41"/>
  <c r="AM41"/>
  <c r="AO41"/>
  <c r="AQ41"/>
  <c r="AS41"/>
  <c r="AU41"/>
  <c r="AW41"/>
  <c r="AY41"/>
  <c r="BA41"/>
  <c r="BC41"/>
  <c r="BE41"/>
  <c r="BG41"/>
  <c r="BI41"/>
  <c r="BI29" i="41"/>
  <c r="E29" s="1"/>
  <c r="F29" s="1"/>
  <c r="K29" s="1"/>
  <c r="BI28"/>
  <c r="E28" s="1"/>
  <c r="T28" s="1"/>
  <c r="X28" s="1"/>
  <c r="BI27"/>
  <c r="E27" s="1"/>
  <c r="BH29"/>
  <c r="BH28"/>
  <c r="BH27"/>
  <c r="BF29"/>
  <c r="BF28"/>
  <c r="BF27"/>
  <c r="BD29"/>
  <c r="BD28"/>
  <c r="BD27"/>
  <c r="BB29"/>
  <c r="BB28"/>
  <c r="BB27"/>
  <c r="AZ29"/>
  <c r="AZ28"/>
  <c r="AZ27"/>
  <c r="AX29"/>
  <c r="AX28"/>
  <c r="AX27"/>
  <c r="AV29"/>
  <c r="AV28"/>
  <c r="AV27"/>
  <c r="AT29"/>
  <c r="AT28"/>
  <c r="AT27"/>
  <c r="AR29"/>
  <c r="AR28"/>
  <c r="AR27"/>
  <c r="AP29"/>
  <c r="AP28"/>
  <c r="AP27"/>
  <c r="AN29"/>
  <c r="AN28"/>
  <c r="AN27"/>
  <c r="AL29"/>
  <c r="AL28"/>
  <c r="AL27"/>
  <c r="AJ29"/>
  <c r="AJ28"/>
  <c r="AJ27"/>
  <c r="AH29"/>
  <c r="AH28"/>
  <c r="AH27"/>
  <c r="AF29"/>
  <c r="AF28"/>
  <c r="AF27"/>
  <c r="AD29"/>
  <c r="AD28"/>
  <c r="AD27"/>
  <c r="AB29"/>
  <c r="AB28"/>
  <c r="AB27"/>
  <c r="Z29"/>
  <c r="Z28"/>
  <c r="Z27"/>
  <c r="I31"/>
  <c r="J31"/>
  <c r="L31"/>
  <c r="M31"/>
  <c r="N31"/>
  <c r="P31"/>
  <c r="Y31"/>
  <c r="AA31"/>
  <c r="AC31"/>
  <c r="AE31"/>
  <c r="AG31"/>
  <c r="AI31"/>
  <c r="AK31"/>
  <c r="AM31"/>
  <c r="AO31"/>
  <c r="AQ31"/>
  <c r="AS31"/>
  <c r="AU31"/>
  <c r="AW31"/>
  <c r="AY31"/>
  <c r="BA31"/>
  <c r="BC31"/>
  <c r="BE31"/>
  <c r="BG31"/>
  <c r="BG53" i="43"/>
  <c r="BG55" s="1"/>
  <c r="BE53"/>
  <c r="BE55" s="1"/>
  <c r="BC53"/>
  <c r="BC55" s="1"/>
  <c r="BA53"/>
  <c r="BA55" s="1"/>
  <c r="AY53"/>
  <c r="AY55" s="1"/>
  <c r="AW53"/>
  <c r="AW55" s="1"/>
  <c r="AU53"/>
  <c r="AU55" s="1"/>
  <c r="AS53"/>
  <c r="AS55" s="1"/>
  <c r="AQ53"/>
  <c r="AQ55" s="1"/>
  <c r="AO53"/>
  <c r="AO55" s="1"/>
  <c r="AM53"/>
  <c r="AM55" s="1"/>
  <c r="AK53"/>
  <c r="AK55" s="1"/>
  <c r="AI53"/>
  <c r="AI55" s="1"/>
  <c r="AG53"/>
  <c r="AG55" s="1"/>
  <c r="AE53"/>
  <c r="AE55" s="1"/>
  <c r="AC53"/>
  <c r="AC55" s="1"/>
  <c r="AA53"/>
  <c r="AA55" s="1"/>
  <c r="BA39"/>
  <c r="BA38"/>
  <c r="BA37"/>
  <c r="BA36"/>
  <c r="BJ31" i="44"/>
  <c r="S53" i="43"/>
  <c r="S55" s="1"/>
  <c r="T53"/>
  <c r="T55" s="1"/>
  <c r="U53"/>
  <c r="U55" s="1"/>
  <c r="V53"/>
  <c r="V55" s="1"/>
  <c r="W53"/>
  <c r="W55" s="1"/>
  <c r="X53"/>
  <c r="X55" s="1"/>
  <c r="Y53"/>
  <c r="Y55" s="1"/>
  <c r="BH53"/>
  <c r="BH55" s="1"/>
  <c r="BI53"/>
  <c r="BI55" s="1"/>
  <c r="J40"/>
  <c r="K40"/>
  <c r="K56" s="1"/>
  <c r="L40"/>
  <c r="M40"/>
  <c r="M56" s="1"/>
  <c r="N40"/>
  <c r="N56" s="1"/>
  <c r="O40"/>
  <c r="O56" s="1"/>
  <c r="Q40"/>
  <c r="Q56" s="1"/>
  <c r="Z40"/>
  <c r="Z56" s="1"/>
  <c r="AB40"/>
  <c r="AB56" s="1"/>
  <c r="AD40"/>
  <c r="AD56" s="1"/>
  <c r="AF40"/>
  <c r="AF56" s="1"/>
  <c r="AH40"/>
  <c r="AH56" s="1"/>
  <c r="AJ40"/>
  <c r="AJ56" s="1"/>
  <c r="AL40"/>
  <c r="AL56" s="1"/>
  <c r="AN40"/>
  <c r="AN56" s="1"/>
  <c r="AP40"/>
  <c r="AP56" s="1"/>
  <c r="AR40"/>
  <c r="AR56" s="1"/>
  <c r="AT40"/>
  <c r="AT56" s="1"/>
  <c r="AV40"/>
  <c r="AV56" s="1"/>
  <c r="AX40"/>
  <c r="AX56" s="1"/>
  <c r="AZ40"/>
  <c r="AZ56" s="1"/>
  <c r="BB40"/>
  <c r="BB56" s="1"/>
  <c r="BD40"/>
  <c r="BD56" s="1"/>
  <c r="BF40"/>
  <c r="BF56" s="1"/>
  <c r="BH40"/>
  <c r="J15" i="44"/>
  <c r="K15"/>
  <c r="L15"/>
  <c r="N15"/>
  <c r="O15"/>
  <c r="P15"/>
  <c r="Q15"/>
  <c r="Y31"/>
  <c r="X31"/>
  <c r="V31"/>
  <c r="Y21"/>
  <c r="X21"/>
  <c r="V21"/>
  <c r="Y17"/>
  <c r="X17"/>
  <c r="W17"/>
  <c r="V17"/>
  <c r="J33"/>
  <c r="K33"/>
  <c r="L33"/>
  <c r="M33"/>
  <c r="N33"/>
  <c r="O33"/>
  <c r="Q33"/>
  <c r="Z33"/>
  <c r="Y13"/>
  <c r="W13"/>
  <c r="Y12"/>
  <c r="W12"/>
  <c r="G54" i="45"/>
  <c r="BJ21" i="41" l="1"/>
  <c r="BM21" s="1"/>
  <c r="BQ21" s="1"/>
  <c r="BU21" s="1"/>
  <c r="BH56" i="43"/>
  <c r="H49" i="45"/>
  <c r="BO49" s="1"/>
  <c r="BS49" s="1"/>
  <c r="U49"/>
  <c r="Y49" s="1"/>
  <c r="T49"/>
  <c r="X49" s="1"/>
  <c r="S49"/>
  <c r="W49" s="1"/>
  <c r="V49"/>
  <c r="Z49" s="1"/>
  <c r="G33" i="42"/>
  <c r="G35" s="1"/>
  <c r="BK35"/>
  <c r="BJ53" i="43"/>
  <c r="BJ55" s="1"/>
  <c r="T40" i="42"/>
  <c r="H40"/>
  <c r="K40" s="1"/>
  <c r="S40"/>
  <c r="V40"/>
  <c r="U40"/>
  <c r="S19" i="41"/>
  <c r="W19" s="1"/>
  <c r="T19"/>
  <c r="X19" s="1"/>
  <c r="F19"/>
  <c r="K19" s="1"/>
  <c r="R19"/>
  <c r="V19" s="1"/>
  <c r="BA40" i="43"/>
  <c r="BK53"/>
  <c r="S33" i="42"/>
  <c r="S35" s="1"/>
  <c r="V33"/>
  <c r="H34"/>
  <c r="S34"/>
  <c r="V34"/>
  <c r="U34"/>
  <c r="T34"/>
  <c r="BJ29" i="41"/>
  <c r="BO29" s="1"/>
  <c r="BQ29" s="1"/>
  <c r="BU29" s="1"/>
  <c r="BJ28"/>
  <c r="BO28" s="1"/>
  <c r="BQ28" s="1"/>
  <c r="BU28" s="1"/>
  <c r="S21"/>
  <c r="W21" s="1"/>
  <c r="T21"/>
  <c r="X21" s="1"/>
  <c r="R21"/>
  <c r="V21" s="1"/>
  <c r="F21"/>
  <c r="K21" s="1"/>
  <c r="BJ20"/>
  <c r="BM20" s="1"/>
  <c r="BQ20" s="1"/>
  <c r="BU20" s="1"/>
  <c r="F20"/>
  <c r="K20" s="1"/>
  <c r="S20"/>
  <c r="W20" s="1"/>
  <c r="R20"/>
  <c r="V20" s="1"/>
  <c r="T20"/>
  <c r="X20" s="1"/>
  <c r="BJ19"/>
  <c r="BO19" s="1"/>
  <c r="BQ19" s="1"/>
  <c r="BU19" s="1"/>
  <c r="BL34" i="42"/>
  <c r="BL49" i="45"/>
  <c r="Q29" i="41"/>
  <c r="U29" s="1"/>
  <c r="R29"/>
  <c r="V29" s="1"/>
  <c r="BJ27"/>
  <c r="BO27" s="1"/>
  <c r="BL40" i="42"/>
  <c r="BQ40" s="1"/>
  <c r="BS40" s="1"/>
  <c r="BW40" s="1"/>
  <c r="F27" i="41"/>
  <c r="K27" s="1"/>
  <c r="Q27"/>
  <c r="U27" s="1"/>
  <c r="T27"/>
  <c r="X27" s="1"/>
  <c r="S27"/>
  <c r="W27" s="1"/>
  <c r="R27"/>
  <c r="V27" s="1"/>
  <c r="S29"/>
  <c r="W29" s="1"/>
  <c r="Q28"/>
  <c r="U28" s="1"/>
  <c r="R28"/>
  <c r="V28" s="1"/>
  <c r="F28"/>
  <c r="K28" s="1"/>
  <c r="S28"/>
  <c r="W28" s="1"/>
  <c r="T29"/>
  <c r="X29" s="1"/>
  <c r="BJ33" i="26"/>
  <c r="BJ32"/>
  <c r="BJ31"/>
  <c r="BJ30"/>
  <c r="Z80" i="45"/>
  <c r="Z81"/>
  <c r="Z82"/>
  <c r="H53"/>
  <c r="H54"/>
  <c r="V54"/>
  <c r="Z54" s="1"/>
  <c r="U54"/>
  <c r="Y54" s="1"/>
  <c r="T54"/>
  <c r="X54" s="1"/>
  <c r="S54"/>
  <c r="W54" s="1"/>
  <c r="V53"/>
  <c r="Z53" s="1"/>
  <c r="U53"/>
  <c r="Y53" s="1"/>
  <c r="T53"/>
  <c r="X53" s="1"/>
  <c r="S53"/>
  <c r="W53" s="1"/>
  <c r="BO31" i="41" l="1"/>
  <c r="BQ27"/>
  <c r="G53" i="43"/>
  <c r="BK55"/>
  <c r="BJ34" i="26"/>
  <c r="K34" i="42"/>
  <c r="K35" s="1"/>
  <c r="BO34"/>
  <c r="U33"/>
  <c r="K25" i="41"/>
  <c r="K49" i="45"/>
  <c r="K63" s="1"/>
  <c r="BW49"/>
  <c r="M54"/>
  <c r="BO54"/>
  <c r="BS54" s="1"/>
  <c r="BW54" s="1"/>
  <c r="M53"/>
  <c r="BO53"/>
  <c r="BS53" s="1"/>
  <c r="BW53" s="1"/>
  <c r="V35" i="42"/>
  <c r="U35"/>
  <c r="T33"/>
  <c r="T35" s="1"/>
  <c r="W40"/>
  <c r="Y40"/>
  <c r="Z40"/>
  <c r="X40"/>
  <c r="I53" i="43"/>
  <c r="I55" s="1"/>
  <c r="W34" i="42"/>
  <c r="X34"/>
  <c r="Y34"/>
  <c r="Z34"/>
  <c r="K31" i="41"/>
  <c r="BK61" i="45"/>
  <c r="G61" s="1"/>
  <c r="H61" s="1"/>
  <c r="M61" s="1"/>
  <c r="BK62"/>
  <c r="G62" s="1"/>
  <c r="BF62"/>
  <c r="BF61"/>
  <c r="BB62"/>
  <c r="BB61"/>
  <c r="AZ62"/>
  <c r="AZ61"/>
  <c r="AR62"/>
  <c r="AR61"/>
  <c r="AF62"/>
  <c r="AF61"/>
  <c r="AB62"/>
  <c r="AD62"/>
  <c r="AH62"/>
  <c r="AJ62"/>
  <c r="AL62"/>
  <c r="AN62"/>
  <c r="AP62"/>
  <c r="AT62"/>
  <c r="AV62"/>
  <c r="AX62"/>
  <c r="BD62"/>
  <c r="BH62"/>
  <c r="BJ62"/>
  <c r="AB61"/>
  <c r="AD61"/>
  <c r="AH61"/>
  <c r="AJ61"/>
  <c r="AL61"/>
  <c r="AN61"/>
  <c r="AP61"/>
  <c r="AT61"/>
  <c r="AV61"/>
  <c r="AX61"/>
  <c r="BD61"/>
  <c r="BH61"/>
  <c r="BJ61"/>
  <c r="BJ29" i="43"/>
  <c r="F29" s="1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BJ28"/>
  <c r="F28" s="1"/>
  <c r="AA28"/>
  <c r="AC28"/>
  <c r="AE28"/>
  <c r="AG28"/>
  <c r="AI28"/>
  <c r="AM28"/>
  <c r="AO28"/>
  <c r="AQ28"/>
  <c r="AS28"/>
  <c r="AU28"/>
  <c r="AW28"/>
  <c r="AY28"/>
  <c r="BA28"/>
  <c r="BC28"/>
  <c r="BE28"/>
  <c r="BG28"/>
  <c r="AK28"/>
  <c r="P53" l="1"/>
  <c r="P55" s="1"/>
  <c r="G55"/>
  <c r="BS34" i="42"/>
  <c r="BW34" s="1"/>
  <c r="BU27" i="41"/>
  <c r="BK29" i="43"/>
  <c r="R29"/>
  <c r="V29" s="1"/>
  <c r="T29"/>
  <c r="X29" s="1"/>
  <c r="U29"/>
  <c r="Y29" s="1"/>
  <c r="G29"/>
  <c r="S29"/>
  <c r="W29" s="1"/>
  <c r="BL62" i="45"/>
  <c r="BQ62" s="1"/>
  <c r="BS62" s="1"/>
  <c r="BW62" s="1"/>
  <c r="U28" i="43"/>
  <c r="Y28" s="1"/>
  <c r="G28"/>
  <c r="T28"/>
  <c r="X28" s="1"/>
  <c r="R28"/>
  <c r="V28" s="1"/>
  <c r="S28"/>
  <c r="W28" s="1"/>
  <c r="BK28"/>
  <c r="V62" i="45"/>
  <c r="Z62" s="1"/>
  <c r="U62"/>
  <c r="Y62" s="1"/>
  <c r="T62"/>
  <c r="X62" s="1"/>
  <c r="S62"/>
  <c r="W62" s="1"/>
  <c r="V61"/>
  <c r="Z61" s="1"/>
  <c r="U61"/>
  <c r="Y61" s="1"/>
  <c r="T61"/>
  <c r="X61" s="1"/>
  <c r="S61"/>
  <c r="W61" s="1"/>
  <c r="BL61"/>
  <c r="BQ61" s="1"/>
  <c r="H62"/>
  <c r="M62" s="1"/>
  <c r="J29" i="43" l="1"/>
  <c r="BP29"/>
  <c r="BR29" s="1"/>
  <c r="BV29" s="1"/>
  <c r="L28"/>
  <c r="BP28"/>
  <c r="BR28" s="1"/>
  <c r="BV28" s="1"/>
  <c r="BS61" i="45"/>
  <c r="BW61" s="1"/>
  <c r="BQ63"/>
  <c r="BJ39" i="43"/>
  <c r="BJ38"/>
  <c r="BJ37"/>
  <c r="BJ36"/>
  <c r="BJ35"/>
  <c r="BJ32"/>
  <c r="BJ31"/>
  <c r="BJ30"/>
  <c r="F30" s="1"/>
  <c r="BJ27"/>
  <c r="F27" s="1"/>
  <c r="BJ26"/>
  <c r="BJ23"/>
  <c r="BJ22"/>
  <c r="BJ21"/>
  <c r="BJ20"/>
  <c r="BJ18"/>
  <c r="BJ17"/>
  <c r="BJ19" s="1"/>
  <c r="BJ16"/>
  <c r="BJ12"/>
  <c r="BJ13"/>
  <c r="BJ14"/>
  <c r="BJ11"/>
  <c r="BK25"/>
  <c r="BI27"/>
  <c r="BI30"/>
  <c r="BG27"/>
  <c r="BG30"/>
  <c r="BE27"/>
  <c r="BE30"/>
  <c r="BC27"/>
  <c r="BC30"/>
  <c r="BA32"/>
  <c r="BA31"/>
  <c r="BA30"/>
  <c r="BA27"/>
  <c r="AY27"/>
  <c r="AY30"/>
  <c r="AW27"/>
  <c r="AW30"/>
  <c r="AW31"/>
  <c r="AW32"/>
  <c r="AU27"/>
  <c r="AU30"/>
  <c r="AS39"/>
  <c r="AS38"/>
  <c r="AS37"/>
  <c r="AS36"/>
  <c r="AS18"/>
  <c r="AS17"/>
  <c r="AS23"/>
  <c r="AS22"/>
  <c r="AS21"/>
  <c r="AS32"/>
  <c r="AS31"/>
  <c r="AS30"/>
  <c r="AS27"/>
  <c r="AQ39"/>
  <c r="AQ38"/>
  <c r="AQ37"/>
  <c r="AQ36"/>
  <c r="AQ35"/>
  <c r="AQ32"/>
  <c r="AQ31"/>
  <c r="AQ30"/>
  <c r="AQ27"/>
  <c r="AQ26"/>
  <c r="AQ23"/>
  <c r="AQ22"/>
  <c r="AQ21"/>
  <c r="AQ24" s="1"/>
  <c r="AQ18"/>
  <c r="AQ17"/>
  <c r="AQ19" s="1"/>
  <c r="AO27"/>
  <c r="AO30"/>
  <c r="AM39"/>
  <c r="AM38"/>
  <c r="AM37"/>
  <c r="AM36"/>
  <c r="AM35"/>
  <c r="AM14"/>
  <c r="AM18"/>
  <c r="AM17"/>
  <c r="AM19" s="1"/>
  <c r="AM23"/>
  <c r="AM22"/>
  <c r="AM21"/>
  <c r="AM24" s="1"/>
  <c r="AM20"/>
  <c r="AM27"/>
  <c r="AM30"/>
  <c r="AM31"/>
  <c r="AM32"/>
  <c r="AM26"/>
  <c r="AM33" s="1"/>
  <c r="AK30"/>
  <c r="AK27"/>
  <c r="AI27"/>
  <c r="AI30"/>
  <c r="AG27"/>
  <c r="AG30"/>
  <c r="AE27"/>
  <c r="AE30"/>
  <c r="AC27"/>
  <c r="AC30"/>
  <c r="AA27"/>
  <c r="AA30"/>
  <c r="AQ33" l="1"/>
  <c r="AS24"/>
  <c r="BJ15"/>
  <c r="F14"/>
  <c r="G14" s="1"/>
  <c r="BA33"/>
  <c r="BJ24"/>
  <c r="AS33"/>
  <c r="AS19"/>
  <c r="BJ33"/>
  <c r="AM40"/>
  <c r="T27"/>
  <c r="X27" s="1"/>
  <c r="G27"/>
  <c r="R27"/>
  <c r="V27" s="1"/>
  <c r="U27"/>
  <c r="Y27" s="1"/>
  <c r="S27"/>
  <c r="W27" s="1"/>
  <c r="G30"/>
  <c r="BP30" s="1"/>
  <c r="BR30" s="1"/>
  <c r="BV30" s="1"/>
  <c r="U30"/>
  <c r="Y30" s="1"/>
  <c r="T30"/>
  <c r="X30" s="1"/>
  <c r="R30"/>
  <c r="V30" s="1"/>
  <c r="S30"/>
  <c r="W30" s="1"/>
  <c r="AS40"/>
  <c r="AQ40"/>
  <c r="BJ40"/>
  <c r="BK30"/>
  <c r="BK27"/>
  <c r="AX54" i="45"/>
  <c r="BJ54"/>
  <c r="AX53"/>
  <c r="BJ53"/>
  <c r="BK34" i="43"/>
  <c r="AL29" i="48"/>
  <c r="AJ29"/>
  <c r="AH29"/>
  <c r="AF29"/>
  <c r="AD29"/>
  <c r="AB29"/>
  <c r="Z29"/>
  <c r="X29"/>
  <c r="V29"/>
  <c r="T29"/>
  <c r="R29"/>
  <c r="P29"/>
  <c r="N29"/>
  <c r="I29"/>
  <c r="G29"/>
  <c r="H21"/>
  <c r="BJ56" i="43" l="1"/>
  <c r="J27"/>
  <c r="J33" s="1"/>
  <c r="J56" s="1"/>
  <c r="P27"/>
  <c r="BP27"/>
  <c r="BR27" s="1"/>
  <c r="BV27" s="1"/>
  <c r="BL53" i="45"/>
  <c r="BL54"/>
  <c r="L30" i="43"/>
  <c r="L33" s="1"/>
  <c r="L56" s="1"/>
  <c r="P30"/>
  <c r="C22" i="39"/>
  <c r="C21"/>
  <c r="C16"/>
  <c r="C17"/>
  <c r="C15"/>
  <c r="C11"/>
  <c r="C10"/>
  <c r="BE37" i="47"/>
  <c r="AO37"/>
  <c r="AO13" i="46"/>
  <c r="AO12"/>
  <c r="AO20"/>
  <c r="AO19"/>
  <c r="AO30"/>
  <c r="AO28"/>
  <c r="AO26"/>
  <c r="AO40"/>
  <c r="AO39"/>
  <c r="AO38"/>
  <c r="AO37"/>
  <c r="AO50"/>
  <c r="AO49"/>
  <c r="AO47"/>
  <c r="AO46"/>
  <c r="AO45"/>
  <c r="AO43"/>
  <c r="AO59"/>
  <c r="AO58"/>
  <c r="AO57"/>
  <c r="AO62"/>
  <c r="AO63" s="1"/>
  <c r="AT49"/>
  <c r="AC12" i="25"/>
  <c r="AA12"/>
  <c r="BJ82" i="24" l="1"/>
  <c r="E43" i="25"/>
  <c r="BJ41" i="24"/>
  <c r="G42"/>
  <c r="H42" s="1"/>
  <c r="BI42"/>
  <c r="BK42" s="1"/>
  <c r="BP42" s="1"/>
  <c r="BR42" s="1"/>
  <c r="BV42" s="1"/>
  <c r="BJ42"/>
  <c r="F42"/>
  <c r="T42"/>
  <c r="AL29" i="47"/>
  <c r="AZ29"/>
  <c r="AN29"/>
  <c r="AN35" s="1"/>
  <c r="AD29"/>
  <c r="I42" i="24" l="1"/>
  <c r="I21" i="48"/>
  <c r="J16" l="1"/>
  <c r="J10"/>
  <c r="J4"/>
  <c r="J15"/>
  <c r="J9"/>
  <c r="J3"/>
  <c r="L3" s="1"/>
  <c r="J14"/>
  <c r="J8"/>
  <c r="J19"/>
  <c r="J13"/>
  <c r="J7"/>
  <c r="J18"/>
  <c r="J12"/>
  <c r="J6"/>
  <c r="J17"/>
  <c r="J11"/>
  <c r="J5"/>
  <c r="BD48" i="46"/>
  <c r="BE48" s="1"/>
  <c r="AZ48"/>
  <c r="AX48"/>
  <c r="AV48"/>
  <c r="AT48"/>
  <c r="AU48" s="1"/>
  <c r="AR48"/>
  <c r="AS48" s="1"/>
  <c r="AP48"/>
  <c r="AQ48" s="1"/>
  <c r="AN48"/>
  <c r="AO48" s="1"/>
  <c r="AL48"/>
  <c r="AJ48"/>
  <c r="AH48"/>
  <c r="AI48" s="1"/>
  <c r="AF48"/>
  <c r="AG48" s="1"/>
  <c r="AD48"/>
  <c r="AE48" s="1"/>
  <c r="AB48"/>
  <c r="AC48" s="1"/>
  <c r="Z48"/>
  <c r="X48"/>
  <c r="BG48"/>
  <c r="BB48"/>
  <c r="BC48" s="1"/>
  <c r="BA48"/>
  <c r="AY48"/>
  <c r="AW48"/>
  <c r="AM48"/>
  <c r="AK48"/>
  <c r="AA48"/>
  <c r="Y48"/>
  <c r="AH44"/>
  <c r="AJ44"/>
  <c r="AL44"/>
  <c r="BD44"/>
  <c r="BB44"/>
  <c r="AZ44"/>
  <c r="AX44"/>
  <c r="AV44"/>
  <c r="AT44"/>
  <c r="AR44"/>
  <c r="AP44"/>
  <c r="AN44"/>
  <c r="AO44" s="1"/>
  <c r="AF44"/>
  <c r="AD44"/>
  <c r="Z44"/>
  <c r="AA44" s="1"/>
  <c r="AB44"/>
  <c r="X44"/>
  <c r="BG38"/>
  <c r="BE38"/>
  <c r="BB38"/>
  <c r="BC38" s="1"/>
  <c r="AZ38"/>
  <c r="BA38" s="1"/>
  <c r="AY38"/>
  <c r="AW38"/>
  <c r="AU38"/>
  <c r="AS38"/>
  <c r="AQ38"/>
  <c r="AM38"/>
  <c r="AK38"/>
  <c r="AH38"/>
  <c r="AI38" s="1"/>
  <c r="AF38"/>
  <c r="AG38" s="1"/>
  <c r="AD38"/>
  <c r="AE38" s="1"/>
  <c r="AB38"/>
  <c r="AC38" s="1"/>
  <c r="Z38"/>
  <c r="AA38" s="1"/>
  <c r="X38"/>
  <c r="Y38" s="1"/>
  <c r="BF37"/>
  <c r="BG37" s="1"/>
  <c r="BE37"/>
  <c r="BC37"/>
  <c r="BA37"/>
  <c r="AY37"/>
  <c r="AW37"/>
  <c r="AU37"/>
  <c r="AS37"/>
  <c r="AQ37"/>
  <c r="AM37"/>
  <c r="AK37"/>
  <c r="AI37"/>
  <c r="AG37"/>
  <c r="AE37"/>
  <c r="AC37"/>
  <c r="AA37"/>
  <c r="Y37"/>
  <c r="BD33"/>
  <c r="BB33"/>
  <c r="BC33" s="1"/>
  <c r="AZ33"/>
  <c r="AX33"/>
  <c r="AY33" s="1"/>
  <c r="AV33"/>
  <c r="AW33" s="1"/>
  <c r="AT33"/>
  <c r="AU33" s="1"/>
  <c r="AR33"/>
  <c r="AS33" s="1"/>
  <c r="AP33"/>
  <c r="AQ33" s="1"/>
  <c r="AN33"/>
  <c r="AO33" s="1"/>
  <c r="AL33"/>
  <c r="AM33" s="1"/>
  <c r="AJ33"/>
  <c r="AH33"/>
  <c r="AI33" s="1"/>
  <c r="AF33"/>
  <c r="AG33" s="1"/>
  <c r="AD33"/>
  <c r="AE33" s="1"/>
  <c r="AB33"/>
  <c r="AC33" s="1"/>
  <c r="Z33"/>
  <c r="AA33" s="1"/>
  <c r="X33"/>
  <c r="Y33" s="1"/>
  <c r="BG33"/>
  <c r="BE33"/>
  <c r="BA33"/>
  <c r="AK33"/>
  <c r="BG29"/>
  <c r="BD29"/>
  <c r="BE29" s="1"/>
  <c r="BB29"/>
  <c r="BC29" s="1"/>
  <c r="AZ29"/>
  <c r="BA29" s="1"/>
  <c r="AX29"/>
  <c r="AY29" s="1"/>
  <c r="AV29"/>
  <c r="AW29" s="1"/>
  <c r="AT29"/>
  <c r="AU29" s="1"/>
  <c r="AR29"/>
  <c r="AS29" s="1"/>
  <c r="AP29"/>
  <c r="AQ29" s="1"/>
  <c r="AN29"/>
  <c r="AO29" s="1"/>
  <c r="AL29"/>
  <c r="AM29" s="1"/>
  <c r="AJ29"/>
  <c r="AK29" s="1"/>
  <c r="AH29"/>
  <c r="AI29" s="1"/>
  <c r="AF29"/>
  <c r="AG29" s="1"/>
  <c r="AD29"/>
  <c r="AE29" s="1"/>
  <c r="AB29"/>
  <c r="AC29" s="1"/>
  <c r="Z29"/>
  <c r="AA29" s="1"/>
  <c r="X29"/>
  <c r="Y29" s="1"/>
  <c r="BD27"/>
  <c r="BB27"/>
  <c r="BC27" s="1"/>
  <c r="AZ27"/>
  <c r="AX27"/>
  <c r="AY27" s="1"/>
  <c r="AV27"/>
  <c r="AW27" s="1"/>
  <c r="AT27"/>
  <c r="AU27" s="1"/>
  <c r="AR27"/>
  <c r="AS27" s="1"/>
  <c r="AP27"/>
  <c r="AQ27" s="1"/>
  <c r="AN27"/>
  <c r="AO27" s="1"/>
  <c r="AL27"/>
  <c r="AM27" s="1"/>
  <c r="AJ27"/>
  <c r="AH27"/>
  <c r="AF27"/>
  <c r="AD27"/>
  <c r="AB27"/>
  <c r="Z27"/>
  <c r="X27"/>
  <c r="Y27" s="1"/>
  <c r="BG27"/>
  <c r="BE27"/>
  <c r="BA27"/>
  <c r="AI27"/>
  <c r="AG27"/>
  <c r="AE27"/>
  <c r="AC27"/>
  <c r="AA27"/>
  <c r="BF26"/>
  <c r="AU30"/>
  <c r="AU28"/>
  <c r="AU26"/>
  <c r="BD23"/>
  <c r="BB23"/>
  <c r="AZ23"/>
  <c r="AX23"/>
  <c r="AV23"/>
  <c r="AT23"/>
  <c r="AR23"/>
  <c r="AP23"/>
  <c r="AN23"/>
  <c r="AO23" s="1"/>
  <c r="AL23"/>
  <c r="AJ23"/>
  <c r="AH23"/>
  <c r="AF23"/>
  <c r="AD23"/>
  <c r="AB23"/>
  <c r="Z23"/>
  <c r="AA23" s="1"/>
  <c r="X23"/>
  <c r="BD22"/>
  <c r="BB22"/>
  <c r="AZ22"/>
  <c r="AX22"/>
  <c r="AV22"/>
  <c r="AT22"/>
  <c r="AR22"/>
  <c r="AP22"/>
  <c r="AN22"/>
  <c r="AO22" s="1"/>
  <c r="AL22"/>
  <c r="AJ22"/>
  <c r="AH22"/>
  <c r="AF22"/>
  <c r="AD22"/>
  <c r="AB22"/>
  <c r="Z22"/>
  <c r="AA22"/>
  <c r="X22"/>
  <c r="BD21"/>
  <c r="BB21"/>
  <c r="AZ21"/>
  <c r="AX21"/>
  <c r="AV21"/>
  <c r="AT21"/>
  <c r="AR21"/>
  <c r="AP21"/>
  <c r="AN21"/>
  <c r="AO21" s="1"/>
  <c r="AL21"/>
  <c r="AJ21"/>
  <c r="AH21"/>
  <c r="AF21"/>
  <c r="AD21"/>
  <c r="AB21"/>
  <c r="Z21"/>
  <c r="AA21" s="1"/>
  <c r="X21"/>
  <c r="BB20"/>
  <c r="AZ20"/>
  <c r="AH20"/>
  <c r="AF20"/>
  <c r="AD20"/>
  <c r="AB20"/>
  <c r="Z20"/>
  <c r="AA20" s="1"/>
  <c r="X20"/>
  <c r="BF19"/>
  <c r="AA62"/>
  <c r="AA63" s="1"/>
  <c r="AA59"/>
  <c r="AA58"/>
  <c r="AA57"/>
  <c r="AA50"/>
  <c r="AA49"/>
  <c r="AA47"/>
  <c r="AA46"/>
  <c r="AA45"/>
  <c r="AA43"/>
  <c r="AA40"/>
  <c r="AA39"/>
  <c r="AA30"/>
  <c r="AA28"/>
  <c r="AA26"/>
  <c r="AA19"/>
  <c r="AA13"/>
  <c r="AA12"/>
  <c r="AO15"/>
  <c r="AA15"/>
  <c r="K18" i="48" l="1"/>
  <c r="L18"/>
  <c r="K5"/>
  <c r="L5"/>
  <c r="K15"/>
  <c r="L15"/>
  <c r="K17"/>
  <c r="L17"/>
  <c r="K19"/>
  <c r="L19"/>
  <c r="K4"/>
  <c r="L4"/>
  <c r="K9"/>
  <c r="L9"/>
  <c r="K13"/>
  <c r="L13"/>
  <c r="K6"/>
  <c r="L6"/>
  <c r="K8"/>
  <c r="L8"/>
  <c r="K10"/>
  <c r="L10"/>
  <c r="K7"/>
  <c r="L7"/>
  <c r="K11"/>
  <c r="L11"/>
  <c r="K12"/>
  <c r="L12"/>
  <c r="K14"/>
  <c r="L14"/>
  <c r="K16"/>
  <c r="L16"/>
  <c r="K3"/>
  <c r="J21"/>
  <c r="AK27" i="46"/>
  <c r="L21" i="48" l="1"/>
  <c r="K21"/>
  <c r="AW13" i="46"/>
  <c r="BJ10" i="47"/>
  <c r="F10" s="1"/>
  <c r="BK37"/>
  <c r="BO37" s="1"/>
  <c r="BR37" s="1"/>
  <c r="BV37" s="1"/>
  <c r="AB37"/>
  <c r="AD37"/>
  <c r="AF37"/>
  <c r="AH37"/>
  <c r="AJ37"/>
  <c r="AL37"/>
  <c r="AR37"/>
  <c r="AT37"/>
  <c r="AV37"/>
  <c r="AX37"/>
  <c r="AZ37"/>
  <c r="U10" l="1"/>
  <c r="Y10" s="1"/>
  <c r="T10"/>
  <c r="X10" s="1"/>
  <c r="S10"/>
  <c r="W10" s="1"/>
  <c r="R10"/>
  <c r="V10" s="1"/>
  <c r="BG33"/>
  <c r="BE33"/>
  <c r="BC33"/>
  <c r="BA33"/>
  <c r="AY33"/>
  <c r="AW33"/>
  <c r="AU33"/>
  <c r="AS33"/>
  <c r="AQ33"/>
  <c r="AO33"/>
  <c r="AM33"/>
  <c r="AK33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BF29"/>
  <c r="BG29" s="1"/>
  <c r="BD29"/>
  <c r="BB29"/>
  <c r="BC29" s="1"/>
  <c r="BA29"/>
  <c r="AX29"/>
  <c r="AY29" s="1"/>
  <c r="AV29"/>
  <c r="AW29" s="1"/>
  <c r="AT29"/>
  <c r="AU29" s="1"/>
  <c r="AR29"/>
  <c r="AS29" s="1"/>
  <c r="AP29"/>
  <c r="AQ29" s="1"/>
  <c r="AO29"/>
  <c r="AM29"/>
  <c r="AJ29"/>
  <c r="AK29" s="1"/>
  <c r="AH29"/>
  <c r="AI29" s="1"/>
  <c r="AF29"/>
  <c r="AG29" s="1"/>
  <c r="AE29"/>
  <c r="AB29"/>
  <c r="AC29" s="1"/>
  <c r="Z29"/>
  <c r="AA29" s="1"/>
  <c r="AS19"/>
  <c r="BE29" l="1"/>
  <c r="BD35"/>
  <c r="BN16" i="41"/>
  <c r="BP16"/>
  <c r="BP32" s="1"/>
  <c r="BR16"/>
  <c r="BR32" s="1"/>
  <c r="BS16"/>
  <c r="BS32" s="1"/>
  <c r="Y16"/>
  <c r="AA16"/>
  <c r="AC16"/>
  <c r="AE16"/>
  <c r="AG16"/>
  <c r="AI16"/>
  <c r="AK16"/>
  <c r="AM16"/>
  <c r="AO16"/>
  <c r="AQ16"/>
  <c r="AS16"/>
  <c r="AU16"/>
  <c r="AW16"/>
  <c r="AY16"/>
  <c r="BA16"/>
  <c r="BC16"/>
  <c r="BE16"/>
  <c r="BG16"/>
  <c r="U14"/>
  <c r="W14"/>
  <c r="X14"/>
  <c r="Y33" i="26"/>
  <c r="W25"/>
  <c r="X25"/>
  <c r="Y25"/>
  <c r="W26"/>
  <c r="X26"/>
  <c r="Y26"/>
  <c r="S13"/>
  <c r="T13"/>
  <c r="U13"/>
  <c r="V13"/>
  <c r="V13" i="24"/>
  <c r="X13"/>
  <c r="Y13"/>
  <c r="V14"/>
  <c r="X14"/>
  <c r="Y14"/>
  <c r="V15"/>
  <c r="X15"/>
  <c r="Y15"/>
  <c r="V16"/>
  <c r="X16"/>
  <c r="Y16"/>
  <c r="V17"/>
  <c r="X17"/>
  <c r="Y17"/>
  <c r="V18"/>
  <c r="X18"/>
  <c r="Y18"/>
  <c r="V19"/>
  <c r="X19"/>
  <c r="Y19"/>
  <c r="V20"/>
  <c r="X20"/>
  <c r="Y20"/>
  <c r="V21"/>
  <c r="X21"/>
  <c r="Y21"/>
  <c r="V22"/>
  <c r="X22"/>
  <c r="Y22"/>
  <c r="V23"/>
  <c r="X23"/>
  <c r="Y23"/>
  <c r="Y27" i="26" l="1"/>
  <c r="X27"/>
  <c r="W27"/>
  <c r="AW32" i="41"/>
  <c r="AC22" i="39" s="1"/>
  <c r="AK32" i="41"/>
  <c r="Q22" i="39" s="1"/>
  <c r="Y32" i="41"/>
  <c r="E22" i="39" s="1"/>
  <c r="BG32" i="41"/>
  <c r="AM22" i="39" s="1"/>
  <c r="AU32" i="41"/>
  <c r="AA22" i="39" s="1"/>
  <c r="AI32" i="41"/>
  <c r="O22" i="39" s="1"/>
  <c r="BE32" i="41"/>
  <c r="AK22" i="39" s="1"/>
  <c r="AS32" i="41"/>
  <c r="Y22" i="39" s="1"/>
  <c r="AG32" i="41"/>
  <c r="M22" i="39" s="1"/>
  <c r="BC32" i="41"/>
  <c r="AI22" i="39" s="1"/>
  <c r="AQ32" i="41"/>
  <c r="W22" i="39" s="1"/>
  <c r="AE32" i="41"/>
  <c r="K22" i="39" s="1"/>
  <c r="BA32" i="41"/>
  <c r="AG22" i="39" s="1"/>
  <c r="AO32" i="41"/>
  <c r="U22" i="39" s="1"/>
  <c r="AC32" i="41"/>
  <c r="I22" i="39" s="1"/>
  <c r="AY32" i="41"/>
  <c r="AE22" i="39" s="1"/>
  <c r="AM32" i="41"/>
  <c r="S22" i="39" s="1"/>
  <c r="AA32" i="41"/>
  <c r="G22" i="39" s="1"/>
  <c r="BK82" i="45"/>
  <c r="BK81"/>
  <c r="BK80"/>
  <c r="BK79"/>
  <c r="BK78"/>
  <c r="BK77"/>
  <c r="BK76"/>
  <c r="BK75"/>
  <c r="G75" s="1"/>
  <c r="H75" s="1"/>
  <c r="BK74"/>
  <c r="BK73"/>
  <c r="BK72"/>
  <c r="BK71"/>
  <c r="BK70"/>
  <c r="BK69"/>
  <c r="BK68"/>
  <c r="BK67"/>
  <c r="BK66"/>
  <c r="BK65"/>
  <c r="BK64"/>
  <c r="BK59"/>
  <c r="G59" s="1"/>
  <c r="BK58"/>
  <c r="G58" s="1"/>
  <c r="BK57"/>
  <c r="G57" s="1"/>
  <c r="BK56"/>
  <c r="G56" s="1"/>
  <c r="BK55"/>
  <c r="G55" s="1"/>
  <c r="BK48"/>
  <c r="BK47"/>
  <c r="G47" s="1"/>
  <c r="G46"/>
  <c r="BK44"/>
  <c r="G44" s="1"/>
  <c r="BK43"/>
  <c r="BK34"/>
  <c r="G34" s="1"/>
  <c r="BK33"/>
  <c r="G33" s="1"/>
  <c r="BK32"/>
  <c r="BK30"/>
  <c r="G30" s="1"/>
  <c r="BK29"/>
  <c r="G29" s="1"/>
  <c r="BK28"/>
  <c r="G28" s="1"/>
  <c r="BK27"/>
  <c r="G27" s="1"/>
  <c r="BK26"/>
  <c r="G26" s="1"/>
  <c r="BK25"/>
  <c r="G25" s="1"/>
  <c r="BK24"/>
  <c r="G24" s="1"/>
  <c r="BK23"/>
  <c r="BK22"/>
  <c r="BK20"/>
  <c r="G20" s="1"/>
  <c r="BK19"/>
  <c r="BK18"/>
  <c r="G18" s="1"/>
  <c r="BK17"/>
  <c r="G17" s="1"/>
  <c r="BK14"/>
  <c r="G14" s="1"/>
  <c r="BK13"/>
  <c r="G13" s="1"/>
  <c r="AM62" i="46"/>
  <c r="AM63" s="1"/>
  <c r="AM59"/>
  <c r="AM58"/>
  <c r="AM57"/>
  <c r="AM50"/>
  <c r="AM49"/>
  <c r="BI48"/>
  <c r="BM48" s="1"/>
  <c r="BP48" s="1"/>
  <c r="BT48" s="1"/>
  <c r="AM47"/>
  <c r="AM46"/>
  <c r="AM45"/>
  <c r="AM44"/>
  <c r="AM43"/>
  <c r="AM40"/>
  <c r="AM39"/>
  <c r="BI38"/>
  <c r="BM38" s="1"/>
  <c r="BP38" s="1"/>
  <c r="AM30"/>
  <c r="BI29"/>
  <c r="BM29" s="1"/>
  <c r="BP29" s="1"/>
  <c r="AM28"/>
  <c r="AM26"/>
  <c r="AM23"/>
  <c r="AM22"/>
  <c r="AM21"/>
  <c r="AM20"/>
  <c r="AM19"/>
  <c r="AM15"/>
  <c r="AM13"/>
  <c r="AM12"/>
  <c r="AK62"/>
  <c r="AK63" s="1"/>
  <c r="AK59"/>
  <c r="AK58"/>
  <c r="AK57"/>
  <c r="AK50"/>
  <c r="AK49"/>
  <c r="AK47"/>
  <c r="AK46"/>
  <c r="AK45"/>
  <c r="AK44"/>
  <c r="AK43"/>
  <c r="AK40"/>
  <c r="AK39"/>
  <c r="AK30"/>
  <c r="AK28"/>
  <c r="BI27"/>
  <c r="BM27" s="1"/>
  <c r="BP27" s="1"/>
  <c r="AK26"/>
  <c r="AK23"/>
  <c r="AK22"/>
  <c r="AK21"/>
  <c r="AK20"/>
  <c r="AK19"/>
  <c r="AK15"/>
  <c r="AK13"/>
  <c r="AK12"/>
  <c r="AI62"/>
  <c r="AI63" s="1"/>
  <c r="AI59"/>
  <c r="AI58"/>
  <c r="AI57"/>
  <c r="AI50"/>
  <c r="AI49"/>
  <c r="AI47"/>
  <c r="AI46"/>
  <c r="AI45"/>
  <c r="AI44"/>
  <c r="AI43"/>
  <c r="AI40"/>
  <c r="AI39"/>
  <c r="BI33"/>
  <c r="BM33" s="1"/>
  <c r="AI30"/>
  <c r="AI28"/>
  <c r="AI26"/>
  <c r="AI23"/>
  <c r="AI22"/>
  <c r="AI21"/>
  <c r="AI20"/>
  <c r="AI19"/>
  <c r="AI15"/>
  <c r="AI13"/>
  <c r="AI12"/>
  <c r="BA62"/>
  <c r="BA63" s="1"/>
  <c r="BA59"/>
  <c r="BA58"/>
  <c r="BA57"/>
  <c r="BA50"/>
  <c r="BA49"/>
  <c r="BA47"/>
  <c r="BA46"/>
  <c r="BA45"/>
  <c r="BA44"/>
  <c r="BA43"/>
  <c r="BA40"/>
  <c r="BA39"/>
  <c r="BA30"/>
  <c r="BA28"/>
  <c r="BA26"/>
  <c r="BA23"/>
  <c r="BA22"/>
  <c r="BA21"/>
  <c r="BA20"/>
  <c r="BA19"/>
  <c r="BA15"/>
  <c r="BA13"/>
  <c r="BA12"/>
  <c r="AY12"/>
  <c r="BI37"/>
  <c r="BM37" s="1"/>
  <c r="BP37" s="1"/>
  <c r="BH62"/>
  <c r="BH59"/>
  <c r="D59" s="1"/>
  <c r="BH58"/>
  <c r="D58" s="1"/>
  <c r="BH57"/>
  <c r="D57" s="1"/>
  <c r="BH53"/>
  <c r="D53" s="1"/>
  <c r="BH50"/>
  <c r="D50" s="1"/>
  <c r="BH49"/>
  <c r="D49" s="1"/>
  <c r="BH48"/>
  <c r="D48" s="1"/>
  <c r="BH47"/>
  <c r="D47" s="1"/>
  <c r="BH46"/>
  <c r="D46" s="1"/>
  <c r="BH45"/>
  <c r="D45" s="1"/>
  <c r="BH44"/>
  <c r="D44" s="1"/>
  <c r="BH43"/>
  <c r="D43" s="1"/>
  <c r="BH40"/>
  <c r="D40" s="1"/>
  <c r="BH39"/>
  <c r="D39" s="1"/>
  <c r="BH38"/>
  <c r="D38" s="1"/>
  <c r="BH37"/>
  <c r="D37" s="1"/>
  <c r="BH33"/>
  <c r="D33" s="1"/>
  <c r="BH30"/>
  <c r="D30" s="1"/>
  <c r="BH29"/>
  <c r="D29" s="1"/>
  <c r="BH28"/>
  <c r="D28" s="1"/>
  <c r="BH27"/>
  <c r="D27" s="1"/>
  <c r="BH26"/>
  <c r="D26" s="1"/>
  <c r="BH23"/>
  <c r="D23" s="1"/>
  <c r="BH22"/>
  <c r="D22" s="1"/>
  <c r="BH21"/>
  <c r="D21" s="1"/>
  <c r="BH20"/>
  <c r="D20" s="1"/>
  <c r="BH19"/>
  <c r="D19" s="1"/>
  <c r="BH15"/>
  <c r="D15" s="1"/>
  <c r="BH13"/>
  <c r="D13" s="1"/>
  <c r="BH12"/>
  <c r="D12" s="1"/>
  <c r="H60"/>
  <c r="I60"/>
  <c r="J60"/>
  <c r="K60"/>
  <c r="L60"/>
  <c r="M60"/>
  <c r="N60"/>
  <c r="O60"/>
  <c r="H54"/>
  <c r="I54"/>
  <c r="J54"/>
  <c r="K54"/>
  <c r="L54"/>
  <c r="M54"/>
  <c r="N54"/>
  <c r="O54"/>
  <c r="H51"/>
  <c r="I51"/>
  <c r="J51"/>
  <c r="K51"/>
  <c r="L51"/>
  <c r="M51"/>
  <c r="N51"/>
  <c r="O51"/>
  <c r="H41"/>
  <c r="I41"/>
  <c r="J41"/>
  <c r="K41"/>
  <c r="L41"/>
  <c r="M41"/>
  <c r="N41"/>
  <c r="O41"/>
  <c r="H34"/>
  <c r="I34"/>
  <c r="I64" s="1"/>
  <c r="H11" i="20" s="1"/>
  <c r="J34" i="46"/>
  <c r="J64" s="1"/>
  <c r="I11" i="20" s="1"/>
  <c r="K34" i="46"/>
  <c r="L34"/>
  <c r="M34"/>
  <c r="N34"/>
  <c r="O34"/>
  <c r="O64" s="1"/>
  <c r="N11" i="20" s="1"/>
  <c r="H31" i="46"/>
  <c r="I31"/>
  <c r="J31"/>
  <c r="K31"/>
  <c r="L31"/>
  <c r="M31"/>
  <c r="N31"/>
  <c r="O31"/>
  <c r="H24"/>
  <c r="I24"/>
  <c r="J24"/>
  <c r="K24"/>
  <c r="L24"/>
  <c r="M24"/>
  <c r="N24"/>
  <c r="O24"/>
  <c r="X24"/>
  <c r="Z24"/>
  <c r="AA24"/>
  <c r="AB24"/>
  <c r="AD24"/>
  <c r="AF24"/>
  <c r="AH24"/>
  <c r="AJ24"/>
  <c r="AL24"/>
  <c r="AN24"/>
  <c r="AP24"/>
  <c r="AR24"/>
  <c r="AT24"/>
  <c r="AV24"/>
  <c r="AX24"/>
  <c r="AZ24"/>
  <c r="BB24"/>
  <c r="BD24"/>
  <c r="BF24"/>
  <c r="H16"/>
  <c r="I16"/>
  <c r="J16"/>
  <c r="K16"/>
  <c r="L16"/>
  <c r="M16"/>
  <c r="N16"/>
  <c r="O16"/>
  <c r="H14"/>
  <c r="H64" s="1"/>
  <c r="G11" i="20" s="1"/>
  <c r="I14" i="46"/>
  <c r="J14"/>
  <c r="K14"/>
  <c r="K64" s="1"/>
  <c r="J11" i="20" s="1"/>
  <c r="L14" i="46"/>
  <c r="L64" s="1"/>
  <c r="K11" i="20" s="1"/>
  <c r="M14" i="46"/>
  <c r="M64" s="1"/>
  <c r="L11" i="20" s="1"/>
  <c r="N14" i="46"/>
  <c r="N64" s="1"/>
  <c r="M11" i="20" s="1"/>
  <c r="O14" i="46"/>
  <c r="J15" i="47"/>
  <c r="K15"/>
  <c r="L15"/>
  <c r="M15"/>
  <c r="N15"/>
  <c r="O15"/>
  <c r="P15"/>
  <c r="Q15"/>
  <c r="J21"/>
  <c r="K21"/>
  <c r="L21"/>
  <c r="M21"/>
  <c r="N21"/>
  <c r="O21"/>
  <c r="P21"/>
  <c r="Q21"/>
  <c r="J27"/>
  <c r="K27"/>
  <c r="L27"/>
  <c r="M27"/>
  <c r="N27"/>
  <c r="O27"/>
  <c r="P27"/>
  <c r="Q27"/>
  <c r="J35"/>
  <c r="L35"/>
  <c r="N35"/>
  <c r="P35"/>
  <c r="J40"/>
  <c r="K40"/>
  <c r="L40"/>
  <c r="M40"/>
  <c r="N40"/>
  <c r="O40"/>
  <c r="P40"/>
  <c r="Q40"/>
  <c r="AB35"/>
  <c r="AD35"/>
  <c r="AF35"/>
  <c r="AH35"/>
  <c r="AJ35"/>
  <c r="AL35"/>
  <c r="AP35"/>
  <c r="AR35"/>
  <c r="AT35"/>
  <c r="AV35"/>
  <c r="AX35"/>
  <c r="AZ35"/>
  <c r="BB35"/>
  <c r="BF35"/>
  <c r="BH35"/>
  <c r="AB27"/>
  <c r="AD27"/>
  <c r="AF27"/>
  <c r="AH27"/>
  <c r="AJ27"/>
  <c r="AL27"/>
  <c r="AN27"/>
  <c r="AP27"/>
  <c r="AR27"/>
  <c r="AT27"/>
  <c r="AV27"/>
  <c r="AX27"/>
  <c r="AZ27"/>
  <c r="BB27"/>
  <c r="BD27"/>
  <c r="BF27"/>
  <c r="BH27"/>
  <c r="AB21"/>
  <c r="AD21"/>
  <c r="AF21"/>
  <c r="AH21"/>
  <c r="AJ21"/>
  <c r="AL21"/>
  <c r="AN21"/>
  <c r="AP21"/>
  <c r="AR21"/>
  <c r="AT21"/>
  <c r="AV21"/>
  <c r="AX21"/>
  <c r="AZ21"/>
  <c r="BB21"/>
  <c r="BD21"/>
  <c r="BF21"/>
  <c r="BH21"/>
  <c r="Z21"/>
  <c r="AB15"/>
  <c r="AD15"/>
  <c r="AF15"/>
  <c r="AH15"/>
  <c r="AJ15"/>
  <c r="AL15"/>
  <c r="AN15"/>
  <c r="AP15"/>
  <c r="AR15"/>
  <c r="AT15"/>
  <c r="AV15"/>
  <c r="AX15"/>
  <c r="AZ15"/>
  <c r="BB15"/>
  <c r="BD15"/>
  <c r="BF15"/>
  <c r="BH15"/>
  <c r="BJ39"/>
  <c r="F39" s="1"/>
  <c r="BJ38"/>
  <c r="F38" s="1"/>
  <c r="BJ20"/>
  <c r="F20" s="1"/>
  <c r="BJ18"/>
  <c r="BJ17"/>
  <c r="F17" s="1"/>
  <c r="BK33" i="26"/>
  <c r="BK32"/>
  <c r="BK31"/>
  <c r="BK30"/>
  <c r="BK29"/>
  <c r="BK28"/>
  <c r="BK26"/>
  <c r="BK25"/>
  <c r="BK24"/>
  <c r="BK23"/>
  <c r="BK21"/>
  <c r="BK22" s="1"/>
  <c r="BK20"/>
  <c r="BK19"/>
  <c r="BK17"/>
  <c r="BK16"/>
  <c r="BK18" s="1"/>
  <c r="BK12"/>
  <c r="BJ25"/>
  <c r="BJ26"/>
  <c r="BJ24"/>
  <c r="BJ21"/>
  <c r="BJ22" s="1"/>
  <c r="BJ20"/>
  <c r="BJ17"/>
  <c r="AL16"/>
  <c r="AL18" s="1"/>
  <c r="AP16"/>
  <c r="AP18" s="1"/>
  <c r="AV16"/>
  <c r="AV18" s="1"/>
  <c r="AX16"/>
  <c r="AX18" s="1"/>
  <c r="AZ16"/>
  <c r="AZ18" s="1"/>
  <c r="BB16"/>
  <c r="BD16"/>
  <c r="BD18" s="1"/>
  <c r="BF16"/>
  <c r="BF18" s="1"/>
  <c r="BH16"/>
  <c r="BH18" s="1"/>
  <c r="BJ12"/>
  <c r="BJ13"/>
  <c r="BH13"/>
  <c r="BD13"/>
  <c r="AZ13"/>
  <c r="AX13"/>
  <c r="AV13"/>
  <c r="AP13"/>
  <c r="AL13"/>
  <c r="J86" i="24"/>
  <c r="K86"/>
  <c r="L86"/>
  <c r="M86"/>
  <c r="N86"/>
  <c r="O86"/>
  <c r="P86"/>
  <c r="Q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D87" s="1"/>
  <c r="AI26" i="39" s="1"/>
  <c r="BE86" i="24"/>
  <c r="BE87" s="1"/>
  <c r="AJ26" i="39" s="1"/>
  <c r="BF86" i="24"/>
  <c r="BF87" s="1"/>
  <c r="AK26" i="39" s="1"/>
  <c r="BG86" i="24"/>
  <c r="BG87" s="1"/>
  <c r="AL26" i="39" s="1"/>
  <c r="BH86" i="24"/>
  <c r="J77"/>
  <c r="K77"/>
  <c r="L77"/>
  <c r="M77"/>
  <c r="N77"/>
  <c r="O77"/>
  <c r="P77"/>
  <c r="Q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D47"/>
  <c r="BE47"/>
  <c r="BF47"/>
  <c r="BG47"/>
  <c r="BH47"/>
  <c r="J32"/>
  <c r="K32"/>
  <c r="L32"/>
  <c r="M32"/>
  <c r="N32"/>
  <c r="O32"/>
  <c r="P32"/>
  <c r="Q32"/>
  <c r="R32"/>
  <c r="T32"/>
  <c r="U32"/>
  <c r="V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J24"/>
  <c r="K24"/>
  <c r="L24"/>
  <c r="M24"/>
  <c r="N24"/>
  <c r="O24"/>
  <c r="P24"/>
  <c r="Q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AU46" i="25"/>
  <c r="AK14"/>
  <c r="AK15" s="1"/>
  <c r="AK50"/>
  <c r="AK51"/>
  <c r="AK52"/>
  <c r="AK53"/>
  <c r="AK49"/>
  <c r="AO50"/>
  <c r="AO51"/>
  <c r="AO52"/>
  <c r="AO53"/>
  <c r="AO49"/>
  <c r="AN54"/>
  <c r="AU50"/>
  <c r="AU51"/>
  <c r="AU52"/>
  <c r="AU53"/>
  <c r="AU49"/>
  <c r="AW50"/>
  <c r="AW51"/>
  <c r="AW52"/>
  <c r="AW53"/>
  <c r="AW49"/>
  <c r="AY50"/>
  <c r="AY51"/>
  <c r="AY52"/>
  <c r="AY53"/>
  <c r="AY49"/>
  <c r="AV54"/>
  <c r="BJ50"/>
  <c r="BJ51"/>
  <c r="F51" s="1"/>
  <c r="BJ52"/>
  <c r="F52" s="1"/>
  <c r="BJ53"/>
  <c r="F53" s="1"/>
  <c r="BJ49"/>
  <c r="F49" s="1"/>
  <c r="BJ34"/>
  <c r="F34" s="1"/>
  <c r="BJ35"/>
  <c r="F35" s="1"/>
  <c r="BJ36"/>
  <c r="F36" s="1"/>
  <c r="BJ37"/>
  <c r="F37" s="1"/>
  <c r="BJ38"/>
  <c r="F38" s="1"/>
  <c r="BJ39"/>
  <c r="F39" s="1"/>
  <c r="BJ40"/>
  <c r="F40" s="1"/>
  <c r="BJ41"/>
  <c r="F41" s="1"/>
  <c r="BJ42"/>
  <c r="F42" s="1"/>
  <c r="BJ43"/>
  <c r="F43" s="1"/>
  <c r="BJ44"/>
  <c r="F44" s="1"/>
  <c r="BJ45"/>
  <c r="BJ46"/>
  <c r="F46" s="1"/>
  <c r="G46" s="1"/>
  <c r="BS46" s="1"/>
  <c r="BU46" s="1"/>
  <c r="BJ33"/>
  <c r="BJ18"/>
  <c r="F18" s="1"/>
  <c r="BJ20"/>
  <c r="F20" s="1"/>
  <c r="BJ21"/>
  <c r="F21" s="1"/>
  <c r="G21" s="1"/>
  <c r="BJ22"/>
  <c r="BJ23"/>
  <c r="F23" s="1"/>
  <c r="G23" s="1"/>
  <c r="BJ24"/>
  <c r="BJ25"/>
  <c r="F25" s="1"/>
  <c r="G25" s="1"/>
  <c r="BJ26"/>
  <c r="F26" s="1"/>
  <c r="G26" s="1"/>
  <c r="BJ27"/>
  <c r="F27" s="1"/>
  <c r="G27" s="1"/>
  <c r="BJ28"/>
  <c r="F28" s="1"/>
  <c r="G28" s="1"/>
  <c r="BJ17"/>
  <c r="F17" s="1"/>
  <c r="BJ13"/>
  <c r="F13" s="1"/>
  <c r="G13" s="1"/>
  <c r="BJ14"/>
  <c r="BJ12"/>
  <c r="F12" s="1"/>
  <c r="AY18"/>
  <c r="AY20"/>
  <c r="AY21"/>
  <c r="AY22"/>
  <c r="AY23"/>
  <c r="AY24"/>
  <c r="AY25"/>
  <c r="AY26"/>
  <c r="AY27"/>
  <c r="AY28"/>
  <c r="AY17"/>
  <c r="AW18"/>
  <c r="AW20"/>
  <c r="AW21"/>
  <c r="AW22"/>
  <c r="AW23"/>
  <c r="AW24"/>
  <c r="AW25"/>
  <c r="AW26"/>
  <c r="AW27"/>
  <c r="AW28"/>
  <c r="AW17"/>
  <c r="AU18"/>
  <c r="AU20"/>
  <c r="AU21"/>
  <c r="AU22"/>
  <c r="AU23"/>
  <c r="AU24"/>
  <c r="AU25"/>
  <c r="AU26"/>
  <c r="AU27"/>
  <c r="AU28"/>
  <c r="AU17"/>
  <c r="AO18"/>
  <c r="AO20"/>
  <c r="AO21"/>
  <c r="AO22"/>
  <c r="AO23"/>
  <c r="AO24"/>
  <c r="AO25"/>
  <c r="AO26"/>
  <c r="AO27"/>
  <c r="AO28"/>
  <c r="AO17"/>
  <c r="AK18"/>
  <c r="AK20"/>
  <c r="AK21"/>
  <c r="AK22"/>
  <c r="AK23"/>
  <c r="AK24"/>
  <c r="AK25"/>
  <c r="AK26"/>
  <c r="AK27"/>
  <c r="AK17"/>
  <c r="AK34"/>
  <c r="AK35"/>
  <c r="AK36"/>
  <c r="AK37"/>
  <c r="AK38"/>
  <c r="AK39"/>
  <c r="AK40"/>
  <c r="AK41"/>
  <c r="AK42"/>
  <c r="AK43"/>
  <c r="AK44"/>
  <c r="AK45"/>
  <c r="AK46"/>
  <c r="AK33"/>
  <c r="AO34"/>
  <c r="AO35"/>
  <c r="AO36"/>
  <c r="AO37"/>
  <c r="AO38"/>
  <c r="AO39"/>
  <c r="AO40"/>
  <c r="AO41"/>
  <c r="AO42"/>
  <c r="AO43"/>
  <c r="AO44"/>
  <c r="AO45"/>
  <c r="AO46"/>
  <c r="AO33"/>
  <c r="AU34"/>
  <c r="AU35"/>
  <c r="AU36"/>
  <c r="AU37"/>
  <c r="AU38"/>
  <c r="AU39"/>
  <c r="AU40"/>
  <c r="AU41"/>
  <c r="AU42"/>
  <c r="AU43"/>
  <c r="AU44"/>
  <c r="AU45"/>
  <c r="AU33"/>
  <c r="AW34"/>
  <c r="AW35"/>
  <c r="AW36"/>
  <c r="AW37"/>
  <c r="AW38"/>
  <c r="AW39"/>
  <c r="AW40"/>
  <c r="AW41"/>
  <c r="AW42"/>
  <c r="AW43"/>
  <c r="AW44"/>
  <c r="AW45"/>
  <c r="AW46"/>
  <c r="AW33"/>
  <c r="AY34"/>
  <c r="AY35"/>
  <c r="AY36"/>
  <c r="AY37"/>
  <c r="AY38"/>
  <c r="AY39"/>
  <c r="AY40"/>
  <c r="AY41"/>
  <c r="AY42"/>
  <c r="AY43"/>
  <c r="AY44"/>
  <c r="AY45"/>
  <c r="AY46"/>
  <c r="AY33"/>
  <c r="Z54"/>
  <c r="AB54"/>
  <c r="AD54"/>
  <c r="AF54"/>
  <c r="AH54"/>
  <c r="AJ54"/>
  <c r="AL54"/>
  <c r="AP54"/>
  <c r="AR54"/>
  <c r="AT54"/>
  <c r="AX54"/>
  <c r="AZ54"/>
  <c r="BB54"/>
  <c r="BD54"/>
  <c r="BF54"/>
  <c r="BH54"/>
  <c r="Z47"/>
  <c r="AB47"/>
  <c r="AD47"/>
  <c r="AF47"/>
  <c r="AH47"/>
  <c r="AJ47"/>
  <c r="AL47"/>
  <c r="AN47"/>
  <c r="AP47"/>
  <c r="AR47"/>
  <c r="AT47"/>
  <c r="AV47"/>
  <c r="AX47"/>
  <c r="AZ47"/>
  <c r="BB47"/>
  <c r="BD47"/>
  <c r="BF47"/>
  <c r="BH47"/>
  <c r="Z29"/>
  <c r="AB29"/>
  <c r="AD29"/>
  <c r="AF29"/>
  <c r="AH29"/>
  <c r="AJ29"/>
  <c r="AL29"/>
  <c r="AN29"/>
  <c r="AP29"/>
  <c r="AR29"/>
  <c r="AT29"/>
  <c r="AV29"/>
  <c r="AX29"/>
  <c r="AZ29"/>
  <c r="BB29"/>
  <c r="BD29"/>
  <c r="BF29"/>
  <c r="BH29"/>
  <c r="Z15"/>
  <c r="AB15"/>
  <c r="AD15"/>
  <c r="AF15"/>
  <c r="AH15"/>
  <c r="AJ15"/>
  <c r="AL15"/>
  <c r="AN15"/>
  <c r="AO15"/>
  <c r="AP15"/>
  <c r="AR15"/>
  <c r="AT15"/>
  <c r="AU15"/>
  <c r="AV15"/>
  <c r="AW15"/>
  <c r="AX15"/>
  <c r="AY15"/>
  <c r="AZ15"/>
  <c r="BB15"/>
  <c r="BD15"/>
  <c r="BF15"/>
  <c r="BH15"/>
  <c r="F45"/>
  <c r="F22"/>
  <c r="G22" s="1"/>
  <c r="F24"/>
  <c r="G24" s="1"/>
  <c r="F14"/>
  <c r="G14" s="1"/>
  <c r="G18" l="1"/>
  <c r="T18"/>
  <c r="X18" s="1"/>
  <c r="R18"/>
  <c r="V18" s="1"/>
  <c r="S18"/>
  <c r="W18" s="1"/>
  <c r="U18"/>
  <c r="E19" i="46"/>
  <c r="G19" s="1"/>
  <c r="P19"/>
  <c r="R19"/>
  <c r="S19"/>
  <c r="Q19"/>
  <c r="E38"/>
  <c r="G38" s="1"/>
  <c r="R38"/>
  <c r="V38" s="1"/>
  <c r="S38"/>
  <c r="W38" s="1"/>
  <c r="P38"/>
  <c r="T38" s="1"/>
  <c r="Q38"/>
  <c r="U38" s="1"/>
  <c r="E28"/>
  <c r="G28" s="1"/>
  <c r="R28"/>
  <c r="V28" s="1"/>
  <c r="S28"/>
  <c r="W28" s="1"/>
  <c r="Q28"/>
  <c r="U28" s="1"/>
  <c r="P28"/>
  <c r="T28" s="1"/>
  <c r="E26"/>
  <c r="R26"/>
  <c r="V26" s="1"/>
  <c r="P26"/>
  <c r="T26" s="1"/>
  <c r="S26"/>
  <c r="W26" s="1"/>
  <c r="Q26"/>
  <c r="U26" s="1"/>
  <c r="E37"/>
  <c r="R37"/>
  <c r="V37" s="1"/>
  <c r="S37"/>
  <c r="W37" s="1"/>
  <c r="Q37"/>
  <c r="U37" s="1"/>
  <c r="P37"/>
  <c r="T37" s="1"/>
  <c r="E45"/>
  <c r="P45"/>
  <c r="T45" s="1"/>
  <c r="R45"/>
  <c r="V45" s="1"/>
  <c r="Q45"/>
  <c r="U45" s="1"/>
  <c r="S45"/>
  <c r="W45" s="1"/>
  <c r="E46"/>
  <c r="G46" s="1"/>
  <c r="S46"/>
  <c r="W46" s="1"/>
  <c r="R46"/>
  <c r="V46" s="1"/>
  <c r="P46"/>
  <c r="T46" s="1"/>
  <c r="Q46"/>
  <c r="U46" s="1"/>
  <c r="BJ18" i="26"/>
  <c r="BK27"/>
  <c r="BK34"/>
  <c r="E21" i="46"/>
  <c r="G21" s="1"/>
  <c r="G24" s="1"/>
  <c r="R21"/>
  <c r="V21" s="1"/>
  <c r="S21"/>
  <c r="W21" s="1"/>
  <c r="P21"/>
  <c r="T21" s="1"/>
  <c r="Q21"/>
  <c r="U21" s="1"/>
  <c r="E29"/>
  <c r="R29"/>
  <c r="V29" s="1"/>
  <c r="S29"/>
  <c r="W29" s="1"/>
  <c r="Q29"/>
  <c r="U29" s="1"/>
  <c r="P29"/>
  <c r="T29" s="1"/>
  <c r="E40"/>
  <c r="P40"/>
  <c r="T40" s="1"/>
  <c r="R40"/>
  <c r="V40" s="1"/>
  <c r="Q40"/>
  <c r="U40" s="1"/>
  <c r="S40"/>
  <c r="W40" s="1"/>
  <c r="E48"/>
  <c r="P48"/>
  <c r="T48" s="1"/>
  <c r="R48"/>
  <c r="V48" s="1"/>
  <c r="Q48"/>
  <c r="U48" s="1"/>
  <c r="S48"/>
  <c r="W48" s="1"/>
  <c r="BJ27" i="26"/>
  <c r="E27" i="46"/>
  <c r="G27" s="1"/>
  <c r="P27"/>
  <c r="T27" s="1"/>
  <c r="R27"/>
  <c r="V27" s="1"/>
  <c r="Q27"/>
  <c r="U27" s="1"/>
  <c r="S27"/>
  <c r="W27" s="1"/>
  <c r="BP33"/>
  <c r="BP34" s="1"/>
  <c r="BM34"/>
  <c r="E20"/>
  <c r="G20" s="1"/>
  <c r="R20"/>
  <c r="V20" s="1"/>
  <c r="Q20"/>
  <c r="U20" s="1"/>
  <c r="P20"/>
  <c r="T20" s="1"/>
  <c r="S20"/>
  <c r="W20" s="1"/>
  <c r="E47"/>
  <c r="G47" s="1"/>
  <c r="R47"/>
  <c r="V47" s="1"/>
  <c r="S47"/>
  <c r="W47" s="1"/>
  <c r="P47"/>
  <c r="T47" s="1"/>
  <c r="Q47"/>
  <c r="U47" s="1"/>
  <c r="P12"/>
  <c r="T12" s="1"/>
  <c r="S12"/>
  <c r="W12" s="1"/>
  <c r="R12"/>
  <c r="V12" s="1"/>
  <c r="Q12"/>
  <c r="U12" s="1"/>
  <c r="E12"/>
  <c r="E22"/>
  <c r="G22" s="1"/>
  <c r="P22"/>
  <c r="T22" s="1"/>
  <c r="Q22"/>
  <c r="U22" s="1"/>
  <c r="S22"/>
  <c r="W22" s="1"/>
  <c r="R22"/>
  <c r="V22" s="1"/>
  <c r="E43"/>
  <c r="F43" s="1"/>
  <c r="R43"/>
  <c r="V43" s="1"/>
  <c r="P43"/>
  <c r="T43" s="1"/>
  <c r="Q43"/>
  <c r="U43" s="1"/>
  <c r="S43"/>
  <c r="W43" s="1"/>
  <c r="D62"/>
  <c r="E62" s="1"/>
  <c r="G62" s="1"/>
  <c r="G63" s="1"/>
  <c r="BH63"/>
  <c r="BH55" i="25"/>
  <c r="E23" i="46"/>
  <c r="G23" s="1"/>
  <c r="R23"/>
  <c r="V23" s="1"/>
  <c r="Q23"/>
  <c r="U23" s="1"/>
  <c r="P23"/>
  <c r="T23" s="1"/>
  <c r="S23"/>
  <c r="W23" s="1"/>
  <c r="E33"/>
  <c r="G33" s="1"/>
  <c r="G34" s="1"/>
  <c r="P33"/>
  <c r="T33" s="1"/>
  <c r="R33"/>
  <c r="V33" s="1"/>
  <c r="S33"/>
  <c r="W33" s="1"/>
  <c r="Q33"/>
  <c r="U33" s="1"/>
  <c r="E44"/>
  <c r="F44" s="1"/>
  <c r="S44"/>
  <c r="W44" s="1"/>
  <c r="R44"/>
  <c r="V44" s="1"/>
  <c r="Q44"/>
  <c r="U44" s="1"/>
  <c r="P44"/>
  <c r="T44" s="1"/>
  <c r="P53"/>
  <c r="D54"/>
  <c r="I14" i="25"/>
  <c r="H14"/>
  <c r="BN14"/>
  <c r="H13"/>
  <c r="I13"/>
  <c r="BN13"/>
  <c r="BR13" s="1"/>
  <c r="BT18"/>
  <c r="BU18" s="1"/>
  <c r="BV18" s="1"/>
  <c r="BP22"/>
  <c r="BR22" s="1"/>
  <c r="BV22" s="1"/>
  <c r="I22"/>
  <c r="H22"/>
  <c r="BP24"/>
  <c r="BR24" s="1"/>
  <c r="BV24" s="1"/>
  <c r="I24"/>
  <c r="H24"/>
  <c r="I27"/>
  <c r="H27"/>
  <c r="BP27"/>
  <c r="BR27" s="1"/>
  <c r="BV27" s="1"/>
  <c r="I26"/>
  <c r="BP26"/>
  <c r="BR26" s="1"/>
  <c r="BV26" s="1"/>
  <c r="H26"/>
  <c r="I25"/>
  <c r="H25"/>
  <c r="BP25"/>
  <c r="BR25" s="1"/>
  <c r="BV25" s="1"/>
  <c r="BF55"/>
  <c r="AK27" i="39" s="1"/>
  <c r="BD55" i="25"/>
  <c r="BB55"/>
  <c r="AZ55"/>
  <c r="AE27" i="39" s="1"/>
  <c r="AX55" i="25"/>
  <c r="AC27" i="39" s="1"/>
  <c r="AV55" i="25"/>
  <c r="AT55"/>
  <c r="AR55"/>
  <c r="W27" i="39" s="1"/>
  <c r="AP55" i="25"/>
  <c r="AN55"/>
  <c r="AL55"/>
  <c r="Q27" i="39" s="1"/>
  <c r="AJ55" i="25"/>
  <c r="AH55"/>
  <c r="M27" i="39" s="1"/>
  <c r="AF55" i="25"/>
  <c r="AD55"/>
  <c r="AB55"/>
  <c r="I28"/>
  <c r="BP28"/>
  <c r="BR28" s="1"/>
  <c r="BV28" s="1"/>
  <c r="H28"/>
  <c r="Z55"/>
  <c r="E27" i="39" s="1"/>
  <c r="BP21" i="25"/>
  <c r="BR21" s="1"/>
  <c r="BV21" s="1"/>
  <c r="I21"/>
  <c r="H21"/>
  <c r="I23"/>
  <c r="H23"/>
  <c r="BP23"/>
  <c r="BR23" s="1"/>
  <c r="BV23" s="1"/>
  <c r="S30" i="45"/>
  <c r="W30" s="1"/>
  <c r="T30"/>
  <c r="X30" s="1"/>
  <c r="H30"/>
  <c r="G48"/>
  <c r="G63" s="1"/>
  <c r="BK63"/>
  <c r="J41" i="47"/>
  <c r="G10" i="20" s="1"/>
  <c r="G12" s="1"/>
  <c r="P41" i="47"/>
  <c r="M10" i="20" s="1"/>
  <c r="M12" s="1"/>
  <c r="T38" i="47"/>
  <c r="X38" s="1"/>
  <c r="S38"/>
  <c r="W38" s="1"/>
  <c r="R38"/>
  <c r="V38" s="1"/>
  <c r="U38"/>
  <c r="Y38" s="1"/>
  <c r="G38"/>
  <c r="E30" i="46"/>
  <c r="G30" s="1"/>
  <c r="P30"/>
  <c r="T30" s="1"/>
  <c r="S30"/>
  <c r="W30" s="1"/>
  <c r="Q30"/>
  <c r="U30" s="1"/>
  <c r="R30"/>
  <c r="V30" s="1"/>
  <c r="S62"/>
  <c r="Q62"/>
  <c r="S59"/>
  <c r="W59" s="1"/>
  <c r="R59"/>
  <c r="V59" s="1"/>
  <c r="Q59"/>
  <c r="U59" s="1"/>
  <c r="P59"/>
  <c r="T59" s="1"/>
  <c r="E59"/>
  <c r="BN59" s="1"/>
  <c r="S58"/>
  <c r="W58" s="1"/>
  <c r="R58"/>
  <c r="V58" s="1"/>
  <c r="Q58"/>
  <c r="U58" s="1"/>
  <c r="P58"/>
  <c r="T58" s="1"/>
  <c r="E58"/>
  <c r="BN58" s="1"/>
  <c r="D60"/>
  <c r="Q57"/>
  <c r="U57" s="1"/>
  <c r="P57"/>
  <c r="T57" s="1"/>
  <c r="S57"/>
  <c r="W57" s="1"/>
  <c r="R57"/>
  <c r="V57" s="1"/>
  <c r="E57"/>
  <c r="BN57" s="1"/>
  <c r="E50"/>
  <c r="G50" s="1"/>
  <c r="S50"/>
  <c r="W50" s="1"/>
  <c r="R50"/>
  <c r="V50" s="1"/>
  <c r="Q50"/>
  <c r="U50" s="1"/>
  <c r="P50"/>
  <c r="T50" s="1"/>
  <c r="E49"/>
  <c r="G49" s="1"/>
  <c r="S49"/>
  <c r="W49" s="1"/>
  <c r="R49"/>
  <c r="V49" s="1"/>
  <c r="P49"/>
  <c r="T49" s="1"/>
  <c r="Q49"/>
  <c r="U49" s="1"/>
  <c r="E39"/>
  <c r="G39" s="1"/>
  <c r="S39"/>
  <c r="W39" s="1"/>
  <c r="R39"/>
  <c r="V39" s="1"/>
  <c r="P39"/>
  <c r="T39" s="1"/>
  <c r="Q39"/>
  <c r="U39" s="1"/>
  <c r="D16"/>
  <c r="S15"/>
  <c r="W15" s="1"/>
  <c r="R15"/>
  <c r="V15" s="1"/>
  <c r="Q15"/>
  <c r="U15" s="1"/>
  <c r="P15"/>
  <c r="T15" s="1"/>
  <c r="E15"/>
  <c r="E13"/>
  <c r="R13"/>
  <c r="V13" s="1"/>
  <c r="S13"/>
  <c r="W13" s="1"/>
  <c r="P13"/>
  <c r="T13" s="1"/>
  <c r="Q13"/>
  <c r="U13" s="1"/>
  <c r="R20" i="47"/>
  <c r="V20" s="1"/>
  <c r="U20"/>
  <c r="Y20" s="1"/>
  <c r="S20"/>
  <c r="W20" s="1"/>
  <c r="T20"/>
  <c r="X20" s="1"/>
  <c r="G20"/>
  <c r="R17"/>
  <c r="T17"/>
  <c r="U17"/>
  <c r="S17"/>
  <c r="G17"/>
  <c r="V14" i="45"/>
  <c r="Z14" s="1"/>
  <c r="U14"/>
  <c r="Y14" s="1"/>
  <c r="T14"/>
  <c r="X14" s="1"/>
  <c r="S14"/>
  <c r="W14" s="1"/>
  <c r="V17"/>
  <c r="Z17" s="1"/>
  <c r="U17"/>
  <c r="Y17" s="1"/>
  <c r="T17"/>
  <c r="X17" s="1"/>
  <c r="S17"/>
  <c r="W17" s="1"/>
  <c r="T18"/>
  <c r="X18" s="1"/>
  <c r="V18"/>
  <c r="Z18" s="1"/>
  <c r="U18"/>
  <c r="Y18" s="1"/>
  <c r="S18"/>
  <c r="W18" s="1"/>
  <c r="U19"/>
  <c r="Y19" s="1"/>
  <c r="S19"/>
  <c r="W19" s="1"/>
  <c r="V19"/>
  <c r="Z19" s="1"/>
  <c r="T19"/>
  <c r="X19" s="1"/>
  <c r="U20"/>
  <c r="Y20" s="1"/>
  <c r="T20"/>
  <c r="X20" s="1"/>
  <c r="S20"/>
  <c r="W20" s="1"/>
  <c r="V20"/>
  <c r="Z20" s="1"/>
  <c r="U13"/>
  <c r="Y13" s="1"/>
  <c r="T13"/>
  <c r="X13" s="1"/>
  <c r="S13"/>
  <c r="W13" s="1"/>
  <c r="V13"/>
  <c r="Z13" s="1"/>
  <c r="G39" i="47"/>
  <c r="H39" s="1"/>
  <c r="T39"/>
  <c r="X39" s="1"/>
  <c r="S39"/>
  <c r="W39" s="1"/>
  <c r="R39"/>
  <c r="V39" s="1"/>
  <c r="U39"/>
  <c r="Y39" s="1"/>
  <c r="AM27" i="39"/>
  <c r="I46" i="25"/>
  <c r="H46"/>
  <c r="G41"/>
  <c r="U41"/>
  <c r="R41"/>
  <c r="S41"/>
  <c r="T41"/>
  <c r="AG27" i="39"/>
  <c r="G35" i="25"/>
  <c r="BS35" s="1"/>
  <c r="U35"/>
  <c r="R35"/>
  <c r="S35"/>
  <c r="T35"/>
  <c r="G34"/>
  <c r="BS34" s="1"/>
  <c r="BU34" s="1"/>
  <c r="S34"/>
  <c r="T34"/>
  <c r="U34"/>
  <c r="R34"/>
  <c r="T49"/>
  <c r="S49"/>
  <c r="R49"/>
  <c r="U49"/>
  <c r="U46"/>
  <c r="R46"/>
  <c r="S46"/>
  <c r="T46"/>
  <c r="AA27" i="39"/>
  <c r="G38" i="25"/>
  <c r="BS38" s="1"/>
  <c r="BU38" s="1"/>
  <c r="R38"/>
  <c r="S38"/>
  <c r="T38"/>
  <c r="U38"/>
  <c r="G53"/>
  <c r="BT53" s="1"/>
  <c r="BU53" s="1"/>
  <c r="S53"/>
  <c r="T53"/>
  <c r="U53"/>
  <c r="R53"/>
  <c r="Y27" i="39"/>
  <c r="G20" i="25"/>
  <c r="T20"/>
  <c r="S20"/>
  <c r="R20"/>
  <c r="U20"/>
  <c r="G43"/>
  <c r="BS43" s="1"/>
  <c r="BU43" s="1"/>
  <c r="R43"/>
  <c r="S43"/>
  <c r="T43"/>
  <c r="U43"/>
  <c r="G45"/>
  <c r="BS45" s="1"/>
  <c r="BU45" s="1"/>
  <c r="S45"/>
  <c r="T45"/>
  <c r="U45"/>
  <c r="R45"/>
  <c r="AI27" i="39"/>
  <c r="G52" i="25"/>
  <c r="BT52" s="1"/>
  <c r="R52"/>
  <c r="S52"/>
  <c r="T52"/>
  <c r="U52"/>
  <c r="G51"/>
  <c r="BT51" s="1"/>
  <c r="BU51" s="1"/>
  <c r="S51"/>
  <c r="W51" s="1"/>
  <c r="S27" i="39"/>
  <c r="G40" i="25"/>
  <c r="S40"/>
  <c r="T40"/>
  <c r="U40"/>
  <c r="R40"/>
  <c r="AU54"/>
  <c r="U27" i="39"/>
  <c r="O27"/>
  <c r="I27"/>
  <c r="G27"/>
  <c r="K27"/>
  <c r="G44" i="25"/>
  <c r="BS44" s="1"/>
  <c r="BU44" s="1"/>
  <c r="R44"/>
  <c r="U44"/>
  <c r="S44"/>
  <c r="T44"/>
  <c r="G42"/>
  <c r="BS42" s="1"/>
  <c r="BU42" s="1"/>
  <c r="U42"/>
  <c r="T42"/>
  <c r="S42"/>
  <c r="R42"/>
  <c r="I42"/>
  <c r="I41"/>
  <c r="G39"/>
  <c r="BS39" s="1"/>
  <c r="BU39" s="1"/>
  <c r="U39"/>
  <c r="R39"/>
  <c r="S39"/>
  <c r="T39"/>
  <c r="G37"/>
  <c r="BS37" s="1"/>
  <c r="BU37" s="1"/>
  <c r="T37"/>
  <c r="R37"/>
  <c r="S37"/>
  <c r="U37"/>
  <c r="BH87" i="24"/>
  <c r="AM26" i="39" s="1"/>
  <c r="I38" i="25"/>
  <c r="H38"/>
  <c r="G36"/>
  <c r="S36"/>
  <c r="T36"/>
  <c r="U36"/>
  <c r="R36"/>
  <c r="F47" i="46"/>
  <c r="F46"/>
  <c r="G44"/>
  <c r="G43"/>
  <c r="D51"/>
  <c r="F39"/>
  <c r="D41"/>
  <c r="F38"/>
  <c r="E34"/>
  <c r="F33"/>
  <c r="F34" s="1"/>
  <c r="D34"/>
  <c r="F30"/>
  <c r="F28"/>
  <c r="D31"/>
  <c r="F27"/>
  <c r="F26"/>
  <c r="G26"/>
  <c r="F23"/>
  <c r="F22"/>
  <c r="AK24"/>
  <c r="AI24"/>
  <c r="BA24"/>
  <c r="AM24"/>
  <c r="F20"/>
  <c r="BH24"/>
  <c r="F19"/>
  <c r="D24"/>
  <c r="D14"/>
  <c r="L41" i="47"/>
  <c r="I10" i="20" s="1"/>
  <c r="I12" s="1"/>
  <c r="N41" i="47"/>
  <c r="K10" i="20" s="1"/>
  <c r="K12" s="1"/>
  <c r="AW29" i="25"/>
  <c r="AY47"/>
  <c r="AO29"/>
  <c r="AU29"/>
  <c r="BJ29"/>
  <c r="AW47"/>
  <c r="AK29"/>
  <c r="AK54"/>
  <c r="AY29"/>
  <c r="AO47"/>
  <c r="AO54"/>
  <c r="AW54"/>
  <c r="AY54"/>
  <c r="BJ54"/>
  <c r="F50"/>
  <c r="G49"/>
  <c r="BT49" s="1"/>
  <c r="BU49" s="1"/>
  <c r="BJ47"/>
  <c r="F33"/>
  <c r="G17"/>
  <c r="F29"/>
  <c r="BJ15"/>
  <c r="F15"/>
  <c r="AK47"/>
  <c r="AU47"/>
  <c r="W32" i="26"/>
  <c r="X32"/>
  <c r="Y32"/>
  <c r="Z32"/>
  <c r="AB32"/>
  <c r="AD32"/>
  <c r="AF32"/>
  <c r="AH32"/>
  <c r="AJ32"/>
  <c r="AN32"/>
  <c r="AR32"/>
  <c r="G33"/>
  <c r="H33" s="1"/>
  <c r="H30"/>
  <c r="BQ30" s="1"/>
  <c r="G30"/>
  <c r="T30" s="1"/>
  <c r="T34" s="1"/>
  <c r="G31"/>
  <c r="G29"/>
  <c r="H29" s="1"/>
  <c r="G25"/>
  <c r="V25" s="1"/>
  <c r="Z25" s="1"/>
  <c r="G26"/>
  <c r="V26" s="1"/>
  <c r="G24"/>
  <c r="G21"/>
  <c r="W20"/>
  <c r="X20"/>
  <c r="Z20"/>
  <c r="AB20"/>
  <c r="AD20"/>
  <c r="AF20"/>
  <c r="G17"/>
  <c r="G12"/>
  <c r="I31" i="42"/>
  <c r="J31"/>
  <c r="K31"/>
  <c r="N31"/>
  <c r="O31"/>
  <c r="P31"/>
  <c r="Q31"/>
  <c r="R31"/>
  <c r="AA31"/>
  <c r="AC31"/>
  <c r="AE31"/>
  <c r="AG31"/>
  <c r="AI31"/>
  <c r="AK31"/>
  <c r="AM31"/>
  <c r="AO31"/>
  <c r="AQ31"/>
  <c r="AS31"/>
  <c r="AU31"/>
  <c r="AW31"/>
  <c r="AY31"/>
  <c r="BA31"/>
  <c r="BC31"/>
  <c r="BE31"/>
  <c r="BG31"/>
  <c r="BI31"/>
  <c r="I18"/>
  <c r="J18"/>
  <c r="K18"/>
  <c r="L18"/>
  <c r="N18"/>
  <c r="P18"/>
  <c r="Q18"/>
  <c r="AA18"/>
  <c r="AC18"/>
  <c r="AE18"/>
  <c r="AG18"/>
  <c r="AI18"/>
  <c r="AK18"/>
  <c r="AM18"/>
  <c r="AO18"/>
  <c r="AQ18"/>
  <c r="AS18"/>
  <c r="AU18"/>
  <c r="AW18"/>
  <c r="AY18"/>
  <c r="BA18"/>
  <c r="BC18"/>
  <c r="BE18"/>
  <c r="BG18"/>
  <c r="BI18"/>
  <c r="F11" i="43"/>
  <c r="BA13"/>
  <c r="BA15" s="1"/>
  <c r="BA56" s="1"/>
  <c r="AM13"/>
  <c r="AM15" s="1"/>
  <c r="AM56" s="1"/>
  <c r="AQ13"/>
  <c r="AQ15" s="1"/>
  <c r="AQ56" s="1"/>
  <c r="H25" i="26" l="1"/>
  <c r="E24" i="46"/>
  <c r="I34" i="25"/>
  <c r="I40"/>
  <c r="BS40"/>
  <c r="BU40" s="1"/>
  <c r="H41"/>
  <c r="BS41"/>
  <c r="BU41" s="1"/>
  <c r="F49" i="46"/>
  <c r="R62"/>
  <c r="U62"/>
  <c r="U63" s="1"/>
  <c r="Q63"/>
  <c r="I39" i="47"/>
  <c r="U19" i="46"/>
  <c r="U24" s="1"/>
  <c r="U64" s="1"/>
  <c r="Q24"/>
  <c r="Q64" s="1"/>
  <c r="H42" i="25"/>
  <c r="P62" i="46"/>
  <c r="F29"/>
  <c r="G29"/>
  <c r="G31" s="1"/>
  <c r="W19"/>
  <c r="W24" s="1"/>
  <c r="W64" s="1"/>
  <c r="S24"/>
  <c r="S64" s="1"/>
  <c r="BN60"/>
  <c r="W62"/>
  <c r="W63" s="1"/>
  <c r="S63"/>
  <c r="G29" i="25"/>
  <c r="I17"/>
  <c r="H17"/>
  <c r="F21" i="46"/>
  <c r="E41"/>
  <c r="H43" i="25"/>
  <c r="I45"/>
  <c r="E14" i="46"/>
  <c r="F40"/>
  <c r="G40"/>
  <c r="F37"/>
  <c r="G37"/>
  <c r="G41" s="1"/>
  <c r="V19"/>
  <c r="V24" s="1"/>
  <c r="R24"/>
  <c r="H12" i="26"/>
  <c r="V12"/>
  <c r="T12"/>
  <c r="G14"/>
  <c r="U12"/>
  <c r="S12"/>
  <c r="I33"/>
  <c r="J33"/>
  <c r="BQ33"/>
  <c r="E31" i="46"/>
  <c r="H34" i="25"/>
  <c r="H36"/>
  <c r="BS36"/>
  <c r="BU36" s="1"/>
  <c r="I43"/>
  <c r="H45"/>
  <c r="F48" i="46"/>
  <c r="G48"/>
  <c r="T19"/>
  <c r="T24" s="1"/>
  <c r="P24"/>
  <c r="I18" i="25"/>
  <c r="H18"/>
  <c r="BT20"/>
  <c r="I20"/>
  <c r="H20"/>
  <c r="AU55"/>
  <c r="Z27" i="39" s="1"/>
  <c r="AO55" i="25"/>
  <c r="T27" i="39" s="1"/>
  <c r="BJ55" i="25"/>
  <c r="AO27" i="39" s="1"/>
  <c r="AY55" i="25"/>
  <c r="AW55"/>
  <c r="AB27" i="39" s="1"/>
  <c r="AK55" i="25"/>
  <c r="P27" i="39" s="1"/>
  <c r="H35" i="25"/>
  <c r="I35"/>
  <c r="BS47"/>
  <c r="BU35"/>
  <c r="N30" i="45"/>
  <c r="BQ30"/>
  <c r="BS30" s="1"/>
  <c r="BW30" s="1"/>
  <c r="BG42" i="42"/>
  <c r="AK21" i="39" s="1"/>
  <c r="AK23" s="1"/>
  <c r="BE42" i="42"/>
  <c r="AI21" i="39" s="1"/>
  <c r="AI23" s="1"/>
  <c r="BI42" i="42"/>
  <c r="AM21" i="39" s="1"/>
  <c r="AM23" s="1"/>
  <c r="G11" i="43"/>
  <c r="R11"/>
  <c r="V11" s="1"/>
  <c r="U11"/>
  <c r="Y11" s="1"/>
  <c r="T11"/>
  <c r="X11" s="1"/>
  <c r="S11"/>
  <c r="W11" s="1"/>
  <c r="I38" i="47"/>
  <c r="H38"/>
  <c r="H40" s="1"/>
  <c r="W52" i="25"/>
  <c r="V52"/>
  <c r="X52"/>
  <c r="F62" i="46"/>
  <c r="F63" s="1"/>
  <c r="E63"/>
  <c r="G59"/>
  <c r="F59"/>
  <c r="G58"/>
  <c r="F58"/>
  <c r="E60"/>
  <c r="G57"/>
  <c r="F57"/>
  <c r="E51"/>
  <c r="F50"/>
  <c r="G51"/>
  <c r="F41"/>
  <c r="E16"/>
  <c r="G15"/>
  <c r="G16" s="1"/>
  <c r="F15"/>
  <c r="F16" s="1"/>
  <c r="I20" i="47"/>
  <c r="H20"/>
  <c r="W17"/>
  <c r="Y17"/>
  <c r="X17"/>
  <c r="I17"/>
  <c r="H17"/>
  <c r="V17"/>
  <c r="H31" i="26"/>
  <c r="I11" i="43"/>
  <c r="H11"/>
  <c r="H26" i="26"/>
  <c r="H24"/>
  <c r="V24"/>
  <c r="V27" s="1"/>
  <c r="G27"/>
  <c r="H21"/>
  <c r="U21"/>
  <c r="H17"/>
  <c r="U17"/>
  <c r="H40" i="25"/>
  <c r="Y53"/>
  <c r="Y52"/>
  <c r="X53"/>
  <c r="I49"/>
  <c r="H49"/>
  <c r="Y49"/>
  <c r="G50"/>
  <c r="R50"/>
  <c r="S50"/>
  <c r="T50"/>
  <c r="U50"/>
  <c r="V49"/>
  <c r="AD27" i="39"/>
  <c r="W53" i="25"/>
  <c r="W49"/>
  <c r="I53"/>
  <c r="H53"/>
  <c r="X49"/>
  <c r="U33"/>
  <c r="U47" s="1"/>
  <c r="T33"/>
  <c r="T47" s="1"/>
  <c r="S33"/>
  <c r="R33"/>
  <c r="R47" s="1"/>
  <c r="I36"/>
  <c r="H52"/>
  <c r="I52"/>
  <c r="H51"/>
  <c r="V51"/>
  <c r="I51"/>
  <c r="X51"/>
  <c r="Y51"/>
  <c r="V53"/>
  <c r="H44"/>
  <c r="I44"/>
  <c r="H39"/>
  <c r="I39"/>
  <c r="H37"/>
  <c r="I37"/>
  <c r="F31" i="46"/>
  <c r="F24"/>
  <c r="D64"/>
  <c r="F54" i="25"/>
  <c r="G33"/>
  <c r="BS33" s="1"/>
  <c r="BU33" s="1"/>
  <c r="F47"/>
  <c r="AS12" i="43"/>
  <c r="AS13"/>
  <c r="AS14"/>
  <c r="AS11"/>
  <c r="V79" i="44"/>
  <c r="Y79"/>
  <c r="K83" i="45"/>
  <c r="L83"/>
  <c r="M83"/>
  <c r="O83"/>
  <c r="P83"/>
  <c r="Q83"/>
  <c r="V83"/>
  <c r="AA83"/>
  <c r="AC83"/>
  <c r="AE83"/>
  <c r="AG83"/>
  <c r="AI83"/>
  <c r="AK83"/>
  <c r="AM83"/>
  <c r="AO83"/>
  <c r="AQ83"/>
  <c r="AS83"/>
  <c r="AU83"/>
  <c r="AW83"/>
  <c r="AY83"/>
  <c r="BA83"/>
  <c r="BC83"/>
  <c r="BE83"/>
  <c r="BG83"/>
  <c r="BI83"/>
  <c r="BK83"/>
  <c r="I42"/>
  <c r="J42"/>
  <c r="K42"/>
  <c r="L42"/>
  <c r="M42"/>
  <c r="O42"/>
  <c r="P42"/>
  <c r="Q42"/>
  <c r="R42"/>
  <c r="AA42"/>
  <c r="AC42"/>
  <c r="AE42"/>
  <c r="AG42"/>
  <c r="AI42"/>
  <c r="AK42"/>
  <c r="AM42"/>
  <c r="AO42"/>
  <c r="AQ42"/>
  <c r="AS42"/>
  <c r="AU42"/>
  <c r="AW42"/>
  <c r="AY42"/>
  <c r="BA42"/>
  <c r="BC42"/>
  <c r="BE42"/>
  <c r="BG42"/>
  <c r="BI42"/>
  <c r="I35"/>
  <c r="J35"/>
  <c r="K35"/>
  <c r="L35"/>
  <c r="M35"/>
  <c r="O35"/>
  <c r="P35"/>
  <c r="Q35"/>
  <c r="R35"/>
  <c r="AA35"/>
  <c r="AC35"/>
  <c r="AE35"/>
  <c r="AG35"/>
  <c r="AI35"/>
  <c r="AK35"/>
  <c r="AM35"/>
  <c r="AO35"/>
  <c r="AQ35"/>
  <c r="AS35"/>
  <c r="AU35"/>
  <c r="AW35"/>
  <c r="AY35"/>
  <c r="BA35"/>
  <c r="BC35"/>
  <c r="BE35"/>
  <c r="BG35"/>
  <c r="BI35"/>
  <c r="BK35"/>
  <c r="K31"/>
  <c r="L31"/>
  <c r="M31"/>
  <c r="O31"/>
  <c r="P31"/>
  <c r="R31"/>
  <c r="AA31"/>
  <c r="AC31"/>
  <c r="AE31"/>
  <c r="AG31"/>
  <c r="AI31"/>
  <c r="AK31"/>
  <c r="AM31"/>
  <c r="AO31"/>
  <c r="AQ31"/>
  <c r="AS31"/>
  <c r="AU31"/>
  <c r="AW31"/>
  <c r="AY31"/>
  <c r="BA31"/>
  <c r="BC31"/>
  <c r="BE31"/>
  <c r="BG31"/>
  <c r="BI31"/>
  <c r="BK31"/>
  <c r="K21"/>
  <c r="L21"/>
  <c r="M21"/>
  <c r="N21"/>
  <c r="O21"/>
  <c r="P21"/>
  <c r="Q21"/>
  <c r="R21"/>
  <c r="S21"/>
  <c r="T21"/>
  <c r="U21"/>
  <c r="V21"/>
  <c r="W21"/>
  <c r="X21"/>
  <c r="Y21"/>
  <c r="Z21"/>
  <c r="AA21"/>
  <c r="AC21"/>
  <c r="AE21"/>
  <c r="AG21"/>
  <c r="AI21"/>
  <c r="AK21"/>
  <c r="AM21"/>
  <c r="AO21"/>
  <c r="AQ21"/>
  <c r="AS21"/>
  <c r="AU21"/>
  <c r="AW21"/>
  <c r="AY21"/>
  <c r="BA21"/>
  <c r="BC21"/>
  <c r="BE21"/>
  <c r="BG21"/>
  <c r="BI21"/>
  <c r="BK21"/>
  <c r="H19"/>
  <c r="H20"/>
  <c r="H17"/>
  <c r="K15"/>
  <c r="L15"/>
  <c r="M15"/>
  <c r="N15"/>
  <c r="O15"/>
  <c r="P15"/>
  <c r="Q15"/>
  <c r="R15"/>
  <c r="AA15"/>
  <c r="AC15"/>
  <c r="AE15"/>
  <c r="AG15"/>
  <c r="AI15"/>
  <c r="AK15"/>
  <c r="AM15"/>
  <c r="AO15"/>
  <c r="AQ15"/>
  <c r="AS15"/>
  <c r="AU15"/>
  <c r="AW15"/>
  <c r="AY15"/>
  <c r="BA15"/>
  <c r="BC15"/>
  <c r="BE15"/>
  <c r="BG15"/>
  <c r="BI15"/>
  <c r="AX86" i="44"/>
  <c r="AZ86"/>
  <c r="BB86"/>
  <c r="BD86"/>
  <c r="BF86"/>
  <c r="BH86"/>
  <c r="J81"/>
  <c r="K81"/>
  <c r="L81"/>
  <c r="M81"/>
  <c r="N81"/>
  <c r="O81"/>
  <c r="Q81"/>
  <c r="Z81"/>
  <c r="AB81"/>
  <c r="AD81"/>
  <c r="AF81"/>
  <c r="AH81"/>
  <c r="AJ81"/>
  <c r="AL81"/>
  <c r="AN81"/>
  <c r="AP81"/>
  <c r="AR81"/>
  <c r="AT81"/>
  <c r="AV81"/>
  <c r="AX81"/>
  <c r="AZ81"/>
  <c r="BB81"/>
  <c r="BD81"/>
  <c r="BF81"/>
  <c r="BH81"/>
  <c r="J63"/>
  <c r="K63"/>
  <c r="L63"/>
  <c r="M63"/>
  <c r="N63"/>
  <c r="O63"/>
  <c r="Q63"/>
  <c r="U63"/>
  <c r="Z63"/>
  <c r="AB63"/>
  <c r="AD63"/>
  <c r="AF63"/>
  <c r="AH63"/>
  <c r="AJ63"/>
  <c r="AL63"/>
  <c r="AN63"/>
  <c r="AP63"/>
  <c r="AR63"/>
  <c r="AT63"/>
  <c r="AV63"/>
  <c r="AX63"/>
  <c r="AZ63"/>
  <c r="BB63"/>
  <c r="BD63"/>
  <c r="BF63"/>
  <c r="BH63"/>
  <c r="J39"/>
  <c r="K39"/>
  <c r="L39"/>
  <c r="M39"/>
  <c r="N39"/>
  <c r="O39"/>
  <c r="Q39"/>
  <c r="U39"/>
  <c r="Z39"/>
  <c r="AB39"/>
  <c r="AD39"/>
  <c r="AF39"/>
  <c r="AH39"/>
  <c r="AJ39"/>
  <c r="AL39"/>
  <c r="AN39"/>
  <c r="AP39"/>
  <c r="AR39"/>
  <c r="AT39"/>
  <c r="AV39"/>
  <c r="AX39"/>
  <c r="AZ39"/>
  <c r="BB39"/>
  <c r="BD39"/>
  <c r="BF39"/>
  <c r="BH39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J18"/>
  <c r="K18"/>
  <c r="L18"/>
  <c r="N18"/>
  <c r="O18"/>
  <c r="Q18"/>
  <c r="Z15"/>
  <c r="Z18" s="1"/>
  <c r="AB15"/>
  <c r="AB18" s="1"/>
  <c r="AD15"/>
  <c r="AD18" s="1"/>
  <c r="AF15"/>
  <c r="AF18" s="1"/>
  <c r="AH15"/>
  <c r="AH18" s="1"/>
  <c r="AJ15"/>
  <c r="AJ18" s="1"/>
  <c r="AL15"/>
  <c r="AL18" s="1"/>
  <c r="AN15"/>
  <c r="AN18" s="1"/>
  <c r="AP15"/>
  <c r="AP18" s="1"/>
  <c r="AR15"/>
  <c r="AR18" s="1"/>
  <c r="AT15"/>
  <c r="AT18" s="1"/>
  <c r="AV15"/>
  <c r="AV18" s="1"/>
  <c r="AX15"/>
  <c r="AX18" s="1"/>
  <c r="AZ15"/>
  <c r="AZ18" s="1"/>
  <c r="BB15"/>
  <c r="BB18" s="1"/>
  <c r="BD15"/>
  <c r="BD18" s="1"/>
  <c r="BF15"/>
  <c r="BF18" s="1"/>
  <c r="BH15"/>
  <c r="BH18" s="1"/>
  <c r="H27" i="26" l="1"/>
  <c r="F51" i="46"/>
  <c r="V64"/>
  <c r="V62"/>
  <c r="V63" s="1"/>
  <c r="R63"/>
  <c r="R64" s="1"/>
  <c r="AS15" i="43"/>
  <c r="AS56" s="1"/>
  <c r="P64" i="46"/>
  <c r="T62"/>
  <c r="T63" s="1"/>
  <c r="T64" s="1"/>
  <c r="P63"/>
  <c r="I12" i="26"/>
  <c r="G54" i="25"/>
  <c r="BT50"/>
  <c r="BQ31" i="26"/>
  <c r="BS31" s="1"/>
  <c r="V50" i="25"/>
  <c r="G60" i="46"/>
  <c r="F60"/>
  <c r="BH87" i="44"/>
  <c r="BH89"/>
  <c r="AM16" i="39" s="1"/>
  <c r="AQ84" i="45"/>
  <c r="AQ85" s="1"/>
  <c r="U15" i="39" s="1"/>
  <c r="AE84" i="45"/>
  <c r="AE85" s="1"/>
  <c r="I15" i="39" s="1"/>
  <c r="BD87" i="44"/>
  <c r="BD89" s="1"/>
  <c r="AI16" i="39" s="1"/>
  <c r="AX87" i="44"/>
  <c r="AX89" s="1"/>
  <c r="AC16" i="39" s="1"/>
  <c r="BC84" i="45"/>
  <c r="BC85" s="1"/>
  <c r="AG15" i="39" s="1"/>
  <c r="BF87" i="44"/>
  <c r="BF89" s="1"/>
  <c r="AK16" i="39" s="1"/>
  <c r="BB87" i="44"/>
  <c r="BB89" s="1"/>
  <c r="AG16" i="39" s="1"/>
  <c r="AZ87" i="44"/>
  <c r="AZ89" s="1"/>
  <c r="AE16" i="39" s="1"/>
  <c r="K84" i="45"/>
  <c r="K85" s="1"/>
  <c r="G15" i="20" s="1"/>
  <c r="BI84" i="45"/>
  <c r="BI85" s="1"/>
  <c r="AM15" i="39" s="1"/>
  <c r="AW84" i="45"/>
  <c r="AW85" s="1"/>
  <c r="AA15" i="39" s="1"/>
  <c r="AK84" i="45"/>
  <c r="AK85" s="1"/>
  <c r="O15" i="39" s="1"/>
  <c r="BA84" i="45"/>
  <c r="BA85" s="1"/>
  <c r="AE15" i="39" s="1"/>
  <c r="AO84" i="45"/>
  <c r="AO85" s="1"/>
  <c r="S15" i="39" s="1"/>
  <c r="AC84" i="45"/>
  <c r="AC85" s="1"/>
  <c r="G15" i="39" s="1"/>
  <c r="BG84" i="45"/>
  <c r="BG85" s="1"/>
  <c r="AK15" i="39" s="1"/>
  <c r="AU84" i="45"/>
  <c r="AU85" s="1"/>
  <c r="Y15" i="39" s="1"/>
  <c r="AI84" i="45"/>
  <c r="AI85" s="1"/>
  <c r="M15" i="39" s="1"/>
  <c r="BE84" i="45"/>
  <c r="BE85" s="1"/>
  <c r="AI15" i="39" s="1"/>
  <c r="AS84" i="45"/>
  <c r="AS85" s="1"/>
  <c r="W15" i="39" s="1"/>
  <c r="AG84" i="45"/>
  <c r="AG85" s="1"/>
  <c r="K15" i="39" s="1"/>
  <c r="P84" i="45"/>
  <c r="P85" s="1"/>
  <c r="L15" i="20" s="1"/>
  <c r="O84" i="45"/>
  <c r="O85" s="1"/>
  <c r="K15" i="20" s="1"/>
  <c r="AY84" i="45"/>
  <c r="AY85" s="1"/>
  <c r="AC15" i="39" s="1"/>
  <c r="AM84" i="45"/>
  <c r="AM85" s="1"/>
  <c r="Q15" i="39" s="1"/>
  <c r="AA84" i="45"/>
  <c r="AA85" s="1"/>
  <c r="E15" i="39" s="1"/>
  <c r="L84" i="45"/>
  <c r="L85" s="1"/>
  <c r="H15" i="20" s="1"/>
  <c r="Z24" i="26"/>
  <c r="F55" i="25"/>
  <c r="W50"/>
  <c r="I50"/>
  <c r="H50"/>
  <c r="Y50"/>
  <c r="X50"/>
  <c r="G47"/>
  <c r="H33"/>
  <c r="I33"/>
  <c r="BJ84" i="44"/>
  <c r="BK84" s="1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V84"/>
  <c r="BJ83"/>
  <c r="F83" s="1"/>
  <c r="BI83"/>
  <c r="BG83"/>
  <c r="BE83"/>
  <c r="BC83"/>
  <c r="BA83"/>
  <c r="AY83"/>
  <c r="AW83"/>
  <c r="AU83"/>
  <c r="AS83"/>
  <c r="AQ83"/>
  <c r="AO83"/>
  <c r="AM83"/>
  <c r="AK83"/>
  <c r="AI83"/>
  <c r="AG83"/>
  <c r="AE83"/>
  <c r="AC83"/>
  <c r="AA83"/>
  <c r="Y83"/>
  <c r="W83"/>
  <c r="V83"/>
  <c r="BJ82"/>
  <c r="BI82"/>
  <c r="BG82"/>
  <c r="BE82"/>
  <c r="BC82"/>
  <c r="BA82"/>
  <c r="AY82"/>
  <c r="AW82"/>
  <c r="AU82"/>
  <c r="AS82"/>
  <c r="AQ82"/>
  <c r="AO82"/>
  <c r="AM82"/>
  <c r="AK82"/>
  <c r="AI82"/>
  <c r="AG82"/>
  <c r="AE82"/>
  <c r="AC82"/>
  <c r="AA82"/>
  <c r="BJ80"/>
  <c r="BI80"/>
  <c r="BG80"/>
  <c r="BE80"/>
  <c r="BC80"/>
  <c r="BA80"/>
  <c r="AY80"/>
  <c r="AW80"/>
  <c r="AU80"/>
  <c r="AS80"/>
  <c r="AQ80"/>
  <c r="AO80"/>
  <c r="AM80"/>
  <c r="AK80"/>
  <c r="AI80"/>
  <c r="AG80"/>
  <c r="AE80"/>
  <c r="AC80"/>
  <c r="AA80"/>
  <c r="Y80"/>
  <c r="V80"/>
  <c r="BJ79"/>
  <c r="BK79" s="1"/>
  <c r="BI79"/>
  <c r="BG79"/>
  <c r="BE79"/>
  <c r="BC79"/>
  <c r="BA79"/>
  <c r="AY79"/>
  <c r="AW79"/>
  <c r="AU79"/>
  <c r="AS79"/>
  <c r="AQ79"/>
  <c r="AO79"/>
  <c r="AM79"/>
  <c r="AK79"/>
  <c r="AI79"/>
  <c r="AG79"/>
  <c r="AE79"/>
  <c r="AC79"/>
  <c r="AA79"/>
  <c r="BJ78"/>
  <c r="BK78" s="1"/>
  <c r="BI78"/>
  <c r="BG78"/>
  <c r="BE78"/>
  <c r="BC78"/>
  <c r="BA78"/>
  <c r="AY78"/>
  <c r="AW78"/>
  <c r="AU78"/>
  <c r="AS78"/>
  <c r="AQ78"/>
  <c r="AO78"/>
  <c r="AM78"/>
  <c r="AK78"/>
  <c r="AI78"/>
  <c r="AG78"/>
  <c r="AE78"/>
  <c r="AC78"/>
  <c r="AA78"/>
  <c r="Y78"/>
  <c r="V78"/>
  <c r="BJ77"/>
  <c r="BK77" s="1"/>
  <c r="BI77"/>
  <c r="BG77"/>
  <c r="BE77"/>
  <c r="BC77"/>
  <c r="BA77"/>
  <c r="AY77"/>
  <c r="AW77"/>
  <c r="AU77"/>
  <c r="AS77"/>
  <c r="AQ77"/>
  <c r="AO77"/>
  <c r="AM77"/>
  <c r="AK77"/>
  <c r="AI77"/>
  <c r="AG77"/>
  <c r="AE77"/>
  <c r="AC77"/>
  <c r="AA77"/>
  <c r="Y77"/>
  <c r="V77"/>
  <c r="BJ76"/>
  <c r="BK76" s="1"/>
  <c r="BI76"/>
  <c r="BG76"/>
  <c r="BE76"/>
  <c r="BC76"/>
  <c r="BA76"/>
  <c r="AY76"/>
  <c r="AW76"/>
  <c r="AU76"/>
  <c r="AS76"/>
  <c r="AQ76"/>
  <c r="AO76"/>
  <c r="AM76"/>
  <c r="AK76"/>
  <c r="AI76"/>
  <c r="AG76"/>
  <c r="AE76"/>
  <c r="AC76"/>
  <c r="AA76"/>
  <c r="Y76"/>
  <c r="W76"/>
  <c r="V76"/>
  <c r="BJ75"/>
  <c r="F75" s="1"/>
  <c r="G75" s="1"/>
  <c r="BI75"/>
  <c r="BG75"/>
  <c r="BE75"/>
  <c r="BC75"/>
  <c r="BA75"/>
  <c r="AY75"/>
  <c r="AW75"/>
  <c r="AU75"/>
  <c r="AS75"/>
  <c r="AQ75"/>
  <c r="AO75"/>
  <c r="AM75"/>
  <c r="AK75"/>
  <c r="AI75"/>
  <c r="AG75"/>
  <c r="AE75"/>
  <c r="AC75"/>
  <c r="AA75"/>
  <c r="Y75"/>
  <c r="W75"/>
  <c r="V75"/>
  <c r="BJ74"/>
  <c r="F74" s="1"/>
  <c r="G74" s="1"/>
  <c r="BI74"/>
  <c r="BG74"/>
  <c r="BE74"/>
  <c r="BC74"/>
  <c r="BA74"/>
  <c r="AY74"/>
  <c r="AW74"/>
  <c r="AU74"/>
  <c r="AS74"/>
  <c r="AQ74"/>
  <c r="AO74"/>
  <c r="AM74"/>
  <c r="AK74"/>
  <c r="AI74"/>
  <c r="AG74"/>
  <c r="AE74"/>
  <c r="AC74"/>
  <c r="AA74"/>
  <c r="X74"/>
  <c r="V74"/>
  <c r="BJ73"/>
  <c r="F73" s="1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V73"/>
  <c r="BJ72"/>
  <c r="BK72" s="1"/>
  <c r="BI72"/>
  <c r="BG72"/>
  <c r="BE72"/>
  <c r="BC72"/>
  <c r="BA72"/>
  <c r="AY72"/>
  <c r="AW72"/>
  <c r="AU72"/>
  <c r="AS72"/>
  <c r="AQ72"/>
  <c r="AO72"/>
  <c r="AM72"/>
  <c r="AK72"/>
  <c r="AI72"/>
  <c r="AG72"/>
  <c r="AE72"/>
  <c r="AC72"/>
  <c r="AA72"/>
  <c r="Y72"/>
  <c r="W72"/>
  <c r="V72"/>
  <c r="BJ71"/>
  <c r="BI71"/>
  <c r="BG71"/>
  <c r="BE71"/>
  <c r="BC71"/>
  <c r="BA71"/>
  <c r="AY71"/>
  <c r="AW71"/>
  <c r="AU71"/>
  <c r="AS71"/>
  <c r="AQ71"/>
  <c r="AO71"/>
  <c r="AM71"/>
  <c r="AK71"/>
  <c r="AI71"/>
  <c r="AG71"/>
  <c r="AE71"/>
  <c r="AC71"/>
  <c r="AA71"/>
  <c r="Y71"/>
  <c r="W71"/>
  <c r="V71"/>
  <c r="BJ70"/>
  <c r="BK70" s="1"/>
  <c r="BI70"/>
  <c r="BG70"/>
  <c r="BE70"/>
  <c r="BC70"/>
  <c r="BA70"/>
  <c r="AY70"/>
  <c r="AW70"/>
  <c r="AU70"/>
  <c r="AS70"/>
  <c r="AQ70"/>
  <c r="AO70"/>
  <c r="AM70"/>
  <c r="AK70"/>
  <c r="AI70"/>
  <c r="AG70"/>
  <c r="AE70"/>
  <c r="AC70"/>
  <c r="AA70"/>
  <c r="Y70"/>
  <c r="X70"/>
  <c r="BJ69"/>
  <c r="BK69" s="1"/>
  <c r="BI69"/>
  <c r="BG69"/>
  <c r="BE69"/>
  <c r="BC69"/>
  <c r="BA69"/>
  <c r="AY69"/>
  <c r="AW69"/>
  <c r="AU69"/>
  <c r="AS69"/>
  <c r="AQ69"/>
  <c r="AO69"/>
  <c r="AM69"/>
  <c r="AK69"/>
  <c r="AI69"/>
  <c r="AG69"/>
  <c r="AE69"/>
  <c r="AC69"/>
  <c r="AA69"/>
  <c r="X69"/>
  <c r="V69"/>
  <c r="BJ68"/>
  <c r="F68" s="1"/>
  <c r="G68" s="1"/>
  <c r="BI68"/>
  <c r="BG68"/>
  <c r="BE68"/>
  <c r="BC68"/>
  <c r="BA68"/>
  <c r="AY68"/>
  <c r="AW68"/>
  <c r="AU68"/>
  <c r="AS68"/>
  <c r="AQ68"/>
  <c r="AO68"/>
  <c r="AM68"/>
  <c r="AK68"/>
  <c r="AI68"/>
  <c r="AG68"/>
  <c r="AE68"/>
  <c r="AC68"/>
  <c r="AA68"/>
  <c r="Y68"/>
  <c r="W68"/>
  <c r="V68"/>
  <c r="BJ67"/>
  <c r="F67" s="1"/>
  <c r="BI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V67"/>
  <c r="BJ66"/>
  <c r="BK66" s="1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BJ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V65"/>
  <c r="BI64"/>
  <c r="BG64"/>
  <c r="BE64"/>
  <c r="BC64"/>
  <c r="BA64"/>
  <c r="AY64"/>
  <c r="AW64"/>
  <c r="AU64"/>
  <c r="AS64"/>
  <c r="AQ64"/>
  <c r="AO64"/>
  <c r="AM64"/>
  <c r="AK64"/>
  <c r="AI64"/>
  <c r="AG64"/>
  <c r="AE64"/>
  <c r="AC64"/>
  <c r="AA64"/>
  <c r="BJ62"/>
  <c r="BK62" s="1"/>
  <c r="BI62"/>
  <c r="BG62"/>
  <c r="BE62"/>
  <c r="BC62"/>
  <c r="BA62"/>
  <c r="AY62"/>
  <c r="AW62"/>
  <c r="AU62"/>
  <c r="AS62"/>
  <c r="AQ62"/>
  <c r="AO62"/>
  <c r="AM62"/>
  <c r="AK62"/>
  <c r="AI62"/>
  <c r="AG62"/>
  <c r="AE62"/>
  <c r="AC62"/>
  <c r="AA62"/>
  <c r="Y62"/>
  <c r="X62"/>
  <c r="W62"/>
  <c r="V62"/>
  <c r="BJ61"/>
  <c r="BI61"/>
  <c r="BG61"/>
  <c r="BE61"/>
  <c r="BC61"/>
  <c r="BA61"/>
  <c r="AY61"/>
  <c r="AW61"/>
  <c r="AU61"/>
  <c r="AS61"/>
  <c r="AQ61"/>
  <c r="AO61"/>
  <c r="AM61"/>
  <c r="AK61"/>
  <c r="AI61"/>
  <c r="AG61"/>
  <c r="AE61"/>
  <c r="AC61"/>
  <c r="AA61"/>
  <c r="Y61"/>
  <c r="X61"/>
  <c r="W61"/>
  <c r="V61"/>
  <c r="BJ60"/>
  <c r="BK60" s="1"/>
  <c r="BI60"/>
  <c r="BG60"/>
  <c r="BE60"/>
  <c r="BC60"/>
  <c r="BA60"/>
  <c r="AY60"/>
  <c r="AW60"/>
  <c r="AU60"/>
  <c r="AS60"/>
  <c r="AQ60"/>
  <c r="AO60"/>
  <c r="AM60"/>
  <c r="AK60"/>
  <c r="AI60"/>
  <c r="AG60"/>
  <c r="AE60"/>
  <c r="AC60"/>
  <c r="AA60"/>
  <c r="Y60"/>
  <c r="X60"/>
  <c r="W60"/>
  <c r="V60"/>
  <c r="BJ59"/>
  <c r="BI59"/>
  <c r="BG59"/>
  <c r="BE59"/>
  <c r="BC59"/>
  <c r="BA59"/>
  <c r="AY59"/>
  <c r="AW59"/>
  <c r="AU59"/>
  <c r="AS59"/>
  <c r="AQ59"/>
  <c r="AO59"/>
  <c r="AM59"/>
  <c r="AK59"/>
  <c r="AI59"/>
  <c r="AG59"/>
  <c r="AE59"/>
  <c r="AC59"/>
  <c r="AA59"/>
  <c r="Y59"/>
  <c r="X59"/>
  <c r="W59"/>
  <c r="V59"/>
  <c r="BJ58"/>
  <c r="BK58" s="1"/>
  <c r="BI58"/>
  <c r="BG58"/>
  <c r="BE58"/>
  <c r="BC58"/>
  <c r="BA58"/>
  <c r="AY58"/>
  <c r="AW58"/>
  <c r="AU58"/>
  <c r="AS58"/>
  <c r="AQ58"/>
  <c r="AO58"/>
  <c r="AM58"/>
  <c r="AK58"/>
  <c r="AI58"/>
  <c r="AG58"/>
  <c r="AE58"/>
  <c r="AC58"/>
  <c r="AA58"/>
  <c r="Y58"/>
  <c r="X58"/>
  <c r="BJ57"/>
  <c r="BK57" s="1"/>
  <c r="BI57"/>
  <c r="BG57"/>
  <c r="BE57"/>
  <c r="BC57"/>
  <c r="BA57"/>
  <c r="AY57"/>
  <c r="AW57"/>
  <c r="AU57"/>
  <c r="AS57"/>
  <c r="AQ57"/>
  <c r="AO57"/>
  <c r="AM57"/>
  <c r="AK57"/>
  <c r="AI57"/>
  <c r="AG57"/>
  <c r="AE57"/>
  <c r="AC57"/>
  <c r="AA57"/>
  <c r="Y57"/>
  <c r="X57"/>
  <c r="BJ56"/>
  <c r="F56" s="1"/>
  <c r="G56" s="1"/>
  <c r="P56" s="1"/>
  <c r="BI56"/>
  <c r="BG56"/>
  <c r="BE56"/>
  <c r="BC56"/>
  <c r="BA56"/>
  <c r="AY56"/>
  <c r="AW56"/>
  <c r="AU56"/>
  <c r="AS56"/>
  <c r="AQ56"/>
  <c r="AO56"/>
  <c r="AM56"/>
  <c r="AK56"/>
  <c r="AI56"/>
  <c r="AG56"/>
  <c r="AE56"/>
  <c r="AC56"/>
  <c r="AA56"/>
  <c r="Y56"/>
  <c r="W56"/>
  <c r="V56"/>
  <c r="BJ55"/>
  <c r="F55" s="1"/>
  <c r="BI55"/>
  <c r="BG55"/>
  <c r="BE55"/>
  <c r="BC55"/>
  <c r="BA55"/>
  <c r="AY55"/>
  <c r="AW55"/>
  <c r="AU55"/>
  <c r="AS55"/>
  <c r="AQ55"/>
  <c r="AO55"/>
  <c r="AM55"/>
  <c r="AK55"/>
  <c r="AI55"/>
  <c r="AG55"/>
  <c r="AE55"/>
  <c r="AC55"/>
  <c r="AA55"/>
  <c r="Y55"/>
  <c r="W55"/>
  <c r="V55"/>
  <c r="BJ54"/>
  <c r="F54" s="1"/>
  <c r="G54" s="1"/>
  <c r="BP54" s="1"/>
  <c r="BR54" s="1"/>
  <c r="BV54" s="1"/>
  <c r="BI54"/>
  <c r="BG54"/>
  <c r="BE54"/>
  <c r="BC54"/>
  <c r="BA54"/>
  <c r="AY54"/>
  <c r="AW54"/>
  <c r="AU54"/>
  <c r="AS54"/>
  <c r="AQ54"/>
  <c r="AO54"/>
  <c r="AM54"/>
  <c r="AK54"/>
  <c r="AI54"/>
  <c r="AG54"/>
  <c r="AE54"/>
  <c r="AC54"/>
  <c r="AA54"/>
  <c r="BJ53"/>
  <c r="BK53" s="1"/>
  <c r="BI53"/>
  <c r="BG53"/>
  <c r="BE53"/>
  <c r="BC53"/>
  <c r="BA53"/>
  <c r="AY53"/>
  <c r="AW53"/>
  <c r="AU53"/>
  <c r="AS53"/>
  <c r="AQ53"/>
  <c r="AO53"/>
  <c r="AM53"/>
  <c r="AK53"/>
  <c r="AI53"/>
  <c r="AG53"/>
  <c r="AE53"/>
  <c r="AC53"/>
  <c r="AA53"/>
  <c r="Y53"/>
  <c r="BJ52"/>
  <c r="BK52" s="1"/>
  <c r="BI52"/>
  <c r="BG52"/>
  <c r="BE52"/>
  <c r="BC52"/>
  <c r="BA52"/>
  <c r="AY52"/>
  <c r="AW52"/>
  <c r="AU52"/>
  <c r="AS52"/>
  <c r="AQ52"/>
  <c r="AO52"/>
  <c r="AM52"/>
  <c r="AK52"/>
  <c r="AI52"/>
  <c r="AG52"/>
  <c r="AE52"/>
  <c r="AC52"/>
  <c r="AA52"/>
  <c r="Y52"/>
  <c r="W52"/>
  <c r="V52"/>
  <c r="BJ51"/>
  <c r="F51" s="1"/>
  <c r="G51" s="1"/>
  <c r="BI51"/>
  <c r="BG51"/>
  <c r="BE51"/>
  <c r="BC51"/>
  <c r="BA51"/>
  <c r="AY51"/>
  <c r="AW51"/>
  <c r="AU51"/>
  <c r="AS51"/>
  <c r="AQ51"/>
  <c r="AO51"/>
  <c r="AM51"/>
  <c r="AK51"/>
  <c r="AI51"/>
  <c r="AG51"/>
  <c r="AE51"/>
  <c r="AC51"/>
  <c r="AA51"/>
  <c r="Y51"/>
  <c r="W51"/>
  <c r="V51"/>
  <c r="BJ50"/>
  <c r="BK50" s="1"/>
  <c r="BI50"/>
  <c r="BG50"/>
  <c r="BE50"/>
  <c r="BC50"/>
  <c r="BA50"/>
  <c r="AY50"/>
  <c r="AW50"/>
  <c r="AU50"/>
  <c r="AS50"/>
  <c r="AQ50"/>
  <c r="AO50"/>
  <c r="AM50"/>
  <c r="AK50"/>
  <c r="AI50"/>
  <c r="AG50"/>
  <c r="AE50"/>
  <c r="AC50"/>
  <c r="AA50"/>
  <c r="Y50"/>
  <c r="W50"/>
  <c r="V50"/>
  <c r="BJ49"/>
  <c r="F49" s="1"/>
  <c r="T49" s="1"/>
  <c r="X49" s="1"/>
  <c r="BI49"/>
  <c r="BG49"/>
  <c r="BE49"/>
  <c r="BC49"/>
  <c r="BA49"/>
  <c r="AY49"/>
  <c r="AW49"/>
  <c r="AU49"/>
  <c r="AS49"/>
  <c r="AQ49"/>
  <c r="AO49"/>
  <c r="AM49"/>
  <c r="AK49"/>
  <c r="AI49"/>
  <c r="AG49"/>
  <c r="AE49"/>
  <c r="AC49"/>
  <c r="AA49"/>
  <c r="Y49"/>
  <c r="W49"/>
  <c r="V49"/>
  <c r="BJ48"/>
  <c r="F48" s="1"/>
  <c r="G48" s="1"/>
  <c r="BI48"/>
  <c r="BG48"/>
  <c r="BE48"/>
  <c r="BC48"/>
  <c r="BA48"/>
  <c r="AY48"/>
  <c r="AW48"/>
  <c r="AU48"/>
  <c r="AS48"/>
  <c r="AQ48"/>
  <c r="AO48"/>
  <c r="AM48"/>
  <c r="AK48"/>
  <c r="AI48"/>
  <c r="AG48"/>
  <c r="AE48"/>
  <c r="AC48"/>
  <c r="AA48"/>
  <c r="Y48"/>
  <c r="W48"/>
  <c r="V48"/>
  <c r="BJ47"/>
  <c r="F47" s="1"/>
  <c r="BI47"/>
  <c r="BG47"/>
  <c r="BE47"/>
  <c r="BC47"/>
  <c r="BA47"/>
  <c r="AY47"/>
  <c r="AW47"/>
  <c r="AU47"/>
  <c r="AS47"/>
  <c r="AQ47"/>
  <c r="AO47"/>
  <c r="AM47"/>
  <c r="AK47"/>
  <c r="AI47"/>
  <c r="AG47"/>
  <c r="AE47"/>
  <c r="AC47"/>
  <c r="AA47"/>
  <c r="Y47"/>
  <c r="V47"/>
  <c r="BJ46"/>
  <c r="F46" s="1"/>
  <c r="T46" s="1"/>
  <c r="X46" s="1"/>
  <c r="BI46"/>
  <c r="BG46"/>
  <c r="BE46"/>
  <c r="BC46"/>
  <c r="BA46"/>
  <c r="AY46"/>
  <c r="AW46"/>
  <c r="AU46"/>
  <c r="AS46"/>
  <c r="AQ46"/>
  <c r="AO46"/>
  <c r="AM46"/>
  <c r="AK46"/>
  <c r="AI46"/>
  <c r="AG46"/>
  <c r="AE46"/>
  <c r="AC46"/>
  <c r="AA46"/>
  <c r="Y46"/>
  <c r="V46"/>
  <c r="BJ45"/>
  <c r="BK45" s="1"/>
  <c r="BI45"/>
  <c r="BG45"/>
  <c r="BE45"/>
  <c r="BC45"/>
  <c r="BA45"/>
  <c r="AY45"/>
  <c r="AW45"/>
  <c r="AU45"/>
  <c r="AS45"/>
  <c r="AQ45"/>
  <c r="AO45"/>
  <c r="AM45"/>
  <c r="AK45"/>
  <c r="AI45"/>
  <c r="AG45"/>
  <c r="AE45"/>
  <c r="AC45"/>
  <c r="AA45"/>
  <c r="Y45"/>
  <c r="X45"/>
  <c r="BJ44"/>
  <c r="BK44" s="1"/>
  <c r="BI44"/>
  <c r="BG44"/>
  <c r="BE44"/>
  <c r="BC44"/>
  <c r="BA44"/>
  <c r="AY44"/>
  <c r="AW44"/>
  <c r="AU44"/>
  <c r="AS44"/>
  <c r="AQ44"/>
  <c r="AO44"/>
  <c r="AM44"/>
  <c r="AK44"/>
  <c r="AI44"/>
  <c r="AG44"/>
  <c r="AE44"/>
  <c r="AC44"/>
  <c r="AA44"/>
  <c r="Y44"/>
  <c r="V44"/>
  <c r="BJ43"/>
  <c r="BK43" s="1"/>
  <c r="BI43"/>
  <c r="BG43"/>
  <c r="BE43"/>
  <c r="BC43"/>
  <c r="BA43"/>
  <c r="AY43"/>
  <c r="AW43"/>
  <c r="AU43"/>
  <c r="AS43"/>
  <c r="AQ43"/>
  <c r="AO43"/>
  <c r="AM43"/>
  <c r="AK43"/>
  <c r="AI43"/>
  <c r="AG43"/>
  <c r="AE43"/>
  <c r="AC43"/>
  <c r="AA43"/>
  <c r="Y43"/>
  <c r="BJ42"/>
  <c r="F42" s="1"/>
  <c r="BI42"/>
  <c r="BG42"/>
  <c r="BE42"/>
  <c r="BC42"/>
  <c r="BA42"/>
  <c r="AY42"/>
  <c r="AW42"/>
  <c r="AU42"/>
  <c r="AS42"/>
  <c r="AQ42"/>
  <c r="AO42"/>
  <c r="AM42"/>
  <c r="AK42"/>
  <c r="AI42"/>
  <c r="AG42"/>
  <c r="AE42"/>
  <c r="AC42"/>
  <c r="AA42"/>
  <c r="Y42"/>
  <c r="V42"/>
  <c r="BJ41"/>
  <c r="BI41"/>
  <c r="BG41"/>
  <c r="BE41"/>
  <c r="BC41"/>
  <c r="BA41"/>
  <c r="AY41"/>
  <c r="AW41"/>
  <c r="AU41"/>
  <c r="AS41"/>
  <c r="AQ41"/>
  <c r="AO41"/>
  <c r="AM41"/>
  <c r="AK41"/>
  <c r="AI41"/>
  <c r="AG41"/>
  <c r="AE41"/>
  <c r="AC41"/>
  <c r="AA41"/>
  <c r="Y41"/>
  <c r="BU40"/>
  <c r="BN40"/>
  <c r="BL39"/>
  <c r="BJ38"/>
  <c r="BK38" s="1"/>
  <c r="BI38"/>
  <c r="BG38"/>
  <c r="BE38"/>
  <c r="BC38"/>
  <c r="BA38"/>
  <c r="AY38"/>
  <c r="AW38"/>
  <c r="AU38"/>
  <c r="AS38"/>
  <c r="AQ38"/>
  <c r="AO38"/>
  <c r="AM38"/>
  <c r="AK38"/>
  <c r="AI38"/>
  <c r="AG38"/>
  <c r="AE38"/>
  <c r="AC38"/>
  <c r="AA38"/>
  <c r="Y38"/>
  <c r="BJ37"/>
  <c r="BI37"/>
  <c r="BG37"/>
  <c r="BE37"/>
  <c r="BC37"/>
  <c r="BA37"/>
  <c r="AY37"/>
  <c r="AW37"/>
  <c r="AU37"/>
  <c r="AS37"/>
  <c r="AQ37"/>
  <c r="AO37"/>
  <c r="AM37"/>
  <c r="AK37"/>
  <c r="AI37"/>
  <c r="AG37"/>
  <c r="AE37"/>
  <c r="AC37"/>
  <c r="AA37"/>
  <c r="Y37"/>
  <c r="BJ36"/>
  <c r="F36" s="1"/>
  <c r="BI36"/>
  <c r="BG36"/>
  <c r="BE36"/>
  <c r="BC36"/>
  <c r="BA36"/>
  <c r="AY36"/>
  <c r="AW36"/>
  <c r="AU36"/>
  <c r="AS36"/>
  <c r="AQ36"/>
  <c r="AO36"/>
  <c r="AM36"/>
  <c r="AK36"/>
  <c r="AI36"/>
  <c r="AG36"/>
  <c r="AE36"/>
  <c r="AC36"/>
  <c r="AA36"/>
  <c r="Y36"/>
  <c r="BJ35"/>
  <c r="BK35" s="1"/>
  <c r="BI35"/>
  <c r="BG35"/>
  <c r="BE35"/>
  <c r="BC35"/>
  <c r="BA35"/>
  <c r="AY35"/>
  <c r="AW35"/>
  <c r="AU35"/>
  <c r="AS35"/>
  <c r="AQ35"/>
  <c r="AO35"/>
  <c r="AM35"/>
  <c r="AK35"/>
  <c r="AI35"/>
  <c r="AG35"/>
  <c r="AE35"/>
  <c r="AC35"/>
  <c r="AA35"/>
  <c r="Y35"/>
  <c r="BU34"/>
  <c r="BN34"/>
  <c r="BR34" s="1"/>
  <c r="AA21"/>
  <c r="AC21"/>
  <c r="AE21"/>
  <c r="AG21"/>
  <c r="AI21"/>
  <c r="AK21"/>
  <c r="AM21"/>
  <c r="AO21"/>
  <c r="AQ21"/>
  <c r="AS21"/>
  <c r="AU21"/>
  <c r="AW21"/>
  <c r="AY21"/>
  <c r="BA21"/>
  <c r="BC21"/>
  <c r="BE21"/>
  <c r="Y66" i="45"/>
  <c r="Z66"/>
  <c r="Y67"/>
  <c r="Z67"/>
  <c r="Y68"/>
  <c r="Z68"/>
  <c r="Y69"/>
  <c r="Z69"/>
  <c r="Y70"/>
  <c r="Z70"/>
  <c r="AB12"/>
  <c r="AD12"/>
  <c r="AF12"/>
  <c r="AH12"/>
  <c r="AJ12"/>
  <c r="AL12"/>
  <c r="AN12"/>
  <c r="H14"/>
  <c r="BK36"/>
  <c r="BL36" s="1"/>
  <c r="BK37"/>
  <c r="BK38"/>
  <c r="BK39"/>
  <c r="BK40"/>
  <c r="G40" s="1"/>
  <c r="BK41"/>
  <c r="G67"/>
  <c r="G69"/>
  <c r="G70"/>
  <c r="BU50" i="25" l="1"/>
  <c r="BT54"/>
  <c r="BK54" i="44"/>
  <c r="AW39"/>
  <c r="AG39"/>
  <c r="AS39"/>
  <c r="AM39"/>
  <c r="AY39"/>
  <c r="BR40"/>
  <c r="AA39"/>
  <c r="AG63"/>
  <c r="BE63"/>
  <c r="AS63"/>
  <c r="AO39"/>
  <c r="Y39"/>
  <c r="AK39"/>
  <c r="BI39"/>
  <c r="BG86"/>
  <c r="F72"/>
  <c r="BK48"/>
  <c r="BC39"/>
  <c r="AY86"/>
  <c r="AU39"/>
  <c r="BA86"/>
  <c r="BC81"/>
  <c r="AU63"/>
  <c r="BG63"/>
  <c r="BK46"/>
  <c r="F62"/>
  <c r="G62" s="1"/>
  <c r="BP62" s="1"/>
  <c r="BR62" s="1"/>
  <c r="BV62" s="1"/>
  <c r="AG81"/>
  <c r="BE81"/>
  <c r="BI86"/>
  <c r="AE81"/>
  <c r="BI63"/>
  <c r="F52"/>
  <c r="AI81"/>
  <c r="AU81"/>
  <c r="BG81"/>
  <c r="Y63"/>
  <c r="AW63"/>
  <c r="AA63"/>
  <c r="AM63"/>
  <c r="AY63"/>
  <c r="BK41"/>
  <c r="BJ63"/>
  <c r="F50"/>
  <c r="F57"/>
  <c r="R57" s="1"/>
  <c r="V57" s="1"/>
  <c r="F79"/>
  <c r="G79" s="1"/>
  <c r="BP79" s="1"/>
  <c r="BR79" s="1"/>
  <c r="BV79" s="1"/>
  <c r="AK81"/>
  <c r="AW81"/>
  <c r="BI81"/>
  <c r="AQ81"/>
  <c r="AI63"/>
  <c r="AK63"/>
  <c r="AO63"/>
  <c r="BA63"/>
  <c r="AA81"/>
  <c r="AM81"/>
  <c r="AY81"/>
  <c r="AC63"/>
  <c r="AE63"/>
  <c r="AQ63"/>
  <c r="BC63"/>
  <c r="BK47"/>
  <c r="AC81"/>
  <c r="AO81"/>
  <c r="BA81"/>
  <c r="BE86"/>
  <c r="BL41" i="45"/>
  <c r="G41"/>
  <c r="BL37"/>
  <c r="G37"/>
  <c r="BL39"/>
  <c r="G39"/>
  <c r="BL38"/>
  <c r="G38"/>
  <c r="BK65" i="44"/>
  <c r="BJ81"/>
  <c r="AS81"/>
  <c r="AC39"/>
  <c r="AE39"/>
  <c r="BG39"/>
  <c r="BE39"/>
  <c r="BA39"/>
  <c r="AQ39"/>
  <c r="BJ39"/>
  <c r="AI39"/>
  <c r="F37"/>
  <c r="R37" s="1"/>
  <c r="BK37"/>
  <c r="H13" i="45"/>
  <c r="BL40"/>
  <c r="BK42"/>
  <c r="BK84" s="1"/>
  <c r="F84" i="44"/>
  <c r="U84" s="1"/>
  <c r="F66"/>
  <c r="G66" s="1"/>
  <c r="F69"/>
  <c r="U69" s="1"/>
  <c r="T47"/>
  <c r="X47" s="1"/>
  <c r="G47"/>
  <c r="I47" s="1"/>
  <c r="F35"/>
  <c r="R35" s="1"/>
  <c r="V35" s="1"/>
  <c r="G46"/>
  <c r="P46" s="1"/>
  <c r="F60"/>
  <c r="G60" s="1"/>
  <c r="BP60" s="1"/>
  <c r="BR60" s="1"/>
  <c r="BV60" s="1"/>
  <c r="T68"/>
  <c r="X68" s="1"/>
  <c r="BK74"/>
  <c r="BK75"/>
  <c r="BK42"/>
  <c r="F45"/>
  <c r="G45" s="1"/>
  <c r="P45" s="1"/>
  <c r="T75"/>
  <c r="X75" s="1"/>
  <c r="BK49"/>
  <c r="BK51"/>
  <c r="BV34"/>
  <c r="G55"/>
  <c r="H55" s="1"/>
  <c r="T55"/>
  <c r="X55" s="1"/>
  <c r="H54"/>
  <c r="P54"/>
  <c r="I54"/>
  <c r="BK36"/>
  <c r="T51"/>
  <c r="X51" s="1"/>
  <c r="BK55"/>
  <c r="BK56"/>
  <c r="F78"/>
  <c r="G78" s="1"/>
  <c r="F38"/>
  <c r="R38" s="1"/>
  <c r="V38" s="1"/>
  <c r="F53"/>
  <c r="S53" s="1"/>
  <c r="W53" s="1"/>
  <c r="F65"/>
  <c r="F76"/>
  <c r="BK67"/>
  <c r="BK68"/>
  <c r="F43"/>
  <c r="S36"/>
  <c r="W36" s="1"/>
  <c r="R36"/>
  <c r="V36" s="1"/>
  <c r="G36"/>
  <c r="T36"/>
  <c r="X36" s="1"/>
  <c r="P51"/>
  <c r="I51"/>
  <c r="H51"/>
  <c r="BP51"/>
  <c r="BR51" s="1"/>
  <c r="BV51" s="1"/>
  <c r="S42"/>
  <c r="W42" s="1"/>
  <c r="G42"/>
  <c r="P48"/>
  <c r="I48"/>
  <c r="H48"/>
  <c r="BP48"/>
  <c r="BR48" s="1"/>
  <c r="BV48" s="1"/>
  <c r="T42"/>
  <c r="X42" s="1"/>
  <c r="G82" i="45"/>
  <c r="H82" s="1"/>
  <c r="BQ82" s="1"/>
  <c r="BS82" s="1"/>
  <c r="BW82" s="1"/>
  <c r="F41" i="44"/>
  <c r="T48"/>
  <c r="X48" s="1"/>
  <c r="G49"/>
  <c r="G67"/>
  <c r="T67"/>
  <c r="X67" s="1"/>
  <c r="G83"/>
  <c r="T83"/>
  <c r="S47"/>
  <c r="W47" s="1"/>
  <c r="T56"/>
  <c r="X56" s="1"/>
  <c r="F59"/>
  <c r="G59" s="1"/>
  <c r="BK59"/>
  <c r="P68"/>
  <c r="I68"/>
  <c r="H68"/>
  <c r="BP68"/>
  <c r="BR68" s="1"/>
  <c r="BV68" s="1"/>
  <c r="F71"/>
  <c r="BK71"/>
  <c r="P79"/>
  <c r="I79"/>
  <c r="H79"/>
  <c r="S46"/>
  <c r="W46" s="1"/>
  <c r="T72"/>
  <c r="X72" s="1"/>
  <c r="G72"/>
  <c r="G73"/>
  <c r="T73"/>
  <c r="X73" s="1"/>
  <c r="I74"/>
  <c r="BP74"/>
  <c r="BR74" s="1"/>
  <c r="BV74" s="1"/>
  <c r="H74"/>
  <c r="P75"/>
  <c r="I75"/>
  <c r="H75"/>
  <c r="BP75"/>
  <c r="BR75" s="1"/>
  <c r="BV75" s="1"/>
  <c r="BK80"/>
  <c r="F80"/>
  <c r="BV40"/>
  <c r="F44"/>
  <c r="I56"/>
  <c r="H56"/>
  <c r="BP56"/>
  <c r="BR56" s="1"/>
  <c r="BV56" s="1"/>
  <c r="F61"/>
  <c r="G61" s="1"/>
  <c r="BK61"/>
  <c r="P74"/>
  <c r="S74"/>
  <c r="W74" s="1"/>
  <c r="U74"/>
  <c r="Y74" s="1"/>
  <c r="F70"/>
  <c r="BK73"/>
  <c r="F77"/>
  <c r="BK83"/>
  <c r="F58"/>
  <c r="H70" i="45"/>
  <c r="BQ70" s="1"/>
  <c r="BS70" s="1"/>
  <c r="BW70" s="1"/>
  <c r="S70"/>
  <c r="W70" s="1"/>
  <c r="T70"/>
  <c r="X70" s="1"/>
  <c r="S69"/>
  <c r="W69" s="1"/>
  <c r="H69"/>
  <c r="BQ69" s="1"/>
  <c r="BS69" s="1"/>
  <c r="BW69" s="1"/>
  <c r="T69"/>
  <c r="X69" s="1"/>
  <c r="H67"/>
  <c r="BQ67" s="1"/>
  <c r="BS67" s="1"/>
  <c r="BW67" s="1"/>
  <c r="S67"/>
  <c r="W67" s="1"/>
  <c r="T67"/>
  <c r="X67" s="1"/>
  <c r="G81"/>
  <c r="G80"/>
  <c r="G66"/>
  <c r="BK12"/>
  <c r="P78" i="44" l="1"/>
  <c r="BP78"/>
  <c r="BR78" s="1"/>
  <c r="BV78" s="1"/>
  <c r="U82" i="45"/>
  <c r="Y82" s="1"/>
  <c r="T82"/>
  <c r="X82" s="1"/>
  <c r="T84" i="44"/>
  <c r="X84" s="1"/>
  <c r="S45"/>
  <c r="W45" s="1"/>
  <c r="H78"/>
  <c r="I55"/>
  <c r="S84"/>
  <c r="W84" s="1"/>
  <c r="H46"/>
  <c r="R45"/>
  <c r="V45" s="1"/>
  <c r="P55"/>
  <c r="BP45"/>
  <c r="BR45" s="1"/>
  <c r="BV45" s="1"/>
  <c r="BP55"/>
  <c r="BR55" s="1"/>
  <c r="BV55" s="1"/>
  <c r="I45"/>
  <c r="S66"/>
  <c r="W66" s="1"/>
  <c r="G84"/>
  <c r="P84" s="1"/>
  <c r="H45"/>
  <c r="BP47"/>
  <c r="BR47" s="1"/>
  <c r="BV47" s="1"/>
  <c r="H60"/>
  <c r="P60"/>
  <c r="P47"/>
  <c r="BK81"/>
  <c r="BK15" i="45"/>
  <c r="BK85" s="1"/>
  <c r="AO15" i="39" s="1"/>
  <c r="G12" i="45"/>
  <c r="BL42"/>
  <c r="Y69" i="44"/>
  <c r="Y81" s="1"/>
  <c r="U81"/>
  <c r="H62"/>
  <c r="X83"/>
  <c r="T50"/>
  <c r="X50" s="1"/>
  <c r="G50"/>
  <c r="I62"/>
  <c r="F63"/>
  <c r="S57"/>
  <c r="W57" s="1"/>
  <c r="Y84"/>
  <c r="S69"/>
  <c r="W69" s="1"/>
  <c r="P62"/>
  <c r="BK63"/>
  <c r="T52"/>
  <c r="X52" s="1"/>
  <c r="G52"/>
  <c r="BP52" s="1"/>
  <c r="BR52" s="1"/>
  <c r="BV52" s="1"/>
  <c r="T53"/>
  <c r="X53" s="1"/>
  <c r="G57"/>
  <c r="H57" s="1"/>
  <c r="T65"/>
  <c r="F81"/>
  <c r="F39"/>
  <c r="BK39"/>
  <c r="S37"/>
  <c r="T37"/>
  <c r="X37" s="1"/>
  <c r="G37"/>
  <c r="H37" s="1"/>
  <c r="V37"/>
  <c r="V39" s="1"/>
  <c r="R39"/>
  <c r="S82" i="45"/>
  <c r="W82" s="1"/>
  <c r="T66" i="44"/>
  <c r="X66" s="1"/>
  <c r="R66"/>
  <c r="G69"/>
  <c r="S35"/>
  <c r="W35" s="1"/>
  <c r="G35"/>
  <c r="G65"/>
  <c r="G53"/>
  <c r="P53" s="1"/>
  <c r="H47"/>
  <c r="S65"/>
  <c r="I60"/>
  <c r="T35"/>
  <c r="BP46"/>
  <c r="BR46" s="1"/>
  <c r="BV46" s="1"/>
  <c r="I46"/>
  <c r="S43"/>
  <c r="W43" s="1"/>
  <c r="T43"/>
  <c r="X43" s="1"/>
  <c r="G43"/>
  <c r="R43"/>
  <c r="V43" s="1"/>
  <c r="S38"/>
  <c r="W38" s="1"/>
  <c r="T38"/>
  <c r="X38" s="1"/>
  <c r="G38"/>
  <c r="R53"/>
  <c r="V53" s="1"/>
  <c r="I78"/>
  <c r="T76"/>
  <c r="X76" s="1"/>
  <c r="G76"/>
  <c r="I82" i="45"/>
  <c r="J82"/>
  <c r="BP61" i="44"/>
  <c r="BR61" s="1"/>
  <c r="BV61" s="1"/>
  <c r="P61"/>
  <c r="H61"/>
  <c r="I61"/>
  <c r="G80"/>
  <c r="T80"/>
  <c r="X80" s="1"/>
  <c r="S80"/>
  <c r="W80" s="1"/>
  <c r="BP73"/>
  <c r="P73"/>
  <c r="I73"/>
  <c r="H73"/>
  <c r="BP67"/>
  <c r="BR67" s="1"/>
  <c r="BV67" s="1"/>
  <c r="P67"/>
  <c r="I67"/>
  <c r="H67"/>
  <c r="X35"/>
  <c r="BP83"/>
  <c r="BR83" s="1"/>
  <c r="BV83" s="1"/>
  <c r="P83"/>
  <c r="I83"/>
  <c r="H83"/>
  <c r="P66"/>
  <c r="I66"/>
  <c r="H66"/>
  <c r="BP66"/>
  <c r="BR66" s="1"/>
  <c r="BV66" s="1"/>
  <c r="G77"/>
  <c r="T77"/>
  <c r="X77" s="1"/>
  <c r="S77"/>
  <c r="W77" s="1"/>
  <c r="G71"/>
  <c r="T71"/>
  <c r="X71" s="1"/>
  <c r="P42"/>
  <c r="I42"/>
  <c r="BP42"/>
  <c r="BR42" s="1"/>
  <c r="BV42" s="1"/>
  <c r="H42"/>
  <c r="S58"/>
  <c r="W58" s="1"/>
  <c r="R58"/>
  <c r="V58" s="1"/>
  <c r="G58"/>
  <c r="G70"/>
  <c r="S70"/>
  <c r="W70" s="1"/>
  <c r="R70"/>
  <c r="P49"/>
  <c r="I49"/>
  <c r="H49"/>
  <c r="BP49"/>
  <c r="T44"/>
  <c r="X44" s="1"/>
  <c r="S44"/>
  <c r="W44" s="1"/>
  <c r="G44"/>
  <c r="BP36"/>
  <c r="BR36" s="1"/>
  <c r="BV36" s="1"/>
  <c r="I36"/>
  <c r="H36"/>
  <c r="P36"/>
  <c r="P72"/>
  <c r="I72"/>
  <c r="H72"/>
  <c r="BP72"/>
  <c r="BR72" s="1"/>
  <c r="BV72" s="1"/>
  <c r="BP59"/>
  <c r="BR59" s="1"/>
  <c r="BV59" s="1"/>
  <c r="P59"/>
  <c r="I59"/>
  <c r="H59"/>
  <c r="R41"/>
  <c r="T41"/>
  <c r="G41"/>
  <c r="S41"/>
  <c r="S80" i="45"/>
  <c r="W80" s="1"/>
  <c r="H80"/>
  <c r="BQ80" s="1"/>
  <c r="BS80" s="1"/>
  <c r="BW80" s="1"/>
  <c r="T80"/>
  <c r="X80" s="1"/>
  <c r="U80"/>
  <c r="Y80" s="1"/>
  <c r="S66"/>
  <c r="W66" s="1"/>
  <c r="T66"/>
  <c r="X66" s="1"/>
  <c r="H66"/>
  <c r="U81"/>
  <c r="Y81" s="1"/>
  <c r="H81"/>
  <c r="BQ81" s="1"/>
  <c r="BS81" s="1"/>
  <c r="BW81" s="1"/>
  <c r="T81"/>
  <c r="X81" s="1"/>
  <c r="S81"/>
  <c r="W81" s="1"/>
  <c r="N67"/>
  <c r="N69"/>
  <c r="N70"/>
  <c r="J20"/>
  <c r="I20"/>
  <c r="J19"/>
  <c r="I19"/>
  <c r="J17"/>
  <c r="I17"/>
  <c r="J14"/>
  <c r="I14"/>
  <c r="J13"/>
  <c r="I13"/>
  <c r="F13" i="46"/>
  <c r="G13"/>
  <c r="G12"/>
  <c r="F12"/>
  <c r="I18" i="47"/>
  <c r="H18"/>
  <c r="BP35" i="44" l="1"/>
  <c r="G39"/>
  <c r="BR73"/>
  <c r="BR49"/>
  <c r="BP63"/>
  <c r="N66" i="45"/>
  <c r="BQ66"/>
  <c r="BS66" s="1"/>
  <c r="BW66" s="1"/>
  <c r="H84" i="44"/>
  <c r="BP84"/>
  <c r="BR84" s="1"/>
  <c r="BV84" s="1"/>
  <c r="I84"/>
  <c r="H53"/>
  <c r="BP53"/>
  <c r="BR53" s="1"/>
  <c r="BV53" s="1"/>
  <c r="I53"/>
  <c r="S12" i="45"/>
  <c r="U12"/>
  <c r="V12"/>
  <c r="T12"/>
  <c r="H12"/>
  <c r="G15"/>
  <c r="I57" i="44"/>
  <c r="P57"/>
  <c r="BP57"/>
  <c r="BR57" s="1"/>
  <c r="BV57" s="1"/>
  <c r="P52"/>
  <c r="I52"/>
  <c r="H52"/>
  <c r="V66"/>
  <c r="R81"/>
  <c r="H50"/>
  <c r="BP50"/>
  <c r="BR50" s="1"/>
  <c r="BV50" s="1"/>
  <c r="P50"/>
  <c r="I50"/>
  <c r="G63"/>
  <c r="R63"/>
  <c r="S63"/>
  <c r="T63"/>
  <c r="X65"/>
  <c r="X81" s="1"/>
  <c r="T81"/>
  <c r="H65"/>
  <c r="G81"/>
  <c r="I65"/>
  <c r="BP65"/>
  <c r="BR65" s="1"/>
  <c r="BV65" s="1"/>
  <c r="P65"/>
  <c r="W65"/>
  <c r="W81" s="1"/>
  <c r="S81"/>
  <c r="S39"/>
  <c r="X39"/>
  <c r="I35"/>
  <c r="BP37"/>
  <c r="BR37" s="1"/>
  <c r="BV37" s="1"/>
  <c r="P37"/>
  <c r="I37"/>
  <c r="W37"/>
  <c r="W39" s="1"/>
  <c r="T39"/>
  <c r="F14" i="46"/>
  <c r="G14"/>
  <c r="P69" i="44"/>
  <c r="BP69"/>
  <c r="BR69" s="1"/>
  <c r="BV69" s="1"/>
  <c r="H69"/>
  <c r="I69"/>
  <c r="H35"/>
  <c r="P35"/>
  <c r="BP76"/>
  <c r="BR76" s="1"/>
  <c r="BV76" s="1"/>
  <c r="P76"/>
  <c r="I76"/>
  <c r="H76"/>
  <c r="H43"/>
  <c r="P43"/>
  <c r="BP43"/>
  <c r="BR43" s="1"/>
  <c r="BV43" s="1"/>
  <c r="I43"/>
  <c r="P38"/>
  <c r="BP38"/>
  <c r="BR38" s="1"/>
  <c r="BV38" s="1"/>
  <c r="I38"/>
  <c r="H38"/>
  <c r="W41"/>
  <c r="W63" s="1"/>
  <c r="P41"/>
  <c r="BP41"/>
  <c r="I41"/>
  <c r="H41"/>
  <c r="V41"/>
  <c r="V63" s="1"/>
  <c r="P44"/>
  <c r="I44"/>
  <c r="BP44"/>
  <c r="BR44" s="1"/>
  <c r="BV44" s="1"/>
  <c r="H44"/>
  <c r="P80"/>
  <c r="I80"/>
  <c r="BP80"/>
  <c r="BR80" s="1"/>
  <c r="BV80" s="1"/>
  <c r="H80"/>
  <c r="V70"/>
  <c r="I71"/>
  <c r="H71"/>
  <c r="BP71"/>
  <c r="BR71" s="1"/>
  <c r="BV71" s="1"/>
  <c r="P71"/>
  <c r="BP70"/>
  <c r="BR70" s="1"/>
  <c r="BV70" s="1"/>
  <c r="H70"/>
  <c r="P70"/>
  <c r="I70"/>
  <c r="P58"/>
  <c r="I58"/>
  <c r="H58"/>
  <c r="BP58"/>
  <c r="BR58" s="1"/>
  <c r="BV58" s="1"/>
  <c r="X41"/>
  <c r="X63" s="1"/>
  <c r="BR35"/>
  <c r="BR39" s="1"/>
  <c r="BP77"/>
  <c r="BR77" s="1"/>
  <c r="BV77" s="1"/>
  <c r="H77"/>
  <c r="P77"/>
  <c r="I77"/>
  <c r="J81" i="45"/>
  <c r="I81"/>
  <c r="J80"/>
  <c r="I80"/>
  <c r="G17" i="39"/>
  <c r="I17"/>
  <c r="K17"/>
  <c r="M17"/>
  <c r="O17"/>
  <c r="Q17"/>
  <c r="S17"/>
  <c r="U17"/>
  <c r="W17"/>
  <c r="Y17"/>
  <c r="AA17"/>
  <c r="AC17"/>
  <c r="AC18" s="1"/>
  <c r="AE17"/>
  <c r="AE18" s="1"/>
  <c r="AF17"/>
  <c r="AG17"/>
  <c r="AG18" s="1"/>
  <c r="AI17"/>
  <c r="AI18" s="1"/>
  <c r="AK17"/>
  <c r="AK18" s="1"/>
  <c r="AM17"/>
  <c r="AM18" s="1"/>
  <c r="E17"/>
  <c r="X17"/>
  <c r="F53" i="43"/>
  <c r="F55" s="1"/>
  <c r="BG41"/>
  <c r="BE41"/>
  <c r="BC41"/>
  <c r="AY41"/>
  <c r="AW41"/>
  <c r="AU41"/>
  <c r="AO41"/>
  <c r="AK41"/>
  <c r="AI41"/>
  <c r="AG41"/>
  <c r="AC41"/>
  <c r="AA41"/>
  <c r="F39"/>
  <c r="BI39"/>
  <c r="BG39"/>
  <c r="BE39"/>
  <c r="BC39"/>
  <c r="AY39"/>
  <c r="AW39"/>
  <c r="AU39"/>
  <c r="AO39"/>
  <c r="AK39"/>
  <c r="AI39"/>
  <c r="AG39"/>
  <c r="AE39"/>
  <c r="AC39"/>
  <c r="AA39"/>
  <c r="F38"/>
  <c r="BI38"/>
  <c r="BG38"/>
  <c r="BE38"/>
  <c r="BC38"/>
  <c r="AY38"/>
  <c r="AW38"/>
  <c r="AU38"/>
  <c r="AO38"/>
  <c r="AK38"/>
  <c r="AI38"/>
  <c r="AG38"/>
  <c r="AE38"/>
  <c r="AC38"/>
  <c r="AA38"/>
  <c r="F37"/>
  <c r="BI37"/>
  <c r="BG37"/>
  <c r="BE37"/>
  <c r="BC37"/>
  <c r="AY37"/>
  <c r="AW37"/>
  <c r="AU37"/>
  <c r="AO37"/>
  <c r="AK37"/>
  <c r="AI37"/>
  <c r="AG37"/>
  <c r="AE37"/>
  <c r="AC37"/>
  <c r="AA37"/>
  <c r="F36"/>
  <c r="BI36"/>
  <c r="BG36"/>
  <c r="BE36"/>
  <c r="BC36"/>
  <c r="AY36"/>
  <c r="AW36"/>
  <c r="AU36"/>
  <c r="AO36"/>
  <c r="AK36"/>
  <c r="AI36"/>
  <c r="AG36"/>
  <c r="AE36"/>
  <c r="AC36"/>
  <c r="AA36"/>
  <c r="F35"/>
  <c r="BI35"/>
  <c r="BG35"/>
  <c r="BE35"/>
  <c r="BC35"/>
  <c r="AY35"/>
  <c r="AW35"/>
  <c r="AU35"/>
  <c r="AO35"/>
  <c r="AK35"/>
  <c r="AI35"/>
  <c r="AG35"/>
  <c r="AE35"/>
  <c r="AC35"/>
  <c r="AA35"/>
  <c r="BJ34"/>
  <c r="BI34"/>
  <c r="BG34"/>
  <c r="BE34"/>
  <c r="BC34"/>
  <c r="AY34"/>
  <c r="AW34"/>
  <c r="AU34"/>
  <c r="AO34"/>
  <c r="AK34"/>
  <c r="AI34"/>
  <c r="AG34"/>
  <c r="AE34"/>
  <c r="AC34"/>
  <c r="AA34"/>
  <c r="F32"/>
  <c r="BI32"/>
  <c r="BG32"/>
  <c r="BE32"/>
  <c r="BC32"/>
  <c r="AY32"/>
  <c r="AU32"/>
  <c r="AO32"/>
  <c r="AK32"/>
  <c r="AI32"/>
  <c r="AG32"/>
  <c r="AE32"/>
  <c r="AC32"/>
  <c r="AA32"/>
  <c r="F31"/>
  <c r="BI31"/>
  <c r="BG31"/>
  <c r="BE31"/>
  <c r="BC31"/>
  <c r="AY31"/>
  <c r="AU31"/>
  <c r="AO31"/>
  <c r="AK31"/>
  <c r="AI31"/>
  <c r="AG31"/>
  <c r="AE31"/>
  <c r="AC31"/>
  <c r="AA31"/>
  <c r="F26"/>
  <c r="BI26"/>
  <c r="BG26"/>
  <c r="BG33" s="1"/>
  <c r="BE26"/>
  <c r="BC26"/>
  <c r="AY26"/>
  <c r="AW26"/>
  <c r="AW33" s="1"/>
  <c r="AU26"/>
  <c r="AO26"/>
  <c r="AK26"/>
  <c r="AI26"/>
  <c r="AG26"/>
  <c r="AE26"/>
  <c r="AC26"/>
  <c r="AA26"/>
  <c r="AA33" s="1"/>
  <c r="BJ25"/>
  <c r="BI25"/>
  <c r="BG25"/>
  <c r="BE25"/>
  <c r="BC25"/>
  <c r="AY25"/>
  <c r="AW25"/>
  <c r="AU25"/>
  <c r="AO25"/>
  <c r="AK25"/>
  <c r="AI25"/>
  <c r="AG25"/>
  <c r="AE25"/>
  <c r="AC25"/>
  <c r="AA25"/>
  <c r="F23"/>
  <c r="BI23"/>
  <c r="BG23"/>
  <c r="BE23"/>
  <c r="BC23"/>
  <c r="AY23"/>
  <c r="AW23"/>
  <c r="AU23"/>
  <c r="AO23"/>
  <c r="AK23"/>
  <c r="AI23"/>
  <c r="AG23"/>
  <c r="AE23"/>
  <c r="AC23"/>
  <c r="AA23"/>
  <c r="F22"/>
  <c r="BI22"/>
  <c r="BG22"/>
  <c r="BE22"/>
  <c r="BC22"/>
  <c r="AY22"/>
  <c r="AW22"/>
  <c r="AU22"/>
  <c r="AO22"/>
  <c r="AK22"/>
  <c r="AI22"/>
  <c r="AG22"/>
  <c r="AE22"/>
  <c r="AC22"/>
  <c r="AA22"/>
  <c r="F21"/>
  <c r="F24" s="1"/>
  <c r="BI21"/>
  <c r="BI24" s="1"/>
  <c r="BG21"/>
  <c r="BG24" s="1"/>
  <c r="BE21"/>
  <c r="BC21"/>
  <c r="AY21"/>
  <c r="AW21"/>
  <c r="AW24" s="1"/>
  <c r="AU21"/>
  <c r="AO21"/>
  <c r="AK21"/>
  <c r="AI21"/>
  <c r="AG21"/>
  <c r="AE21"/>
  <c r="AE24" s="1"/>
  <c r="AC21"/>
  <c r="AC24" s="1"/>
  <c r="AA21"/>
  <c r="AA24" s="1"/>
  <c r="BI20"/>
  <c r="BG20"/>
  <c r="BE20"/>
  <c r="BC20"/>
  <c r="AY20"/>
  <c r="AW20"/>
  <c r="AU20"/>
  <c r="AO20"/>
  <c r="AK20"/>
  <c r="AI20"/>
  <c r="AG20"/>
  <c r="AE20"/>
  <c r="AC20"/>
  <c r="AA20"/>
  <c r="F18"/>
  <c r="BI18"/>
  <c r="BG18"/>
  <c r="BE18"/>
  <c r="BC18"/>
  <c r="AY18"/>
  <c r="AW18"/>
  <c r="AU18"/>
  <c r="AO18"/>
  <c r="AK18"/>
  <c r="AI18"/>
  <c r="AG18"/>
  <c r="AE18"/>
  <c r="AC18"/>
  <c r="AA18"/>
  <c r="BI17"/>
  <c r="BI19" s="1"/>
  <c r="BG17"/>
  <c r="BE17"/>
  <c r="BC17"/>
  <c r="AY17"/>
  <c r="AW17"/>
  <c r="AW19" s="1"/>
  <c r="AU17"/>
  <c r="AU19" s="1"/>
  <c r="AO17"/>
  <c r="AK17"/>
  <c r="AI17"/>
  <c r="AG17"/>
  <c r="AG19" s="1"/>
  <c r="AE17"/>
  <c r="AE19" s="1"/>
  <c r="AC17"/>
  <c r="AC19" s="1"/>
  <c r="AA17"/>
  <c r="BI16"/>
  <c r="BG16"/>
  <c r="BE16"/>
  <c r="BC16"/>
  <c r="AY16"/>
  <c r="AW16"/>
  <c r="AU16"/>
  <c r="AO16"/>
  <c r="AK16"/>
  <c r="AI16"/>
  <c r="AG16"/>
  <c r="AE16"/>
  <c r="AC16"/>
  <c r="AA16"/>
  <c r="BI14"/>
  <c r="BG14"/>
  <c r="BE14"/>
  <c r="BC14"/>
  <c r="AY14"/>
  <c r="AW14"/>
  <c r="AU14"/>
  <c r="AO14"/>
  <c r="AK14"/>
  <c r="AI14"/>
  <c r="AG14"/>
  <c r="AE14"/>
  <c r="AC14"/>
  <c r="AA14"/>
  <c r="F13"/>
  <c r="BI13"/>
  <c r="BG13"/>
  <c r="BE13"/>
  <c r="BC13"/>
  <c r="AY13"/>
  <c r="AW13"/>
  <c r="AU13"/>
  <c r="AO13"/>
  <c r="AK13"/>
  <c r="AI13"/>
  <c r="AG13"/>
  <c r="AE13"/>
  <c r="AC13"/>
  <c r="AA13"/>
  <c r="F12"/>
  <c r="BI12"/>
  <c r="BG12"/>
  <c r="BE12"/>
  <c r="BC12"/>
  <c r="AY12"/>
  <c r="AW12"/>
  <c r="AU12"/>
  <c r="AO12"/>
  <c r="AK12"/>
  <c r="AI12"/>
  <c r="AG12"/>
  <c r="AE12"/>
  <c r="AC12"/>
  <c r="AA12"/>
  <c r="BI11"/>
  <c r="BG11"/>
  <c r="BE11"/>
  <c r="BC11"/>
  <c r="AY11"/>
  <c r="AW11"/>
  <c r="AU11"/>
  <c r="AO11"/>
  <c r="AK11"/>
  <c r="AI11"/>
  <c r="AG11"/>
  <c r="AE11"/>
  <c r="AC11"/>
  <c r="AA11"/>
  <c r="AW62" i="46"/>
  <c r="AW63" s="1"/>
  <c r="AW58"/>
  <c r="AW59"/>
  <c r="AW57"/>
  <c r="AW50"/>
  <c r="AW44"/>
  <c r="AW45"/>
  <c r="AW46"/>
  <c r="AW47"/>
  <c r="AW49"/>
  <c r="AW43"/>
  <c r="AW15"/>
  <c r="AW16" s="1"/>
  <c r="AU62"/>
  <c r="AU63" s="1"/>
  <c r="AU58"/>
  <c r="AU59"/>
  <c r="AU57"/>
  <c r="AU44"/>
  <c r="AU45"/>
  <c r="AU46"/>
  <c r="AU47"/>
  <c r="AU49"/>
  <c r="AU50"/>
  <c r="AU43"/>
  <c r="AW39"/>
  <c r="AW41" s="1"/>
  <c r="AW40"/>
  <c r="AU39"/>
  <c r="AU41" s="1"/>
  <c r="AU40"/>
  <c r="AW28"/>
  <c r="AW30"/>
  <c r="AW26"/>
  <c r="AU31"/>
  <c r="AW20"/>
  <c r="AW21"/>
  <c r="AW22"/>
  <c r="AW23"/>
  <c r="AW19"/>
  <c r="AU20"/>
  <c r="AU21"/>
  <c r="AU22"/>
  <c r="AU23"/>
  <c r="AU19"/>
  <c r="AU15"/>
  <c r="AU16" s="1"/>
  <c r="AU13"/>
  <c r="AW12"/>
  <c r="AW14" s="1"/>
  <c r="AU12"/>
  <c r="Z60"/>
  <c r="AA60"/>
  <c r="AB60"/>
  <c r="AD60"/>
  <c r="AF60"/>
  <c r="AH60"/>
  <c r="AI60"/>
  <c r="AJ60"/>
  <c r="AK60"/>
  <c r="AL60"/>
  <c r="AM60"/>
  <c r="AN60"/>
  <c r="AP60"/>
  <c r="AR60"/>
  <c r="AT60"/>
  <c r="AV60"/>
  <c r="AX60"/>
  <c r="AZ60"/>
  <c r="BA60"/>
  <c r="BB60"/>
  <c r="BD60"/>
  <c r="BF60"/>
  <c r="BH60"/>
  <c r="X60"/>
  <c r="Z54"/>
  <c r="AB54"/>
  <c r="AD54"/>
  <c r="AF54"/>
  <c r="AH54"/>
  <c r="AJ54"/>
  <c r="AL54"/>
  <c r="AN54"/>
  <c r="AP54"/>
  <c r="AR54"/>
  <c r="AT54"/>
  <c r="AV54"/>
  <c r="AX54"/>
  <c r="AZ54"/>
  <c r="BB54"/>
  <c r="BD54"/>
  <c r="BF54"/>
  <c r="BH54"/>
  <c r="X54"/>
  <c r="Z51"/>
  <c r="AA51"/>
  <c r="AB51"/>
  <c r="AD51"/>
  <c r="AF51"/>
  <c r="AH51"/>
  <c r="AI51"/>
  <c r="AJ51"/>
  <c r="AK51"/>
  <c r="AL51"/>
  <c r="AM51"/>
  <c r="AN51"/>
  <c r="AP51"/>
  <c r="AR51"/>
  <c r="AT51"/>
  <c r="AV51"/>
  <c r="AX51"/>
  <c r="AZ51"/>
  <c r="BA51"/>
  <c r="BB51"/>
  <c r="BD51"/>
  <c r="BF51"/>
  <c r="BH51"/>
  <c r="X51"/>
  <c r="Z41"/>
  <c r="AA41"/>
  <c r="AB41"/>
  <c r="AD41"/>
  <c r="AF41"/>
  <c r="AH41"/>
  <c r="AI41"/>
  <c r="AJ41"/>
  <c r="AK41"/>
  <c r="AL41"/>
  <c r="AM41"/>
  <c r="AN41"/>
  <c r="AP41"/>
  <c r="AR41"/>
  <c r="AT41"/>
  <c r="AV41"/>
  <c r="AX41"/>
  <c r="AZ41"/>
  <c r="BA41"/>
  <c r="BB41"/>
  <c r="BD41"/>
  <c r="BF41"/>
  <c r="BH41"/>
  <c r="X41"/>
  <c r="Z34"/>
  <c r="AB34"/>
  <c r="AC34"/>
  <c r="AD34"/>
  <c r="AF34"/>
  <c r="AH34"/>
  <c r="AI34"/>
  <c r="AJ34"/>
  <c r="AK34"/>
  <c r="AL34"/>
  <c r="AM34"/>
  <c r="AN34"/>
  <c r="AP34"/>
  <c r="AR34"/>
  <c r="AT34"/>
  <c r="AU34"/>
  <c r="AV34"/>
  <c r="AW34"/>
  <c r="AX34"/>
  <c r="AZ34"/>
  <c r="BA34"/>
  <c r="BB34"/>
  <c r="BD34"/>
  <c r="BF34"/>
  <c r="BH34"/>
  <c r="BI34"/>
  <c r="X34"/>
  <c r="Z31"/>
  <c r="AA31"/>
  <c r="AB31"/>
  <c r="AD31"/>
  <c r="AF31"/>
  <c r="AH31"/>
  <c r="AI31"/>
  <c r="AJ31"/>
  <c r="AK31"/>
  <c r="AL31"/>
  <c r="AM31"/>
  <c r="AN31"/>
  <c r="AP31"/>
  <c r="AR31"/>
  <c r="AT31"/>
  <c r="AV31"/>
  <c r="AX31"/>
  <c r="AZ31"/>
  <c r="BA31"/>
  <c r="BB31"/>
  <c r="BD31"/>
  <c r="BF31"/>
  <c r="BH31"/>
  <c r="X31"/>
  <c r="Z16"/>
  <c r="AB16"/>
  <c r="AD16"/>
  <c r="AF16"/>
  <c r="AH16"/>
  <c r="AI16"/>
  <c r="AJ16"/>
  <c r="AK16"/>
  <c r="AL16"/>
  <c r="AM16"/>
  <c r="AN16"/>
  <c r="AP16"/>
  <c r="AR16"/>
  <c r="AT16"/>
  <c r="AV16"/>
  <c r="AX16"/>
  <c r="AZ16"/>
  <c r="BA16"/>
  <c r="BB16"/>
  <c r="BD16"/>
  <c r="BF16"/>
  <c r="BH16"/>
  <c r="X16"/>
  <c r="Z14"/>
  <c r="AA14"/>
  <c r="AB14"/>
  <c r="AD14"/>
  <c r="AF14"/>
  <c r="AH14"/>
  <c r="AI14"/>
  <c r="AJ14"/>
  <c r="AK14"/>
  <c r="AL14"/>
  <c r="AM14"/>
  <c r="AN14"/>
  <c r="AP14"/>
  <c r="AR14"/>
  <c r="AT14"/>
  <c r="AV14"/>
  <c r="AX14"/>
  <c r="BA14"/>
  <c r="BF14"/>
  <c r="BH14"/>
  <c r="X14"/>
  <c r="BG62"/>
  <c r="BG63" s="1"/>
  <c r="BE62"/>
  <c r="BE63" s="1"/>
  <c r="BC62"/>
  <c r="BC63" s="1"/>
  <c r="AY62"/>
  <c r="AY63" s="1"/>
  <c r="AS62"/>
  <c r="AS63" s="1"/>
  <c r="AQ62"/>
  <c r="AQ63" s="1"/>
  <c r="AG62"/>
  <c r="AG63" s="1"/>
  <c r="AE62"/>
  <c r="AE63" s="1"/>
  <c r="AC62"/>
  <c r="AC63" s="1"/>
  <c r="Y62"/>
  <c r="Y63" s="1"/>
  <c r="BG59"/>
  <c r="BE59"/>
  <c r="BC59"/>
  <c r="AY59"/>
  <c r="AS59"/>
  <c r="AQ59"/>
  <c r="AG59"/>
  <c r="AE59"/>
  <c r="AC59"/>
  <c r="Y59"/>
  <c r="BG58"/>
  <c r="BE58"/>
  <c r="BC58"/>
  <c r="AY58"/>
  <c r="AS58"/>
  <c r="AQ58"/>
  <c r="AG58"/>
  <c r="AE58"/>
  <c r="AC58"/>
  <c r="Y58"/>
  <c r="BG57"/>
  <c r="BE57"/>
  <c r="BC57"/>
  <c r="AY57"/>
  <c r="AS57"/>
  <c r="AQ57"/>
  <c r="AO60"/>
  <c r="AG57"/>
  <c r="AE57"/>
  <c r="AC57"/>
  <c r="Y57"/>
  <c r="BG54"/>
  <c r="BG50"/>
  <c r="BE50"/>
  <c r="BC50"/>
  <c r="AY50"/>
  <c r="AS50"/>
  <c r="AQ50"/>
  <c r="AG50"/>
  <c r="AE50"/>
  <c r="AC50"/>
  <c r="Y50"/>
  <c r="BG49"/>
  <c r="BE49"/>
  <c r="BC49"/>
  <c r="AY49"/>
  <c r="AS49"/>
  <c r="AQ49"/>
  <c r="AG49"/>
  <c r="AE49"/>
  <c r="AC49"/>
  <c r="Y49"/>
  <c r="BG47"/>
  <c r="BE47"/>
  <c r="BC47"/>
  <c r="AY47"/>
  <c r="AS47"/>
  <c r="AQ47"/>
  <c r="AG47"/>
  <c r="AE47"/>
  <c r="AC47"/>
  <c r="Y47"/>
  <c r="BG46"/>
  <c r="BE46"/>
  <c r="BC46"/>
  <c r="AY46"/>
  <c r="AS46"/>
  <c r="AQ46"/>
  <c r="AG46"/>
  <c r="AE46"/>
  <c r="AC46"/>
  <c r="Y46"/>
  <c r="BG45"/>
  <c r="BE45"/>
  <c r="BC45"/>
  <c r="AY45"/>
  <c r="AS45"/>
  <c r="AQ45"/>
  <c r="AG45"/>
  <c r="AE45"/>
  <c r="AC45"/>
  <c r="Y45"/>
  <c r="BG44"/>
  <c r="BE44"/>
  <c r="BC44"/>
  <c r="AY44"/>
  <c r="AS44"/>
  <c r="AQ44"/>
  <c r="AG44"/>
  <c r="AE44"/>
  <c r="AC44"/>
  <c r="Y44"/>
  <c r="BG43"/>
  <c r="BE43"/>
  <c r="BC43"/>
  <c r="AY43"/>
  <c r="AS43"/>
  <c r="AQ43"/>
  <c r="AG43"/>
  <c r="AE43"/>
  <c r="AC43"/>
  <c r="Y43"/>
  <c r="BG40"/>
  <c r="BG41" s="1"/>
  <c r="BE40"/>
  <c r="BC40"/>
  <c r="AY40"/>
  <c r="AS40"/>
  <c r="AQ40"/>
  <c r="AG40"/>
  <c r="AE40"/>
  <c r="AC40"/>
  <c r="Y40"/>
  <c r="BG39"/>
  <c r="BE39"/>
  <c r="BC39"/>
  <c r="AY39"/>
  <c r="AY41" s="1"/>
  <c r="AS39"/>
  <c r="AS41" s="1"/>
  <c r="AQ39"/>
  <c r="AQ41" s="1"/>
  <c r="AO41"/>
  <c r="AG39"/>
  <c r="AE39"/>
  <c r="AC39"/>
  <c r="Y39"/>
  <c r="BG34"/>
  <c r="BE34"/>
  <c r="BC34"/>
  <c r="AY34"/>
  <c r="AS34"/>
  <c r="AQ34"/>
  <c r="AO34"/>
  <c r="AG34"/>
  <c r="AE34"/>
  <c r="AA34"/>
  <c r="Y34"/>
  <c r="BG30"/>
  <c r="BE30"/>
  <c r="BC30"/>
  <c r="AY30"/>
  <c r="AS30"/>
  <c r="AQ30"/>
  <c r="AG30"/>
  <c r="AE30"/>
  <c r="AC30"/>
  <c r="Y30"/>
  <c r="BG28"/>
  <c r="BE28"/>
  <c r="BC28"/>
  <c r="AY28"/>
  <c r="AS28"/>
  <c r="AQ28"/>
  <c r="AG28"/>
  <c r="AE28"/>
  <c r="AC28"/>
  <c r="Y28"/>
  <c r="BG26"/>
  <c r="BE26"/>
  <c r="BC26"/>
  <c r="AY26"/>
  <c r="AS26"/>
  <c r="AS31" s="1"/>
  <c r="AQ26"/>
  <c r="AO31"/>
  <c r="AG26"/>
  <c r="AE26"/>
  <c r="AC26"/>
  <c r="Y26"/>
  <c r="BG23"/>
  <c r="BE23"/>
  <c r="BC23"/>
  <c r="AY23"/>
  <c r="AS23"/>
  <c r="AQ23"/>
  <c r="AG23"/>
  <c r="AE23"/>
  <c r="AC23"/>
  <c r="Y23"/>
  <c r="BG22"/>
  <c r="BE22"/>
  <c r="BC22"/>
  <c r="AY22"/>
  <c r="AS22"/>
  <c r="AQ22"/>
  <c r="AG22"/>
  <c r="AE22"/>
  <c r="AC22"/>
  <c r="Y22"/>
  <c r="BG21"/>
  <c r="BE21"/>
  <c r="BC21"/>
  <c r="AY21"/>
  <c r="AS21"/>
  <c r="AQ21"/>
  <c r="AG21"/>
  <c r="AE21"/>
  <c r="AC21"/>
  <c r="Y21"/>
  <c r="BG20"/>
  <c r="BE20"/>
  <c r="BC20"/>
  <c r="AY20"/>
  <c r="AS20"/>
  <c r="AQ20"/>
  <c r="AG20"/>
  <c r="AE20"/>
  <c r="AC20"/>
  <c r="Y20"/>
  <c r="BG19"/>
  <c r="BE19"/>
  <c r="BC19"/>
  <c r="AY19"/>
  <c r="AS19"/>
  <c r="AQ19"/>
  <c r="AG19"/>
  <c r="AE19"/>
  <c r="AC19"/>
  <c r="Y19"/>
  <c r="BG15"/>
  <c r="BG16" s="1"/>
  <c r="BE15"/>
  <c r="BE16" s="1"/>
  <c r="BC15"/>
  <c r="BC16" s="1"/>
  <c r="AY15"/>
  <c r="AY16" s="1"/>
  <c r="AS15"/>
  <c r="AS16" s="1"/>
  <c r="AQ15"/>
  <c r="AO16"/>
  <c r="AG15"/>
  <c r="AG16" s="1"/>
  <c r="AE15"/>
  <c r="AE16" s="1"/>
  <c r="AC15"/>
  <c r="AC16" s="1"/>
  <c r="AA16"/>
  <c r="Y15"/>
  <c r="Y16" s="1"/>
  <c r="BG13"/>
  <c r="BE13"/>
  <c r="BC13"/>
  <c r="AY13"/>
  <c r="AY14" s="1"/>
  <c r="AS13"/>
  <c r="AQ13"/>
  <c r="AG13"/>
  <c r="AE13"/>
  <c r="AC13"/>
  <c r="Y13"/>
  <c r="BG12"/>
  <c r="BE12"/>
  <c r="BC12"/>
  <c r="AS12"/>
  <c r="AQ12"/>
  <c r="AG12"/>
  <c r="AE12"/>
  <c r="AC12"/>
  <c r="Y12"/>
  <c r="BH40" i="47"/>
  <c r="BH41" s="1"/>
  <c r="AM10" i="39" s="1"/>
  <c r="BD40" i="47"/>
  <c r="BD41" s="1"/>
  <c r="AI10" i="39" s="1"/>
  <c r="BB40" i="47"/>
  <c r="BB41" s="1"/>
  <c r="AG10" i="39" s="1"/>
  <c r="AZ40" i="47"/>
  <c r="AZ41" s="1"/>
  <c r="AE10" i="39" s="1"/>
  <c r="AX40" i="47"/>
  <c r="AX41" s="1"/>
  <c r="AC10" i="39" s="1"/>
  <c r="AV40" i="47"/>
  <c r="AV41" s="1"/>
  <c r="AA10" i="39" s="1"/>
  <c r="AT40" i="47"/>
  <c r="AT41" s="1"/>
  <c r="Y10" i="39" s="1"/>
  <c r="AR40" i="47"/>
  <c r="AR41" s="1"/>
  <c r="W10" i="39" s="1"/>
  <c r="AP40" i="47"/>
  <c r="AP41" s="1"/>
  <c r="U10" i="39" s="1"/>
  <c r="AN40" i="47"/>
  <c r="AN41" s="1"/>
  <c r="S10" i="39" s="1"/>
  <c r="AL40" i="47"/>
  <c r="AL41" s="1"/>
  <c r="Q10" i="39" s="1"/>
  <c r="AJ40" i="47"/>
  <c r="AJ41" s="1"/>
  <c r="O10" i="39" s="1"/>
  <c r="AH40" i="47"/>
  <c r="AH41" s="1"/>
  <c r="M10" i="39" s="1"/>
  <c r="AF40" i="47"/>
  <c r="AF41" s="1"/>
  <c r="K10" i="39" s="1"/>
  <c r="AD40" i="47"/>
  <c r="AD41" s="1"/>
  <c r="I10" i="39" s="1"/>
  <c r="AB40" i="47"/>
  <c r="AB41" s="1"/>
  <c r="G10" i="39" s="1"/>
  <c r="BJ30" i="47"/>
  <c r="F30" s="1"/>
  <c r="Z25"/>
  <c r="Z26"/>
  <c r="AA20"/>
  <c r="Z12"/>
  <c r="BI39"/>
  <c r="BG39"/>
  <c r="BE39"/>
  <c r="BC39"/>
  <c r="BA39"/>
  <c r="AY39"/>
  <c r="AW39"/>
  <c r="AU39"/>
  <c r="AS39"/>
  <c r="AQ39"/>
  <c r="AO39"/>
  <c r="AM39"/>
  <c r="AK39"/>
  <c r="AI39"/>
  <c r="AG39"/>
  <c r="AE39"/>
  <c r="AC39"/>
  <c r="AA39"/>
  <c r="BI38"/>
  <c r="BI40" s="1"/>
  <c r="BG38"/>
  <c r="BE38"/>
  <c r="BC38"/>
  <c r="BA38"/>
  <c r="AY38"/>
  <c r="AW38"/>
  <c r="AU38"/>
  <c r="AS38"/>
  <c r="AQ38"/>
  <c r="AO38"/>
  <c r="AM38"/>
  <c r="AK38"/>
  <c r="AI38"/>
  <c r="AG38"/>
  <c r="AE38"/>
  <c r="AC38"/>
  <c r="AA38"/>
  <c r="BI33"/>
  <c r="BI32"/>
  <c r="BI31"/>
  <c r="BG31"/>
  <c r="BG35" s="1"/>
  <c r="BE31"/>
  <c r="BE35" s="1"/>
  <c r="BC31"/>
  <c r="BC35" s="1"/>
  <c r="BA31"/>
  <c r="BA35" s="1"/>
  <c r="AY31"/>
  <c r="AY35" s="1"/>
  <c r="AW31"/>
  <c r="AW35" s="1"/>
  <c r="AU31"/>
  <c r="AU35" s="1"/>
  <c r="AS31"/>
  <c r="AS35" s="1"/>
  <c r="AQ31"/>
  <c r="AQ35" s="1"/>
  <c r="AO31"/>
  <c r="AO35" s="1"/>
  <c r="AM31"/>
  <c r="AM35" s="1"/>
  <c r="AK31"/>
  <c r="AK35" s="1"/>
  <c r="AI31"/>
  <c r="AG31"/>
  <c r="AE31"/>
  <c r="AC31"/>
  <c r="BI30"/>
  <c r="BK30"/>
  <c r="BO30" s="1"/>
  <c r="BR30" s="1"/>
  <c r="BV30" s="1"/>
  <c r="BI29"/>
  <c r="BI26"/>
  <c r="BG26"/>
  <c r="BE26"/>
  <c r="BC26"/>
  <c r="BA26"/>
  <c r="AY26"/>
  <c r="AW26"/>
  <c r="AU26"/>
  <c r="AS26"/>
  <c r="AQ26"/>
  <c r="AO26"/>
  <c r="AM26"/>
  <c r="AK26"/>
  <c r="AI26"/>
  <c r="AG26"/>
  <c r="AE26"/>
  <c r="AC26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BI19"/>
  <c r="BG19"/>
  <c r="BE19"/>
  <c r="BC19"/>
  <c r="BA19"/>
  <c r="AY19"/>
  <c r="AW19"/>
  <c r="AU19"/>
  <c r="AQ19"/>
  <c r="AO19"/>
  <c r="AM19"/>
  <c r="AK19"/>
  <c r="AI19"/>
  <c r="AG19"/>
  <c r="AE19"/>
  <c r="AC19"/>
  <c r="BI18"/>
  <c r="BG18"/>
  <c r="BE18"/>
  <c r="BC18"/>
  <c r="BA18"/>
  <c r="AY18"/>
  <c r="AW18"/>
  <c r="AU18"/>
  <c r="AS18"/>
  <c r="AQ18"/>
  <c r="AO18"/>
  <c r="AM18"/>
  <c r="AK18"/>
  <c r="AI18"/>
  <c r="AG18"/>
  <c r="AE18"/>
  <c r="AC18"/>
  <c r="AA18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BI13"/>
  <c r="BG13"/>
  <c r="BE13"/>
  <c r="BC13"/>
  <c r="BA13"/>
  <c r="AY13"/>
  <c r="AW13"/>
  <c r="AU13"/>
  <c r="AS13"/>
  <c r="AQ13"/>
  <c r="AO13"/>
  <c r="AM13"/>
  <c r="AK13"/>
  <c r="AI13"/>
  <c r="AG13"/>
  <c r="AE13"/>
  <c r="AC13"/>
  <c r="BI12"/>
  <c r="BG12"/>
  <c r="BE12"/>
  <c r="BC12"/>
  <c r="BA12"/>
  <c r="AY12"/>
  <c r="AW12"/>
  <c r="AU12"/>
  <c r="AS12"/>
  <c r="AQ12"/>
  <c r="AO12"/>
  <c r="AM12"/>
  <c r="AK12"/>
  <c r="AI12"/>
  <c r="AG12"/>
  <c r="AE12"/>
  <c r="AC12"/>
  <c r="BI10"/>
  <c r="BG10"/>
  <c r="BC10"/>
  <c r="BA10"/>
  <c r="AY10"/>
  <c r="AW10"/>
  <c r="AU10"/>
  <c r="AS10"/>
  <c r="AQ10"/>
  <c r="AO10"/>
  <c r="AM10"/>
  <c r="AK10"/>
  <c r="AI10"/>
  <c r="AG10"/>
  <c r="AE10"/>
  <c r="AC10"/>
  <c r="AA10"/>
  <c r="BJ13" i="45"/>
  <c r="BJ14"/>
  <c r="BJ17"/>
  <c r="BJ18"/>
  <c r="BJ19"/>
  <c r="BJ20"/>
  <c r="BJ22"/>
  <c r="BJ23"/>
  <c r="BJ24"/>
  <c r="BJ25"/>
  <c r="BJ26"/>
  <c r="BJ27"/>
  <c r="BJ28"/>
  <c r="BJ29"/>
  <c r="BJ30"/>
  <c r="BJ32"/>
  <c r="BJ33"/>
  <c r="BJ34"/>
  <c r="BJ36"/>
  <c r="BJ37"/>
  <c r="BJ38"/>
  <c r="BJ39"/>
  <c r="BJ40"/>
  <c r="BJ41"/>
  <c r="BJ43"/>
  <c r="BJ44"/>
  <c r="BJ46"/>
  <c r="BJ47"/>
  <c r="BJ48"/>
  <c r="BJ55"/>
  <c r="BJ56"/>
  <c r="BJ57"/>
  <c r="BJ58"/>
  <c r="BJ59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12"/>
  <c r="BH13"/>
  <c r="BH14"/>
  <c r="BH17"/>
  <c r="BH18"/>
  <c r="BH19"/>
  <c r="BH20"/>
  <c r="BH22"/>
  <c r="BH23"/>
  <c r="BH24"/>
  <c r="BH25"/>
  <c r="BH26"/>
  <c r="BH27"/>
  <c r="BH28"/>
  <c r="BH29"/>
  <c r="BH30"/>
  <c r="BH32"/>
  <c r="BH33"/>
  <c r="BH34"/>
  <c r="BH36"/>
  <c r="BH37"/>
  <c r="BH38"/>
  <c r="BH39"/>
  <c r="BH40"/>
  <c r="BH41"/>
  <c r="BH43"/>
  <c r="BH44"/>
  <c r="BH46"/>
  <c r="BH47"/>
  <c r="BH48"/>
  <c r="BH55"/>
  <c r="BH56"/>
  <c r="BH57"/>
  <c r="BH58"/>
  <c r="BH59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12"/>
  <c r="BF13"/>
  <c r="BF14"/>
  <c r="BF17"/>
  <c r="BF18"/>
  <c r="BF19"/>
  <c r="BF20"/>
  <c r="BF22"/>
  <c r="BF23"/>
  <c r="BF24"/>
  <c r="BF25"/>
  <c r="BF26"/>
  <c r="BF27"/>
  <c r="BF28"/>
  <c r="BF29"/>
  <c r="BF30"/>
  <c r="BF32"/>
  <c r="BF33"/>
  <c r="BF34"/>
  <c r="BF36"/>
  <c r="BF37"/>
  <c r="BF38"/>
  <c r="BF39"/>
  <c r="BF40"/>
  <c r="BF41"/>
  <c r="BF43"/>
  <c r="BF44"/>
  <c r="BF46"/>
  <c r="BF47"/>
  <c r="BF48"/>
  <c r="BF55"/>
  <c r="BF56"/>
  <c r="BF57"/>
  <c r="BF58"/>
  <c r="BF59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12"/>
  <c r="BD13"/>
  <c r="BD14"/>
  <c r="BD16"/>
  <c r="BD17"/>
  <c r="BD18"/>
  <c r="BD19"/>
  <c r="BD20"/>
  <c r="BD22"/>
  <c r="BD23"/>
  <c r="BD24"/>
  <c r="BD25"/>
  <c r="BD26"/>
  <c r="BD27"/>
  <c r="BD28"/>
  <c r="BD29"/>
  <c r="BD30"/>
  <c r="BD32"/>
  <c r="BD33"/>
  <c r="BD34"/>
  <c r="BD36"/>
  <c r="BD37"/>
  <c r="BD38"/>
  <c r="BD39"/>
  <c r="BD40"/>
  <c r="BD41"/>
  <c r="BD43"/>
  <c r="BD44"/>
  <c r="BD46"/>
  <c r="BD47"/>
  <c r="BD48"/>
  <c r="BD55"/>
  <c r="BD56"/>
  <c r="BD57"/>
  <c r="BD58"/>
  <c r="BD59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12"/>
  <c r="BB13"/>
  <c r="BB14"/>
  <c r="BB16"/>
  <c r="BB17"/>
  <c r="BB18"/>
  <c r="BB19"/>
  <c r="BB20"/>
  <c r="BB22"/>
  <c r="BB23"/>
  <c r="BB24"/>
  <c r="BB25"/>
  <c r="BB26"/>
  <c r="BB27"/>
  <c r="BB28"/>
  <c r="BB29"/>
  <c r="BB30"/>
  <c r="BB32"/>
  <c r="BB33"/>
  <c r="BB34"/>
  <c r="BB36"/>
  <c r="BB37"/>
  <c r="BB38"/>
  <c r="BB39"/>
  <c r="BB40"/>
  <c r="BB41"/>
  <c r="BB43"/>
  <c r="BB44"/>
  <c r="BB46"/>
  <c r="BB47"/>
  <c r="BB48"/>
  <c r="BB55"/>
  <c r="BB56"/>
  <c r="BB57"/>
  <c r="BB58"/>
  <c r="BB59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12"/>
  <c r="AZ13"/>
  <c r="AZ14"/>
  <c r="AZ16"/>
  <c r="AZ17"/>
  <c r="AZ18"/>
  <c r="AZ19"/>
  <c r="AZ20"/>
  <c r="AZ22"/>
  <c r="AZ23"/>
  <c r="AZ24"/>
  <c r="AZ25"/>
  <c r="AZ26"/>
  <c r="AZ27"/>
  <c r="AZ28"/>
  <c r="AZ29"/>
  <c r="AZ30"/>
  <c r="AZ32"/>
  <c r="AZ33"/>
  <c r="AZ34"/>
  <c r="AZ36"/>
  <c r="AZ37"/>
  <c r="AZ38"/>
  <c r="AZ39"/>
  <c r="AZ40"/>
  <c r="AZ41"/>
  <c r="AZ43"/>
  <c r="AZ44"/>
  <c r="AZ46"/>
  <c r="AZ47"/>
  <c r="AZ48"/>
  <c r="AZ55"/>
  <c r="AZ56"/>
  <c r="AZ57"/>
  <c r="AZ58"/>
  <c r="AZ59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12"/>
  <c r="AX13"/>
  <c r="AX14"/>
  <c r="AX16"/>
  <c r="AX17"/>
  <c r="AX18"/>
  <c r="AX19"/>
  <c r="AX20"/>
  <c r="AX22"/>
  <c r="AX23"/>
  <c r="AX24"/>
  <c r="AX25"/>
  <c r="AX26"/>
  <c r="AX27"/>
  <c r="AX28"/>
  <c r="AX29"/>
  <c r="AX30"/>
  <c r="AX32"/>
  <c r="AX33"/>
  <c r="AX34"/>
  <c r="AX36"/>
  <c r="AX37"/>
  <c r="AX38"/>
  <c r="AX39"/>
  <c r="AX40"/>
  <c r="AX41"/>
  <c r="AX43"/>
  <c r="AX44"/>
  <c r="AX46"/>
  <c r="AX47"/>
  <c r="AX48"/>
  <c r="AX55"/>
  <c r="AX56"/>
  <c r="AX57"/>
  <c r="AX58"/>
  <c r="AX59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12"/>
  <c r="AV13"/>
  <c r="AV14"/>
  <c r="AV16"/>
  <c r="AV17"/>
  <c r="AV18"/>
  <c r="AV19"/>
  <c r="AV20"/>
  <c r="AV22"/>
  <c r="AV23"/>
  <c r="AV24"/>
  <c r="AV25"/>
  <c r="AV26"/>
  <c r="AV27"/>
  <c r="AV28"/>
  <c r="AV29"/>
  <c r="AV30"/>
  <c r="AV32"/>
  <c r="AV33"/>
  <c r="AV34"/>
  <c r="AV36"/>
  <c r="AV37"/>
  <c r="AV38"/>
  <c r="AV39"/>
  <c r="AV40"/>
  <c r="AV41"/>
  <c r="AV43"/>
  <c r="AV44"/>
  <c r="AV46"/>
  <c r="AV47"/>
  <c r="AV48"/>
  <c r="AV55"/>
  <c r="AV56"/>
  <c r="AV57"/>
  <c r="AV58"/>
  <c r="AV59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12"/>
  <c r="AT13"/>
  <c r="AT14"/>
  <c r="AT16"/>
  <c r="AT17"/>
  <c r="AT18"/>
  <c r="AT19"/>
  <c r="AT20"/>
  <c r="AT22"/>
  <c r="AT23"/>
  <c r="AT24"/>
  <c r="AT25"/>
  <c r="AT26"/>
  <c r="AT27"/>
  <c r="AT28"/>
  <c r="AT29"/>
  <c r="AT30"/>
  <c r="AT32"/>
  <c r="AT33"/>
  <c r="AT34"/>
  <c r="AT36"/>
  <c r="AT37"/>
  <c r="AT38"/>
  <c r="AT39"/>
  <c r="AT40"/>
  <c r="AT41"/>
  <c r="AT43"/>
  <c r="AT44"/>
  <c r="AT46"/>
  <c r="AT47"/>
  <c r="AT48"/>
  <c r="AT55"/>
  <c r="AT56"/>
  <c r="AT57"/>
  <c r="AT58"/>
  <c r="AT59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12"/>
  <c r="AR13"/>
  <c r="AR14"/>
  <c r="AR16"/>
  <c r="AR17"/>
  <c r="AR18"/>
  <c r="AR19"/>
  <c r="AR20"/>
  <c r="AR22"/>
  <c r="AR23"/>
  <c r="AR24"/>
  <c r="AR25"/>
  <c r="AR26"/>
  <c r="AR27"/>
  <c r="AR28"/>
  <c r="AR29"/>
  <c r="AR30"/>
  <c r="AR32"/>
  <c r="AR33"/>
  <c r="AR34"/>
  <c r="AR36"/>
  <c r="AR37"/>
  <c r="AR38"/>
  <c r="AR39"/>
  <c r="AR40"/>
  <c r="AR41"/>
  <c r="AR43"/>
  <c r="AR44"/>
  <c r="AR46"/>
  <c r="AR47"/>
  <c r="AR48"/>
  <c r="AR55"/>
  <c r="AR56"/>
  <c r="AR57"/>
  <c r="AR58"/>
  <c r="AR59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12"/>
  <c r="AP13"/>
  <c r="AP14"/>
  <c r="AP16"/>
  <c r="AP17"/>
  <c r="AP18"/>
  <c r="AP19"/>
  <c r="AP20"/>
  <c r="AP22"/>
  <c r="AP23"/>
  <c r="AP24"/>
  <c r="AP25"/>
  <c r="AP26"/>
  <c r="AP27"/>
  <c r="AP28"/>
  <c r="AP29"/>
  <c r="AP30"/>
  <c r="AP32"/>
  <c r="AP33"/>
  <c r="AP34"/>
  <c r="AP36"/>
  <c r="AP37"/>
  <c r="AP38"/>
  <c r="AP39"/>
  <c r="AP40"/>
  <c r="AP41"/>
  <c r="AP43"/>
  <c r="AP44"/>
  <c r="AP46"/>
  <c r="AP47"/>
  <c r="AP48"/>
  <c r="AP55"/>
  <c r="AP56"/>
  <c r="AP57"/>
  <c r="AP58"/>
  <c r="AP59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12"/>
  <c r="AN13"/>
  <c r="AN14"/>
  <c r="AN16"/>
  <c r="AN17"/>
  <c r="AN18"/>
  <c r="AN19"/>
  <c r="AN20"/>
  <c r="AN22"/>
  <c r="AN23"/>
  <c r="AN24"/>
  <c r="AN25"/>
  <c r="AN26"/>
  <c r="AN27"/>
  <c r="AN28"/>
  <c r="AN29"/>
  <c r="AN30"/>
  <c r="AN32"/>
  <c r="AN33"/>
  <c r="AN34"/>
  <c r="AN36"/>
  <c r="AN37"/>
  <c r="AN38"/>
  <c r="AN39"/>
  <c r="AN40"/>
  <c r="AN41"/>
  <c r="AN43"/>
  <c r="AN44"/>
  <c r="AN46"/>
  <c r="AN47"/>
  <c r="AN48"/>
  <c r="AN55"/>
  <c r="AN56"/>
  <c r="AN57"/>
  <c r="AN58"/>
  <c r="AN59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L13"/>
  <c r="AL14"/>
  <c r="AL16"/>
  <c r="AL17"/>
  <c r="AL18"/>
  <c r="AL19"/>
  <c r="AL20"/>
  <c r="AL22"/>
  <c r="AL23"/>
  <c r="AL24"/>
  <c r="AL25"/>
  <c r="AL26"/>
  <c r="AL27"/>
  <c r="AL28"/>
  <c r="AL29"/>
  <c r="AL30"/>
  <c r="AL32"/>
  <c r="AL33"/>
  <c r="AL34"/>
  <c r="AL36"/>
  <c r="AL37"/>
  <c r="AL38"/>
  <c r="AL39"/>
  <c r="AL40"/>
  <c r="AL41"/>
  <c r="AL43"/>
  <c r="AL44"/>
  <c r="AL46"/>
  <c r="AL47"/>
  <c r="AL48"/>
  <c r="AL55"/>
  <c r="AL56"/>
  <c r="AL57"/>
  <c r="AL58"/>
  <c r="AL59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J13"/>
  <c r="AJ14"/>
  <c r="AJ16"/>
  <c r="AJ17"/>
  <c r="AJ18"/>
  <c r="AJ19"/>
  <c r="AJ20"/>
  <c r="AJ22"/>
  <c r="AJ23"/>
  <c r="AJ24"/>
  <c r="AJ25"/>
  <c r="AJ26"/>
  <c r="AJ27"/>
  <c r="AJ28"/>
  <c r="AJ29"/>
  <c r="AJ30"/>
  <c r="AJ32"/>
  <c r="AJ33"/>
  <c r="AJ34"/>
  <c r="AJ36"/>
  <c r="AJ37"/>
  <c r="AJ38"/>
  <c r="AJ39"/>
  <c r="AJ40"/>
  <c r="AJ41"/>
  <c r="AJ43"/>
  <c r="AJ44"/>
  <c r="AJ46"/>
  <c r="AJ47"/>
  <c r="AJ48"/>
  <c r="AJ55"/>
  <c r="AJ56"/>
  <c r="AJ57"/>
  <c r="AJ58"/>
  <c r="AJ59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H13"/>
  <c r="AH14"/>
  <c r="AH16"/>
  <c r="AH17"/>
  <c r="AH18"/>
  <c r="AH19"/>
  <c r="AH20"/>
  <c r="AH22"/>
  <c r="AH23"/>
  <c r="AH24"/>
  <c r="AH25"/>
  <c r="AH26"/>
  <c r="AH27"/>
  <c r="AH28"/>
  <c r="AH29"/>
  <c r="AH30"/>
  <c r="AH32"/>
  <c r="AH33"/>
  <c r="AH34"/>
  <c r="AH36"/>
  <c r="AH37"/>
  <c r="AH38"/>
  <c r="AH39"/>
  <c r="AH40"/>
  <c r="AH41"/>
  <c r="AH43"/>
  <c r="AH44"/>
  <c r="AH46"/>
  <c r="AH47"/>
  <c r="AH48"/>
  <c r="AH55"/>
  <c r="AH56"/>
  <c r="AH57"/>
  <c r="AH58"/>
  <c r="AH59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F13"/>
  <c r="AF14"/>
  <c r="AF16"/>
  <c r="AF17"/>
  <c r="AF18"/>
  <c r="AF19"/>
  <c r="AF20"/>
  <c r="AF22"/>
  <c r="AF23"/>
  <c r="AF24"/>
  <c r="AF25"/>
  <c r="AF26"/>
  <c r="AF27"/>
  <c r="AF28"/>
  <c r="AF29"/>
  <c r="AF30"/>
  <c r="AF32"/>
  <c r="AF33"/>
  <c r="AF34"/>
  <c r="AF36"/>
  <c r="AF37"/>
  <c r="AF38"/>
  <c r="AF39"/>
  <c r="AF40"/>
  <c r="AF41"/>
  <c r="AF43"/>
  <c r="AF44"/>
  <c r="AF46"/>
  <c r="AF47"/>
  <c r="AF48"/>
  <c r="AF55"/>
  <c r="AF56"/>
  <c r="AF57"/>
  <c r="AF58"/>
  <c r="AF59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D13"/>
  <c r="AD14"/>
  <c r="AD16"/>
  <c r="AD17"/>
  <c r="AD18"/>
  <c r="AD19"/>
  <c r="AD20"/>
  <c r="AD22"/>
  <c r="AD23"/>
  <c r="AD24"/>
  <c r="AD25"/>
  <c r="AD26"/>
  <c r="AD27"/>
  <c r="AD28"/>
  <c r="AD29"/>
  <c r="AD30"/>
  <c r="AD32"/>
  <c r="AD33"/>
  <c r="AD34"/>
  <c r="AD36"/>
  <c r="AD37"/>
  <c r="AD38"/>
  <c r="AD39"/>
  <c r="AD40"/>
  <c r="AD41"/>
  <c r="AD43"/>
  <c r="AD44"/>
  <c r="AD46"/>
  <c r="AD47"/>
  <c r="AD48"/>
  <c r="AD55"/>
  <c r="AD56"/>
  <c r="AD57"/>
  <c r="AD58"/>
  <c r="AD59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B13"/>
  <c r="AB14"/>
  <c r="AB16"/>
  <c r="AB22"/>
  <c r="AB23"/>
  <c r="AB24"/>
  <c r="AB25"/>
  <c r="AB26"/>
  <c r="AB27"/>
  <c r="AB28"/>
  <c r="AB29"/>
  <c r="AB30"/>
  <c r="AB32"/>
  <c r="AB33"/>
  <c r="AB34"/>
  <c r="AB36"/>
  <c r="AB37"/>
  <c r="AB38"/>
  <c r="AB39"/>
  <c r="AB40"/>
  <c r="AB41"/>
  <c r="AB43"/>
  <c r="AB44"/>
  <c r="AB46"/>
  <c r="AB47"/>
  <c r="AB48"/>
  <c r="AB55"/>
  <c r="AB56"/>
  <c r="AB57"/>
  <c r="AB58"/>
  <c r="AB59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BJ88" i="44"/>
  <c r="F88" s="1"/>
  <c r="G88" s="1"/>
  <c r="BI88"/>
  <c r="BG88"/>
  <c r="BE88"/>
  <c r="BC88"/>
  <c r="BA88"/>
  <c r="AY88"/>
  <c r="AW88"/>
  <c r="AU88"/>
  <c r="AS88"/>
  <c r="AQ88"/>
  <c r="AO88"/>
  <c r="AM88"/>
  <c r="AK88"/>
  <c r="AI88"/>
  <c r="AG88"/>
  <c r="AE88"/>
  <c r="AC88"/>
  <c r="AA88"/>
  <c r="BJ32"/>
  <c r="BI32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F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BI21"/>
  <c r="BG21"/>
  <c r="BJ20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AA20"/>
  <c r="BJ19"/>
  <c r="BI19"/>
  <c r="BG19"/>
  <c r="BE19"/>
  <c r="BC19"/>
  <c r="BA19"/>
  <c r="AY19"/>
  <c r="AW19"/>
  <c r="AU19"/>
  <c r="AS19"/>
  <c r="AQ19"/>
  <c r="AO19"/>
  <c r="AM19"/>
  <c r="AK19"/>
  <c r="AI19"/>
  <c r="AG19"/>
  <c r="AE19"/>
  <c r="AC19"/>
  <c r="AA19"/>
  <c r="BJ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BJ16"/>
  <c r="BI16"/>
  <c r="BG16"/>
  <c r="BE16"/>
  <c r="BC16"/>
  <c r="BA16"/>
  <c r="AY16"/>
  <c r="AW16"/>
  <c r="AU16"/>
  <c r="AS16"/>
  <c r="AQ16"/>
  <c r="AO16"/>
  <c r="AM16"/>
  <c r="AK16"/>
  <c r="AI16"/>
  <c r="AG16"/>
  <c r="AE16"/>
  <c r="AC16"/>
  <c r="AA16"/>
  <c r="BJ14"/>
  <c r="F14" s="1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AA14"/>
  <c r="BJ13"/>
  <c r="BI13"/>
  <c r="BG13"/>
  <c r="BE13"/>
  <c r="BC13"/>
  <c r="BA13"/>
  <c r="AY13"/>
  <c r="AW13"/>
  <c r="AU13"/>
  <c r="AS13"/>
  <c r="AQ13"/>
  <c r="AO13"/>
  <c r="AM13"/>
  <c r="AK13"/>
  <c r="AI13"/>
  <c r="AG13"/>
  <c r="AE13"/>
  <c r="AC13"/>
  <c r="AA13"/>
  <c r="BJ12"/>
  <c r="F12" s="1"/>
  <c r="BI12"/>
  <c r="BG12"/>
  <c r="BE12"/>
  <c r="BC12"/>
  <c r="BA12"/>
  <c r="AY12"/>
  <c r="AW12"/>
  <c r="AU12"/>
  <c r="AS12"/>
  <c r="AQ12"/>
  <c r="AO12"/>
  <c r="AM12"/>
  <c r="AK12"/>
  <c r="AI12"/>
  <c r="AG12"/>
  <c r="AE12"/>
  <c r="AC12"/>
  <c r="AA12"/>
  <c r="BK39" i="42"/>
  <c r="G39" s="1"/>
  <c r="BJ39"/>
  <c r="BH39"/>
  <c r="BF39"/>
  <c r="BD39"/>
  <c r="BB39"/>
  <c r="AZ39"/>
  <c r="AX39"/>
  <c r="AV39"/>
  <c r="AT39"/>
  <c r="AR39"/>
  <c r="AP39"/>
  <c r="AN39"/>
  <c r="AL39"/>
  <c r="AJ39"/>
  <c r="AH39"/>
  <c r="AF39"/>
  <c r="AD39"/>
  <c r="AB39"/>
  <c r="BK38"/>
  <c r="G38" s="1"/>
  <c r="BJ38"/>
  <c r="BH38"/>
  <c r="BF38"/>
  <c r="BD38"/>
  <c r="BB38"/>
  <c r="AZ38"/>
  <c r="AX38"/>
  <c r="AV38"/>
  <c r="AT38"/>
  <c r="AR38"/>
  <c r="AP38"/>
  <c r="AN38"/>
  <c r="AL38"/>
  <c r="AJ38"/>
  <c r="AH38"/>
  <c r="AF38"/>
  <c r="AD38"/>
  <c r="AB38"/>
  <c r="BK37"/>
  <c r="BJ37"/>
  <c r="BH37"/>
  <c r="BF37"/>
  <c r="BD37"/>
  <c r="BB37"/>
  <c r="AZ37"/>
  <c r="AX37"/>
  <c r="AV37"/>
  <c r="AT37"/>
  <c r="AR37"/>
  <c r="AP37"/>
  <c r="AN37"/>
  <c r="AL37"/>
  <c r="AJ37"/>
  <c r="AH37"/>
  <c r="AF37"/>
  <c r="AD37"/>
  <c r="AB37"/>
  <c r="BJ36"/>
  <c r="BH36"/>
  <c r="BF36"/>
  <c r="BD36"/>
  <c r="BB36"/>
  <c r="AZ36"/>
  <c r="AX36"/>
  <c r="AV36"/>
  <c r="AT36"/>
  <c r="AR36"/>
  <c r="AP36"/>
  <c r="AN36"/>
  <c r="AL36"/>
  <c r="AJ36"/>
  <c r="AH36"/>
  <c r="AF36"/>
  <c r="AD36"/>
  <c r="AB36"/>
  <c r="H33"/>
  <c r="H35" s="1"/>
  <c r="BJ33"/>
  <c r="BJ35" s="1"/>
  <c r="BH33"/>
  <c r="BH35" s="1"/>
  <c r="BF33"/>
  <c r="BF35" s="1"/>
  <c r="BD33"/>
  <c r="BD35" s="1"/>
  <c r="BB33"/>
  <c r="BB35" s="1"/>
  <c r="AZ33"/>
  <c r="AZ35" s="1"/>
  <c r="AX33"/>
  <c r="AX35" s="1"/>
  <c r="AV33"/>
  <c r="AV35" s="1"/>
  <c r="AT33"/>
  <c r="AT35" s="1"/>
  <c r="AR33"/>
  <c r="AR35" s="1"/>
  <c r="AP33"/>
  <c r="AP35" s="1"/>
  <c r="AN33"/>
  <c r="AN35" s="1"/>
  <c r="AL33"/>
  <c r="AL35" s="1"/>
  <c r="AJ33"/>
  <c r="AJ35" s="1"/>
  <c r="AH33"/>
  <c r="AH35" s="1"/>
  <c r="AF33"/>
  <c r="AF35" s="1"/>
  <c r="AD33"/>
  <c r="AD35" s="1"/>
  <c r="AB33"/>
  <c r="AB35" s="1"/>
  <c r="BK30"/>
  <c r="G30" s="1"/>
  <c r="BH30"/>
  <c r="BF30"/>
  <c r="BD30"/>
  <c r="BB30"/>
  <c r="AZ30"/>
  <c r="AX30"/>
  <c r="AV30"/>
  <c r="AT30"/>
  <c r="AR30"/>
  <c r="AP30"/>
  <c r="AN30"/>
  <c r="AL30"/>
  <c r="AJ30"/>
  <c r="AH30"/>
  <c r="AF30"/>
  <c r="AD30"/>
  <c r="AB30"/>
  <c r="BK27"/>
  <c r="BJ27"/>
  <c r="BH27"/>
  <c r="BF27"/>
  <c r="BD27"/>
  <c r="BB27"/>
  <c r="AZ27"/>
  <c r="AX27"/>
  <c r="AV27"/>
  <c r="AT27"/>
  <c r="AR27"/>
  <c r="AP27"/>
  <c r="AN27"/>
  <c r="AL27"/>
  <c r="AJ27"/>
  <c r="AH27"/>
  <c r="AF27"/>
  <c r="AD27"/>
  <c r="AB27"/>
  <c r="BK24"/>
  <c r="G24" s="1"/>
  <c r="BJ24"/>
  <c r="BH24"/>
  <c r="BF24"/>
  <c r="BD24"/>
  <c r="BB24"/>
  <c r="AZ24"/>
  <c r="AX24"/>
  <c r="AV24"/>
  <c r="AT24"/>
  <c r="AT25" s="1"/>
  <c r="AR24"/>
  <c r="AR25" s="1"/>
  <c r="AP24"/>
  <c r="AP25" s="1"/>
  <c r="AN24"/>
  <c r="AN25" s="1"/>
  <c r="AL24"/>
  <c r="AL25" s="1"/>
  <c r="AJ24"/>
  <c r="AJ25" s="1"/>
  <c r="AH24"/>
  <c r="AH25" s="1"/>
  <c r="AF24"/>
  <c r="AF25" s="1"/>
  <c r="AD24"/>
  <c r="AD25" s="1"/>
  <c r="AB24"/>
  <c r="AB25" s="1"/>
  <c r="BJ21"/>
  <c r="BH21"/>
  <c r="BF21"/>
  <c r="BJ20"/>
  <c r="BH20"/>
  <c r="BF20"/>
  <c r="BD20"/>
  <c r="BB20"/>
  <c r="BB25" s="1"/>
  <c r="AZ20"/>
  <c r="AZ25" s="1"/>
  <c r="AX20"/>
  <c r="BK17"/>
  <c r="G17" s="1"/>
  <c r="BJ17"/>
  <c r="BH17"/>
  <c r="BF17"/>
  <c r="BD17"/>
  <c r="BB17"/>
  <c r="AZ17"/>
  <c r="AX17"/>
  <c r="AV17"/>
  <c r="AT17"/>
  <c r="AR17"/>
  <c r="AP17"/>
  <c r="AN17"/>
  <c r="AL17"/>
  <c r="AJ17"/>
  <c r="AH17"/>
  <c r="AF17"/>
  <c r="AD17"/>
  <c r="AB17"/>
  <c r="BK16"/>
  <c r="BJ16"/>
  <c r="BH16"/>
  <c r="BF16"/>
  <c r="BD16"/>
  <c r="BB16"/>
  <c r="AZ16"/>
  <c r="AX16"/>
  <c r="AV16"/>
  <c r="AT16"/>
  <c r="AR16"/>
  <c r="AP16"/>
  <c r="AN16"/>
  <c r="AL16"/>
  <c r="AJ16"/>
  <c r="AH16"/>
  <c r="AF16"/>
  <c r="AD16"/>
  <c r="AB16"/>
  <c r="BK13"/>
  <c r="BJ13"/>
  <c r="BH13"/>
  <c r="BF13"/>
  <c r="BD13"/>
  <c r="BB13"/>
  <c r="AZ13"/>
  <c r="AX13"/>
  <c r="AV13"/>
  <c r="AT13"/>
  <c r="AR13"/>
  <c r="AP13"/>
  <c r="AN13"/>
  <c r="AL13"/>
  <c r="AJ13"/>
  <c r="AH13"/>
  <c r="AF13"/>
  <c r="AD13"/>
  <c r="AB13"/>
  <c r="BK12"/>
  <c r="G12" s="1"/>
  <c r="BJ12"/>
  <c r="BH12"/>
  <c r="BF12"/>
  <c r="BD12"/>
  <c r="BB12"/>
  <c r="AZ12"/>
  <c r="AX12"/>
  <c r="AV12"/>
  <c r="AT12"/>
  <c r="AR12"/>
  <c r="AP12"/>
  <c r="AN12"/>
  <c r="AL12"/>
  <c r="AJ12"/>
  <c r="AH12"/>
  <c r="AF12"/>
  <c r="AD12"/>
  <c r="AB12"/>
  <c r="BK11"/>
  <c r="BJ11"/>
  <c r="BB11"/>
  <c r="AT11"/>
  <c r="AR11"/>
  <c r="AR14" s="1"/>
  <c r="AN11"/>
  <c r="AN14" s="1"/>
  <c r="G79" i="45"/>
  <c r="S79" s="1"/>
  <c r="W79" s="1"/>
  <c r="Z79"/>
  <c r="Y79"/>
  <c r="G78"/>
  <c r="S78" s="1"/>
  <c r="W78" s="1"/>
  <c r="Z78"/>
  <c r="G77"/>
  <c r="Z77"/>
  <c r="G76"/>
  <c r="Z76"/>
  <c r="Y76"/>
  <c r="Z75"/>
  <c r="G74"/>
  <c r="T74" s="1"/>
  <c r="X74" s="1"/>
  <c r="Z74"/>
  <c r="G73"/>
  <c r="S73" s="1"/>
  <c r="W73" s="1"/>
  <c r="Z73"/>
  <c r="Y73"/>
  <c r="G72"/>
  <c r="H72" s="1"/>
  <c r="N72" s="1"/>
  <c r="Z72"/>
  <c r="Y72"/>
  <c r="G71"/>
  <c r="H71" s="1"/>
  <c r="N71" s="1"/>
  <c r="Z71"/>
  <c r="Y71"/>
  <c r="G68"/>
  <c r="G65"/>
  <c r="Z65"/>
  <c r="Y65"/>
  <c r="V59"/>
  <c r="Z59" s="1"/>
  <c r="V47"/>
  <c r="Z47" s="1"/>
  <c r="U46"/>
  <c r="BV43"/>
  <c r="BO43"/>
  <c r="BS43" s="1"/>
  <c r="S41"/>
  <c r="W41" s="1"/>
  <c r="U39"/>
  <c r="Y39" s="1"/>
  <c r="V37"/>
  <c r="Z37" s="1"/>
  <c r="G36"/>
  <c r="V34"/>
  <c r="Z34" s="1"/>
  <c r="V32"/>
  <c r="Z32" s="1"/>
  <c r="U32"/>
  <c r="Y32" s="1"/>
  <c r="T32"/>
  <c r="X32" s="1"/>
  <c r="S32"/>
  <c r="W32" s="1"/>
  <c r="Z30"/>
  <c r="Y30"/>
  <c r="S29"/>
  <c r="W29" s="1"/>
  <c r="Z29"/>
  <c r="Y29"/>
  <c r="H28"/>
  <c r="N28" s="1"/>
  <c r="BV23"/>
  <c r="BO23"/>
  <c r="BS23" s="1"/>
  <c r="BH11" i="42"/>
  <c r="BH14" s="1"/>
  <c r="BF11"/>
  <c r="BD11"/>
  <c r="BD14" s="1"/>
  <c r="AZ11"/>
  <c r="AX11"/>
  <c r="AV11"/>
  <c r="AV14" s="1"/>
  <c r="AP11"/>
  <c r="AL11"/>
  <c r="AJ11"/>
  <c r="AJ14" s="1"/>
  <c r="AH11"/>
  <c r="AF11"/>
  <c r="AF14" s="1"/>
  <c r="AD11"/>
  <c r="AB11"/>
  <c r="BI30" i="41"/>
  <c r="BI26"/>
  <c r="BI24"/>
  <c r="BI23"/>
  <c r="E23" s="1"/>
  <c r="F23" s="1"/>
  <c r="BI18"/>
  <c r="E18" s="1"/>
  <c r="F18" s="1"/>
  <c r="BI17"/>
  <c r="BI15"/>
  <c r="BI14"/>
  <c r="E14" s="1"/>
  <c r="BI13"/>
  <c r="E13" s="1"/>
  <c r="BI12"/>
  <c r="E12" s="1"/>
  <c r="BH13"/>
  <c r="BH14"/>
  <c r="BH15"/>
  <c r="BH17"/>
  <c r="BH18"/>
  <c r="BH23"/>
  <c r="BH24"/>
  <c r="BH26"/>
  <c r="BH30"/>
  <c r="BH31" s="1"/>
  <c r="BH12"/>
  <c r="BF13"/>
  <c r="BF14"/>
  <c r="BF15"/>
  <c r="BF17"/>
  <c r="BF18"/>
  <c r="BF23"/>
  <c r="BF24"/>
  <c r="BF26"/>
  <c r="BF30"/>
  <c r="BF31" s="1"/>
  <c r="BF12"/>
  <c r="BD13"/>
  <c r="BD14"/>
  <c r="BD15"/>
  <c r="BD17"/>
  <c r="BD18"/>
  <c r="BD25" s="1"/>
  <c r="BD23"/>
  <c r="BD24"/>
  <c r="BD26"/>
  <c r="BD30"/>
  <c r="BD31" s="1"/>
  <c r="BD12"/>
  <c r="BB13"/>
  <c r="BB14"/>
  <c r="BB15"/>
  <c r="BB17"/>
  <c r="BB18"/>
  <c r="BB23"/>
  <c r="BB24"/>
  <c r="BB25" s="1"/>
  <c r="BB26"/>
  <c r="BB30"/>
  <c r="BB31" s="1"/>
  <c r="BB12"/>
  <c r="AZ13"/>
  <c r="AZ14"/>
  <c r="AZ15"/>
  <c r="AZ17"/>
  <c r="AZ18"/>
  <c r="AZ23"/>
  <c r="AZ24"/>
  <c r="AZ26"/>
  <c r="AZ30"/>
  <c r="AZ31" s="1"/>
  <c r="AZ12"/>
  <c r="AX13"/>
  <c r="AX14"/>
  <c r="AX15"/>
  <c r="AX17"/>
  <c r="AX18"/>
  <c r="AX23"/>
  <c r="AX24"/>
  <c r="AX26"/>
  <c r="AX30"/>
  <c r="AX31" s="1"/>
  <c r="AX12"/>
  <c r="AV13"/>
  <c r="AV14"/>
  <c r="AV15"/>
  <c r="AV17"/>
  <c r="AV18"/>
  <c r="AV23"/>
  <c r="AV24"/>
  <c r="AV26"/>
  <c r="AV30"/>
  <c r="AV31" s="1"/>
  <c r="AV12"/>
  <c r="AT13"/>
  <c r="AT14"/>
  <c r="AT15"/>
  <c r="AT17"/>
  <c r="AT18"/>
  <c r="AT23"/>
  <c r="AT24"/>
  <c r="AT26"/>
  <c r="AT30"/>
  <c r="AT31" s="1"/>
  <c r="AT12"/>
  <c r="AR13"/>
  <c r="AR14"/>
  <c r="AR15"/>
  <c r="AR17"/>
  <c r="AR18"/>
  <c r="AR25" s="1"/>
  <c r="AR23"/>
  <c r="AR24"/>
  <c r="AR26"/>
  <c r="AR30"/>
  <c r="AR31" s="1"/>
  <c r="AR12"/>
  <c r="AP13"/>
  <c r="AP14"/>
  <c r="AP15"/>
  <c r="AP17"/>
  <c r="AP18"/>
  <c r="AP23"/>
  <c r="AP24"/>
  <c r="AP26"/>
  <c r="AP30"/>
  <c r="AP31" s="1"/>
  <c r="AP12"/>
  <c r="AN13"/>
  <c r="AN14"/>
  <c r="AN15"/>
  <c r="AN17"/>
  <c r="AN18"/>
  <c r="AN23"/>
  <c r="AN24"/>
  <c r="AN26"/>
  <c r="AN30"/>
  <c r="AN31" s="1"/>
  <c r="AN12"/>
  <c r="AL13"/>
  <c r="AL14"/>
  <c r="AL15"/>
  <c r="AL17"/>
  <c r="AL18"/>
  <c r="AL23"/>
  <c r="AL24"/>
  <c r="AL26"/>
  <c r="AL30"/>
  <c r="AL31" s="1"/>
  <c r="AL12"/>
  <c r="AJ13"/>
  <c r="AJ14"/>
  <c r="AJ15"/>
  <c r="AJ17"/>
  <c r="AJ18"/>
  <c r="AJ23"/>
  <c r="AJ24"/>
  <c r="AJ26"/>
  <c r="AJ30"/>
  <c r="AJ31" s="1"/>
  <c r="AJ12"/>
  <c r="AH13"/>
  <c r="AH14"/>
  <c r="AH15"/>
  <c r="AH17"/>
  <c r="AH18"/>
  <c r="AH23"/>
  <c r="AH24"/>
  <c r="AH26"/>
  <c r="AH30"/>
  <c r="AH31" s="1"/>
  <c r="AH12"/>
  <c r="AF13"/>
  <c r="AF14"/>
  <c r="AF15"/>
  <c r="AF17"/>
  <c r="AF18"/>
  <c r="AF25" s="1"/>
  <c r="AF23"/>
  <c r="AF24"/>
  <c r="AF26"/>
  <c r="AF30"/>
  <c r="AF31" s="1"/>
  <c r="AF12"/>
  <c r="AD13"/>
  <c r="AD14"/>
  <c r="AD15"/>
  <c r="AD17"/>
  <c r="AD18"/>
  <c r="AD23"/>
  <c r="AD24"/>
  <c r="AD26"/>
  <c r="AD30"/>
  <c r="AD31" s="1"/>
  <c r="AD12"/>
  <c r="AB13"/>
  <c r="AB14"/>
  <c r="AB15"/>
  <c r="AB17"/>
  <c r="AB18"/>
  <c r="AB23"/>
  <c r="AB24"/>
  <c r="AB26"/>
  <c r="AB30"/>
  <c r="AB31" s="1"/>
  <c r="AB12"/>
  <c r="Z13"/>
  <c r="Z14"/>
  <c r="Z15"/>
  <c r="Z17"/>
  <c r="Z18"/>
  <c r="Z25" s="1"/>
  <c r="Z23"/>
  <c r="Z24"/>
  <c r="Z26"/>
  <c r="Z30"/>
  <c r="Z31" s="1"/>
  <c r="Z12"/>
  <c r="BJ85" i="24"/>
  <c r="F85" s="1"/>
  <c r="BJ84"/>
  <c r="F84" s="1"/>
  <c r="BJ83"/>
  <c r="F83" s="1"/>
  <c r="F82"/>
  <c r="BJ81"/>
  <c r="F81" s="1"/>
  <c r="BJ80"/>
  <c r="F80" s="1"/>
  <c r="BJ79"/>
  <c r="BJ78"/>
  <c r="BJ76"/>
  <c r="F76" s="1"/>
  <c r="BJ75"/>
  <c r="F75" s="1"/>
  <c r="BJ74"/>
  <c r="F74" s="1"/>
  <c r="BJ73"/>
  <c r="F73" s="1"/>
  <c r="BJ72"/>
  <c r="F72" s="1"/>
  <c r="BJ71"/>
  <c r="F71" s="1"/>
  <c r="BJ70"/>
  <c r="F70" s="1"/>
  <c r="BJ69"/>
  <c r="F69" s="1"/>
  <c r="BJ68"/>
  <c r="F68" s="1"/>
  <c r="BJ67"/>
  <c r="F67" s="1"/>
  <c r="BJ66"/>
  <c r="F66" s="1"/>
  <c r="BJ65"/>
  <c r="F65" s="1"/>
  <c r="BJ64"/>
  <c r="F64" s="1"/>
  <c r="BJ63"/>
  <c r="F63" s="1"/>
  <c r="BJ62"/>
  <c r="F62" s="1"/>
  <c r="BJ61"/>
  <c r="F61" s="1"/>
  <c r="BJ60"/>
  <c r="F60" s="1"/>
  <c r="BJ59"/>
  <c r="F59" s="1"/>
  <c r="BJ58"/>
  <c r="F58" s="1"/>
  <c r="BJ57"/>
  <c r="F57" s="1"/>
  <c r="BJ56"/>
  <c r="F56" s="1"/>
  <c r="BJ55"/>
  <c r="F55" s="1"/>
  <c r="BJ54"/>
  <c r="F54" s="1"/>
  <c r="BJ53"/>
  <c r="F53" s="1"/>
  <c r="BJ52"/>
  <c r="BJ51"/>
  <c r="BJ50"/>
  <c r="BJ49"/>
  <c r="BK48"/>
  <c r="BJ48"/>
  <c r="BJ46"/>
  <c r="F46" s="1"/>
  <c r="BJ45"/>
  <c r="F45" s="1"/>
  <c r="BJ44"/>
  <c r="F44" s="1"/>
  <c r="BJ43"/>
  <c r="F43" s="1"/>
  <c r="F41"/>
  <c r="BJ40"/>
  <c r="F40" s="1"/>
  <c r="BJ39"/>
  <c r="F39" s="1"/>
  <c r="BJ38"/>
  <c r="F38" s="1"/>
  <c r="BJ37"/>
  <c r="F37" s="1"/>
  <c r="BJ36"/>
  <c r="F36" s="1"/>
  <c r="BJ35"/>
  <c r="F35" s="1"/>
  <c r="BJ34"/>
  <c r="BJ33"/>
  <c r="BJ31"/>
  <c r="F31" s="1"/>
  <c r="BJ30"/>
  <c r="F30" s="1"/>
  <c r="BJ29"/>
  <c r="F29" s="1"/>
  <c r="BJ28"/>
  <c r="F28" s="1"/>
  <c r="BJ27"/>
  <c r="BJ26"/>
  <c r="BJ25"/>
  <c r="BJ12"/>
  <c r="BJ13"/>
  <c r="F13" s="1"/>
  <c r="BJ14"/>
  <c r="F14" s="1"/>
  <c r="BJ15"/>
  <c r="F15" s="1"/>
  <c r="BJ16"/>
  <c r="F16" s="1"/>
  <c r="BJ17"/>
  <c r="F17" s="1"/>
  <c r="BJ18"/>
  <c r="F18" s="1"/>
  <c r="BJ19"/>
  <c r="F19" s="1"/>
  <c r="BJ20"/>
  <c r="F20" s="1"/>
  <c r="BJ21"/>
  <c r="F21" s="1"/>
  <c r="BJ22"/>
  <c r="F22" s="1"/>
  <c r="BJ23"/>
  <c r="F23" s="1"/>
  <c r="BI13"/>
  <c r="BI14"/>
  <c r="BK14" s="1"/>
  <c r="BP14" s="1"/>
  <c r="BR14" s="1"/>
  <c r="BV14" s="1"/>
  <c r="BI15"/>
  <c r="BK15" s="1"/>
  <c r="BP15" s="1"/>
  <c r="BR15" s="1"/>
  <c r="BV15" s="1"/>
  <c r="BI16"/>
  <c r="BK16" s="1"/>
  <c r="BP16" s="1"/>
  <c r="BR16" s="1"/>
  <c r="BV16" s="1"/>
  <c r="BI17"/>
  <c r="BK17" s="1"/>
  <c r="BP17" s="1"/>
  <c r="BR17" s="1"/>
  <c r="BV17" s="1"/>
  <c r="BI18"/>
  <c r="BK18" s="1"/>
  <c r="BP18" s="1"/>
  <c r="BR18" s="1"/>
  <c r="BV18" s="1"/>
  <c r="BI19"/>
  <c r="BK19" s="1"/>
  <c r="BP19" s="1"/>
  <c r="BR19" s="1"/>
  <c r="BV19" s="1"/>
  <c r="BI20"/>
  <c r="BK20" s="1"/>
  <c r="BP20" s="1"/>
  <c r="BR20" s="1"/>
  <c r="BV20" s="1"/>
  <c r="BI21"/>
  <c r="BK21" s="1"/>
  <c r="BP21" s="1"/>
  <c r="BR21" s="1"/>
  <c r="BV21" s="1"/>
  <c r="BI22"/>
  <c r="BK22" s="1"/>
  <c r="BP22" s="1"/>
  <c r="BR22" s="1"/>
  <c r="BV22" s="1"/>
  <c r="BI23"/>
  <c r="BK23" s="1"/>
  <c r="BP23" s="1"/>
  <c r="BR23" s="1"/>
  <c r="BV23" s="1"/>
  <c r="BI25"/>
  <c r="BI26"/>
  <c r="BK26" s="1"/>
  <c r="BI27"/>
  <c r="BI28"/>
  <c r="BK28" s="1"/>
  <c r="BI29"/>
  <c r="BK29" s="1"/>
  <c r="BI30"/>
  <c r="BK30" s="1"/>
  <c r="BI31"/>
  <c r="BK31" s="1"/>
  <c r="BI33"/>
  <c r="BI34"/>
  <c r="BI35"/>
  <c r="BK35" s="1"/>
  <c r="BP35" s="1"/>
  <c r="BI36"/>
  <c r="BI37"/>
  <c r="BK37" s="1"/>
  <c r="BO37" s="1"/>
  <c r="BI38"/>
  <c r="BK38" s="1"/>
  <c r="BT38" s="1"/>
  <c r="BU38" s="1"/>
  <c r="BI39"/>
  <c r="BK39" s="1"/>
  <c r="BI40"/>
  <c r="BK40" s="1"/>
  <c r="BI41"/>
  <c r="BK41" s="1"/>
  <c r="BI43"/>
  <c r="BK43" s="1"/>
  <c r="BT43" s="1"/>
  <c r="BU43" s="1"/>
  <c r="BV43" s="1"/>
  <c r="BI44"/>
  <c r="BK44" s="1"/>
  <c r="BT44" s="1"/>
  <c r="BU44" s="1"/>
  <c r="BI45"/>
  <c r="BK45" s="1"/>
  <c r="BI46"/>
  <c r="BK46" s="1"/>
  <c r="BO46" s="1"/>
  <c r="BR46" s="1"/>
  <c r="BV46" s="1"/>
  <c r="BI48"/>
  <c r="BI49"/>
  <c r="BK49" s="1"/>
  <c r="BI50"/>
  <c r="BK50" s="1"/>
  <c r="BI51"/>
  <c r="BK51" s="1"/>
  <c r="BI52"/>
  <c r="BI53"/>
  <c r="BK53" s="1"/>
  <c r="BS53" s="1"/>
  <c r="BU53" s="1"/>
  <c r="BI54"/>
  <c r="BI55"/>
  <c r="BK55" s="1"/>
  <c r="BS55" s="1"/>
  <c r="BI56"/>
  <c r="BK56" s="1"/>
  <c r="BS56" s="1"/>
  <c r="BU56" s="1"/>
  <c r="BI57"/>
  <c r="BK57" s="1"/>
  <c r="BS57" s="1"/>
  <c r="BU57" s="1"/>
  <c r="BI58"/>
  <c r="BK58" s="1"/>
  <c r="BS58" s="1"/>
  <c r="BU58" s="1"/>
  <c r="BI59"/>
  <c r="BK59" s="1"/>
  <c r="BS59" s="1"/>
  <c r="BU59" s="1"/>
  <c r="BI60"/>
  <c r="BK60" s="1"/>
  <c r="BS60" s="1"/>
  <c r="BI61"/>
  <c r="BK61" s="1"/>
  <c r="BS61" s="1"/>
  <c r="BU61" s="1"/>
  <c r="BI62"/>
  <c r="BK62" s="1"/>
  <c r="BS62" s="1"/>
  <c r="BU62" s="1"/>
  <c r="BI63"/>
  <c r="BK63" s="1"/>
  <c r="BS63" s="1"/>
  <c r="BU63" s="1"/>
  <c r="BI64"/>
  <c r="BK64" s="1"/>
  <c r="BS64" s="1"/>
  <c r="BU64" s="1"/>
  <c r="BI65"/>
  <c r="BK65" s="1"/>
  <c r="BS65" s="1"/>
  <c r="BI66"/>
  <c r="BK66" s="1"/>
  <c r="BS66" s="1"/>
  <c r="BI67"/>
  <c r="BK67" s="1"/>
  <c r="BS67" s="1"/>
  <c r="BU67" s="1"/>
  <c r="BI68"/>
  <c r="BK68" s="1"/>
  <c r="BS68" s="1"/>
  <c r="BU68" s="1"/>
  <c r="BI69"/>
  <c r="BK69" s="1"/>
  <c r="BS69" s="1"/>
  <c r="BU69" s="1"/>
  <c r="BI70"/>
  <c r="BK70" s="1"/>
  <c r="BS70" s="1"/>
  <c r="BU70" s="1"/>
  <c r="BI71"/>
  <c r="BK71" s="1"/>
  <c r="BS71" s="1"/>
  <c r="BU71" s="1"/>
  <c r="BI72"/>
  <c r="BK72" s="1"/>
  <c r="BS72" s="1"/>
  <c r="BU72" s="1"/>
  <c r="BI73"/>
  <c r="BK73" s="1"/>
  <c r="BS73" s="1"/>
  <c r="BU73" s="1"/>
  <c r="BI74"/>
  <c r="BK74" s="1"/>
  <c r="BS74" s="1"/>
  <c r="BU74" s="1"/>
  <c r="BI75"/>
  <c r="BK75" s="1"/>
  <c r="BS75" s="1"/>
  <c r="BU75" s="1"/>
  <c r="BI76"/>
  <c r="BK76" s="1"/>
  <c r="BS76" s="1"/>
  <c r="BU76" s="1"/>
  <c r="BI78"/>
  <c r="BK78" s="1"/>
  <c r="BI79"/>
  <c r="BK79" s="1"/>
  <c r="BT79" s="1"/>
  <c r="BI80"/>
  <c r="BK80" s="1"/>
  <c r="BT80" s="1"/>
  <c r="BI81"/>
  <c r="BK81" s="1"/>
  <c r="BT81" s="1"/>
  <c r="BI82"/>
  <c r="BK82" s="1"/>
  <c r="BT82" s="1"/>
  <c r="BI83"/>
  <c r="BK83" s="1"/>
  <c r="BT83" s="1"/>
  <c r="BI84"/>
  <c r="BK84" s="1"/>
  <c r="BT84" s="1"/>
  <c r="BI85"/>
  <c r="BI12"/>
  <c r="BK12" s="1"/>
  <c r="BT12" s="1"/>
  <c r="AA14" i="26"/>
  <c r="AA35" s="1"/>
  <c r="E28" i="39" s="1"/>
  <c r="BC14" i="26"/>
  <c r="BC35" s="1"/>
  <c r="AG28" i="39" s="1"/>
  <c r="BD14" i="26"/>
  <c r="BD35" s="1"/>
  <c r="AH28" i="39" s="1"/>
  <c r="BE14" i="26"/>
  <c r="BE35" s="1"/>
  <c r="AI28" i="39" s="1"/>
  <c r="AI29" s="1"/>
  <c r="BF14" i="26"/>
  <c r="BF35" s="1"/>
  <c r="AJ28" i="39" s="1"/>
  <c r="BG14" i="26"/>
  <c r="BG35" s="1"/>
  <c r="AK28" i="39" s="1"/>
  <c r="AK29" s="1"/>
  <c r="BH14" i="26"/>
  <c r="BH35" s="1"/>
  <c r="AL28" i="39" s="1"/>
  <c r="BI14" i="26"/>
  <c r="BI35" s="1"/>
  <c r="AM28" i="39" s="1"/>
  <c r="AM29" s="1"/>
  <c r="BJ14" i="26"/>
  <c r="BJ35" s="1"/>
  <c r="AN28" i="39" s="1"/>
  <c r="AC14" i="26"/>
  <c r="AC35" s="1"/>
  <c r="G28" i="39" s="1"/>
  <c r="AE14" i="26"/>
  <c r="AE35" s="1"/>
  <c r="I28" i="39" s="1"/>
  <c r="AG14" i="26"/>
  <c r="AG35" s="1"/>
  <c r="K28" i="39" s="1"/>
  <c r="AI14" i="26"/>
  <c r="AI35" s="1"/>
  <c r="M28" i="39" s="1"/>
  <c r="AK14" i="26"/>
  <c r="AK35" s="1"/>
  <c r="O28" i="39" s="1"/>
  <c r="AL14" i="26"/>
  <c r="AL35" s="1"/>
  <c r="P28" i="39" s="1"/>
  <c r="AM14" i="26"/>
  <c r="AM35" s="1"/>
  <c r="Q28" i="39" s="1"/>
  <c r="AO14" i="26"/>
  <c r="AO35" s="1"/>
  <c r="S28" i="39" s="1"/>
  <c r="AP14" i="26"/>
  <c r="AP35" s="1"/>
  <c r="T28" i="39" s="1"/>
  <c r="AQ14" i="26"/>
  <c r="AQ35" s="1"/>
  <c r="U28" i="39" s="1"/>
  <c r="AS14" i="26"/>
  <c r="AS35" s="1"/>
  <c r="W28" i="39" s="1"/>
  <c r="AU14" i="26"/>
  <c r="AU35" s="1"/>
  <c r="Y28" i="39" s="1"/>
  <c r="AV14" i="26"/>
  <c r="AV35" s="1"/>
  <c r="Z28" i="39" s="1"/>
  <c r="AW14" i="26"/>
  <c r="AW35" s="1"/>
  <c r="AA28" i="39" s="1"/>
  <c r="AX14" i="26"/>
  <c r="AX35" s="1"/>
  <c r="AB28" i="39" s="1"/>
  <c r="AY14" i="26"/>
  <c r="AY35" s="1"/>
  <c r="AC28" i="39" s="1"/>
  <c r="AZ14" i="26"/>
  <c r="AZ35" s="1"/>
  <c r="AD28" i="39" s="1"/>
  <c r="BA14" i="26"/>
  <c r="BA35" s="1"/>
  <c r="AE28" i="39" s="1"/>
  <c r="AB13" i="26"/>
  <c r="BL13" s="1"/>
  <c r="H13" s="1"/>
  <c r="AD13"/>
  <c r="AF13"/>
  <c r="AJ13"/>
  <c r="AN13"/>
  <c r="AR14"/>
  <c r="AT13"/>
  <c r="BB13"/>
  <c r="BK14"/>
  <c r="BK35" s="1"/>
  <c r="AB16"/>
  <c r="AD16"/>
  <c r="AD18" s="1"/>
  <c r="AF16"/>
  <c r="AF18" s="1"/>
  <c r="AH16"/>
  <c r="AJ16"/>
  <c r="AN16"/>
  <c r="AR16"/>
  <c r="AT16"/>
  <c r="AT18" s="1"/>
  <c r="G16"/>
  <c r="AB17"/>
  <c r="AD17"/>
  <c r="AF17"/>
  <c r="AH17"/>
  <c r="AJ17"/>
  <c r="AN17"/>
  <c r="AR17"/>
  <c r="AT17"/>
  <c r="BB17"/>
  <c r="BB18" s="1"/>
  <c r="AB19"/>
  <c r="AD19"/>
  <c r="AF19"/>
  <c r="AH19"/>
  <c r="AJ19"/>
  <c r="AR19"/>
  <c r="AT19"/>
  <c r="BB19"/>
  <c r="AH20"/>
  <c r="AJ20"/>
  <c r="AN20"/>
  <c r="AR20"/>
  <c r="AT20"/>
  <c r="BB20"/>
  <c r="G20"/>
  <c r="AB21"/>
  <c r="AD21"/>
  <c r="AD22" s="1"/>
  <c r="AF21"/>
  <c r="AF22" s="1"/>
  <c r="AH21"/>
  <c r="AJ21"/>
  <c r="AJ22" s="1"/>
  <c r="AN21"/>
  <c r="AN22" s="1"/>
  <c r="AR21"/>
  <c r="AT21"/>
  <c r="AT22" s="1"/>
  <c r="BB21"/>
  <c r="AB23"/>
  <c r="AD23"/>
  <c r="AF23"/>
  <c r="AH23"/>
  <c r="AJ23"/>
  <c r="AN23"/>
  <c r="AR23"/>
  <c r="AT23"/>
  <c r="BB23"/>
  <c r="AB24"/>
  <c r="AD24"/>
  <c r="AF24"/>
  <c r="AH24"/>
  <c r="AJ24"/>
  <c r="AN24"/>
  <c r="AR24"/>
  <c r="AT24"/>
  <c r="BB24"/>
  <c r="AB25"/>
  <c r="AD25"/>
  <c r="AF25"/>
  <c r="AH25"/>
  <c r="AJ25"/>
  <c r="AN25"/>
  <c r="AR25"/>
  <c r="AT25"/>
  <c r="BB25"/>
  <c r="AB26"/>
  <c r="AD26"/>
  <c r="AF26"/>
  <c r="AH26"/>
  <c r="AH27" s="1"/>
  <c r="AJ26"/>
  <c r="AJ27" s="1"/>
  <c r="AN26"/>
  <c r="AN27" s="1"/>
  <c r="AR26"/>
  <c r="AR27" s="1"/>
  <c r="AT26"/>
  <c r="BB26"/>
  <c r="AB28"/>
  <c r="AD28"/>
  <c r="AF28"/>
  <c r="AH28"/>
  <c r="AJ28"/>
  <c r="AN28"/>
  <c r="AR28"/>
  <c r="AT28"/>
  <c r="BB28"/>
  <c r="AB29"/>
  <c r="AD29"/>
  <c r="AF29"/>
  <c r="AH29"/>
  <c r="AJ29"/>
  <c r="AN29"/>
  <c r="AR29"/>
  <c r="AT29"/>
  <c r="BB29"/>
  <c r="AB30"/>
  <c r="AD30"/>
  <c r="AF30"/>
  <c r="AH30"/>
  <c r="AJ30"/>
  <c r="AN30"/>
  <c r="AR30"/>
  <c r="AT30"/>
  <c r="BB30"/>
  <c r="AB31"/>
  <c r="AD31"/>
  <c r="AF31"/>
  <c r="AH31"/>
  <c r="AJ31"/>
  <c r="AJ34" s="1"/>
  <c r="AN31"/>
  <c r="AN34" s="1"/>
  <c r="AR31"/>
  <c r="AT31"/>
  <c r="BB31"/>
  <c r="AT32"/>
  <c r="BB32"/>
  <c r="AB33"/>
  <c r="BL33" s="1"/>
  <c r="AD33"/>
  <c r="AF33"/>
  <c r="AH33"/>
  <c r="AJ33"/>
  <c r="AN33"/>
  <c r="AR33"/>
  <c r="AT33"/>
  <c r="BB33"/>
  <c r="BB12"/>
  <c r="AT12"/>
  <c r="AR12"/>
  <c r="AN12"/>
  <c r="AJ12"/>
  <c r="AH12"/>
  <c r="AH14" s="1"/>
  <c r="AF12"/>
  <c r="AD12"/>
  <c r="AB12"/>
  <c r="BI53" i="25"/>
  <c r="BG53"/>
  <c r="BE53"/>
  <c r="BC53"/>
  <c r="BA53"/>
  <c r="AS53"/>
  <c r="AQ53"/>
  <c r="AM53"/>
  <c r="AI53"/>
  <c r="AG53"/>
  <c r="AE53"/>
  <c r="AC53"/>
  <c r="AA53"/>
  <c r="BI52"/>
  <c r="BG52"/>
  <c r="BE52"/>
  <c r="BC52"/>
  <c r="BA52"/>
  <c r="AS52"/>
  <c r="AQ52"/>
  <c r="AM52"/>
  <c r="AI52"/>
  <c r="AG52"/>
  <c r="AE52"/>
  <c r="AC52"/>
  <c r="AA52"/>
  <c r="BI51"/>
  <c r="BG51"/>
  <c r="BE51"/>
  <c r="BC51"/>
  <c r="BA51"/>
  <c r="AS51"/>
  <c r="AQ51"/>
  <c r="AM51"/>
  <c r="AI51"/>
  <c r="AG51"/>
  <c r="AE51"/>
  <c r="AC51"/>
  <c r="AA51"/>
  <c r="BI50"/>
  <c r="BG50"/>
  <c r="BE50"/>
  <c r="BC50"/>
  <c r="BA50"/>
  <c r="AS50"/>
  <c r="AQ50"/>
  <c r="AM50"/>
  <c r="AI50"/>
  <c r="AG50"/>
  <c r="AE50"/>
  <c r="AC50"/>
  <c r="AA50"/>
  <c r="BI49"/>
  <c r="BG49"/>
  <c r="BE49"/>
  <c r="BC49"/>
  <c r="BA49"/>
  <c r="AS49"/>
  <c r="AQ49"/>
  <c r="AM49"/>
  <c r="AI49"/>
  <c r="AG49"/>
  <c r="AE49"/>
  <c r="AC49"/>
  <c r="AA49"/>
  <c r="BI46"/>
  <c r="BG46"/>
  <c r="BE46"/>
  <c r="BC46"/>
  <c r="BA46"/>
  <c r="AS46"/>
  <c r="AQ46"/>
  <c r="AM46"/>
  <c r="AI46"/>
  <c r="AG46"/>
  <c r="AE46"/>
  <c r="AC46"/>
  <c r="AA46"/>
  <c r="BI45"/>
  <c r="BG45"/>
  <c r="BE45"/>
  <c r="BC45"/>
  <c r="BA45"/>
  <c r="AS45"/>
  <c r="AQ45"/>
  <c r="AM45"/>
  <c r="AI45"/>
  <c r="AG45"/>
  <c r="AE45"/>
  <c r="AC45"/>
  <c r="AA45"/>
  <c r="BI44"/>
  <c r="BG44"/>
  <c r="BE44"/>
  <c r="BC44"/>
  <c r="BA44"/>
  <c r="AS44"/>
  <c r="AQ44"/>
  <c r="AM44"/>
  <c r="AI44"/>
  <c r="AG44"/>
  <c r="AE44"/>
  <c r="AC44"/>
  <c r="AA44"/>
  <c r="BI43"/>
  <c r="BG43"/>
  <c r="BE43"/>
  <c r="BC43"/>
  <c r="BA43"/>
  <c r="AS43"/>
  <c r="AQ43"/>
  <c r="AM43"/>
  <c r="AI43"/>
  <c r="AG43"/>
  <c r="AE43"/>
  <c r="AC43"/>
  <c r="AA43"/>
  <c r="BI42"/>
  <c r="BG42"/>
  <c r="BE42"/>
  <c r="BC42"/>
  <c r="BA42"/>
  <c r="AS42"/>
  <c r="AQ42"/>
  <c r="AM42"/>
  <c r="AI42"/>
  <c r="AG42"/>
  <c r="AE42"/>
  <c r="AC42"/>
  <c r="AA42"/>
  <c r="BI41"/>
  <c r="BG41"/>
  <c r="BE41"/>
  <c r="BC41"/>
  <c r="BA41"/>
  <c r="AS41"/>
  <c r="AQ41"/>
  <c r="AM41"/>
  <c r="AI41"/>
  <c r="AG41"/>
  <c r="AE41"/>
  <c r="AC41"/>
  <c r="AA41"/>
  <c r="BI40"/>
  <c r="BG40"/>
  <c r="BE40"/>
  <c r="BC40"/>
  <c r="BA40"/>
  <c r="AS40"/>
  <c r="AQ40"/>
  <c r="AM40"/>
  <c r="AI40"/>
  <c r="AG40"/>
  <c r="AE40"/>
  <c r="AC40"/>
  <c r="AA40"/>
  <c r="BI39"/>
  <c r="BG39"/>
  <c r="BE39"/>
  <c r="BC39"/>
  <c r="BA39"/>
  <c r="AS39"/>
  <c r="AQ39"/>
  <c r="AM39"/>
  <c r="AI39"/>
  <c r="AG39"/>
  <c r="AE39"/>
  <c r="AC39"/>
  <c r="AA39"/>
  <c r="BI38"/>
  <c r="BG38"/>
  <c r="BE38"/>
  <c r="BC38"/>
  <c r="BA38"/>
  <c r="AS38"/>
  <c r="AQ38"/>
  <c r="AM38"/>
  <c r="AI38"/>
  <c r="AG38"/>
  <c r="AE38"/>
  <c r="AC38"/>
  <c r="AA38"/>
  <c r="BI37"/>
  <c r="BG37"/>
  <c r="BE37"/>
  <c r="BC37"/>
  <c r="BA37"/>
  <c r="AS37"/>
  <c r="AQ37"/>
  <c r="AM37"/>
  <c r="AI37"/>
  <c r="AG37"/>
  <c r="AE37"/>
  <c r="AC37"/>
  <c r="AA37"/>
  <c r="BI36"/>
  <c r="BG36"/>
  <c r="BE36"/>
  <c r="BC36"/>
  <c r="BA36"/>
  <c r="AS36"/>
  <c r="AQ36"/>
  <c r="AM36"/>
  <c r="AI36"/>
  <c r="AG36"/>
  <c r="AE36"/>
  <c r="AC36"/>
  <c r="AA36"/>
  <c r="BI35"/>
  <c r="BG35"/>
  <c r="BE35"/>
  <c r="BC35"/>
  <c r="BA35"/>
  <c r="AS35"/>
  <c r="AQ35"/>
  <c r="AM35"/>
  <c r="AI35"/>
  <c r="AG35"/>
  <c r="AE35"/>
  <c r="AC35"/>
  <c r="AA35"/>
  <c r="BI34"/>
  <c r="BG34"/>
  <c r="BE34"/>
  <c r="BC34"/>
  <c r="BA34"/>
  <c r="AS34"/>
  <c r="AQ34"/>
  <c r="AM34"/>
  <c r="AI34"/>
  <c r="AG34"/>
  <c r="AE34"/>
  <c r="AC34"/>
  <c r="AA34"/>
  <c r="BI33"/>
  <c r="BG33"/>
  <c r="BE33"/>
  <c r="BC33"/>
  <c r="BA33"/>
  <c r="AS33"/>
  <c r="AQ33"/>
  <c r="AM33"/>
  <c r="AI33"/>
  <c r="AG33"/>
  <c r="AE33"/>
  <c r="AC33"/>
  <c r="AA33"/>
  <c r="AE17"/>
  <c r="AE18"/>
  <c r="AE20"/>
  <c r="AE21"/>
  <c r="AE22"/>
  <c r="AE23"/>
  <c r="AE24"/>
  <c r="AE25"/>
  <c r="AE26"/>
  <c r="AE27"/>
  <c r="AE28"/>
  <c r="AE16"/>
  <c r="AG17"/>
  <c r="AG18"/>
  <c r="AG20"/>
  <c r="AG21"/>
  <c r="AG22"/>
  <c r="AG23"/>
  <c r="AG24"/>
  <c r="AG25"/>
  <c r="AG26"/>
  <c r="AG27"/>
  <c r="AG28"/>
  <c r="AG16"/>
  <c r="AI17"/>
  <c r="AI18"/>
  <c r="AI20"/>
  <c r="AI21"/>
  <c r="AI22"/>
  <c r="AI23"/>
  <c r="AI24"/>
  <c r="AI25"/>
  <c r="AI26"/>
  <c r="AI27"/>
  <c r="AI28"/>
  <c r="AI16"/>
  <c r="AM17"/>
  <c r="AM18"/>
  <c r="AM20"/>
  <c r="AM21"/>
  <c r="AM22"/>
  <c r="AM23"/>
  <c r="AM24"/>
  <c r="AM25"/>
  <c r="AM26"/>
  <c r="AM27"/>
  <c r="AM28"/>
  <c r="AM16"/>
  <c r="AQ17"/>
  <c r="AQ18"/>
  <c r="AQ20"/>
  <c r="AQ21"/>
  <c r="AQ22"/>
  <c r="AQ23"/>
  <c r="AQ24"/>
  <c r="AQ25"/>
  <c r="AQ26"/>
  <c r="AQ27"/>
  <c r="AQ28"/>
  <c r="AQ16"/>
  <c r="AS17"/>
  <c r="AS18"/>
  <c r="AS20"/>
  <c r="AS21"/>
  <c r="AS22"/>
  <c r="AS23"/>
  <c r="AS24"/>
  <c r="AS25"/>
  <c r="AS26"/>
  <c r="AS27"/>
  <c r="AS28"/>
  <c r="AS16"/>
  <c r="BA17"/>
  <c r="BA18"/>
  <c r="BA20"/>
  <c r="BA21"/>
  <c r="BA22"/>
  <c r="BA23"/>
  <c r="BA24"/>
  <c r="BA25"/>
  <c r="BA26"/>
  <c r="BA27"/>
  <c r="BA28"/>
  <c r="BA16"/>
  <c r="BC17"/>
  <c r="BC18"/>
  <c r="BC20"/>
  <c r="BC21"/>
  <c r="BC22"/>
  <c r="BC23"/>
  <c r="BC24"/>
  <c r="BC25"/>
  <c r="BC26"/>
  <c r="BC27"/>
  <c r="BC28"/>
  <c r="BC16"/>
  <c r="BE17"/>
  <c r="BE18"/>
  <c r="BE20"/>
  <c r="BE21"/>
  <c r="BE22"/>
  <c r="BE23"/>
  <c r="BE24"/>
  <c r="BE25"/>
  <c r="BE26"/>
  <c r="BE27"/>
  <c r="BE28"/>
  <c r="BE16"/>
  <c r="BG17"/>
  <c r="BG18"/>
  <c r="BG20"/>
  <c r="BG21"/>
  <c r="BG22"/>
  <c r="BG23"/>
  <c r="BG24"/>
  <c r="BG25"/>
  <c r="BG26"/>
  <c r="BG27"/>
  <c r="BG28"/>
  <c r="BG16"/>
  <c r="BI17"/>
  <c r="BI18"/>
  <c r="BI20"/>
  <c r="BI21"/>
  <c r="BI22"/>
  <c r="BI23"/>
  <c r="BI24"/>
  <c r="BI25"/>
  <c r="BI26"/>
  <c r="BI27"/>
  <c r="BI28"/>
  <c r="BI16"/>
  <c r="BJ16"/>
  <c r="AC17"/>
  <c r="AC18"/>
  <c r="AC20"/>
  <c r="AC21"/>
  <c r="AC22"/>
  <c r="AC23"/>
  <c r="AC24"/>
  <c r="AC25"/>
  <c r="AC26"/>
  <c r="AC27"/>
  <c r="AC28"/>
  <c r="AC16"/>
  <c r="AA17"/>
  <c r="AA18"/>
  <c r="AA20"/>
  <c r="AA21"/>
  <c r="AA22"/>
  <c r="AA23"/>
  <c r="AA24"/>
  <c r="AA25"/>
  <c r="AA26"/>
  <c r="AA27"/>
  <c r="AA28"/>
  <c r="AA16"/>
  <c r="BI12"/>
  <c r="BI13"/>
  <c r="BI14"/>
  <c r="BG12"/>
  <c r="BG13"/>
  <c r="BG14"/>
  <c r="BE12"/>
  <c r="BE13"/>
  <c r="BE14"/>
  <c r="BC12"/>
  <c r="BC13"/>
  <c r="BC14"/>
  <c r="BA12"/>
  <c r="BA13"/>
  <c r="BA14"/>
  <c r="AS12"/>
  <c r="AS13"/>
  <c r="AS14"/>
  <c r="AQ12"/>
  <c r="AQ13"/>
  <c r="AQ14"/>
  <c r="AM12"/>
  <c r="AM13"/>
  <c r="AM14"/>
  <c r="AI12"/>
  <c r="AI13"/>
  <c r="AI14"/>
  <c r="AG12"/>
  <c r="AG13"/>
  <c r="AG14"/>
  <c r="AE12"/>
  <c r="AE13"/>
  <c r="AE14"/>
  <c r="AC13"/>
  <c r="AC14"/>
  <c r="AA13"/>
  <c r="AA14"/>
  <c r="S14" i="26"/>
  <c r="T14"/>
  <c r="U14"/>
  <c r="V14"/>
  <c r="BI33" i="43" l="1"/>
  <c r="AN14" i="26"/>
  <c r="BE27" i="47"/>
  <c r="AC41" i="46"/>
  <c r="AA15" i="43"/>
  <c r="AR34" i="26"/>
  <c r="AR35" s="1"/>
  <c r="V28" i="39" s="1"/>
  <c r="AB34" i="26"/>
  <c r="BL29"/>
  <c r="AB27"/>
  <c r="BL26"/>
  <c r="BL24"/>
  <c r="AR22"/>
  <c r="AB22"/>
  <c r="BL21"/>
  <c r="BL17"/>
  <c r="AH18"/>
  <c r="AT14"/>
  <c r="AD14"/>
  <c r="AD35" s="1"/>
  <c r="H28" i="39" s="1"/>
  <c r="AL25" i="41"/>
  <c r="AB14" i="42"/>
  <c r="AP14"/>
  <c r="BG60" i="46"/>
  <c r="AA19" i="43"/>
  <c r="J13" i="26"/>
  <c r="I13"/>
  <c r="H14"/>
  <c r="BE15" i="43"/>
  <c r="AX14" i="42"/>
  <c r="AG27" i="47"/>
  <c r="AC33" i="43"/>
  <c r="BL32" i="26"/>
  <c r="AH34"/>
  <c r="AH35" s="1"/>
  <c r="L28" i="39" s="1"/>
  <c r="BL30" i="26"/>
  <c r="BL28"/>
  <c r="BL25"/>
  <c r="BL23"/>
  <c r="AH22"/>
  <c r="AR18"/>
  <c r="AB18"/>
  <c r="BL16"/>
  <c r="AJ14"/>
  <c r="AJ35" s="1"/>
  <c r="N28" i="39" s="1"/>
  <c r="AD25" i="41"/>
  <c r="AJ25"/>
  <c r="AP25"/>
  <c r="AT25"/>
  <c r="AV25"/>
  <c r="BH25"/>
  <c r="AH14" i="42"/>
  <c r="AZ14"/>
  <c r="AT14"/>
  <c r="AD14"/>
  <c r="AI27" i="47"/>
  <c r="AU27"/>
  <c r="BG27"/>
  <c r="BC31" i="46"/>
  <c r="BI28"/>
  <c r="BM28" s="1"/>
  <c r="BP28" s="1"/>
  <c r="AE41"/>
  <c r="BC41"/>
  <c r="AU14"/>
  <c r="AC15" i="43"/>
  <c r="AU15"/>
  <c r="BI15"/>
  <c r="AE33"/>
  <c r="BB34" i="26"/>
  <c r="BB35" s="1"/>
  <c r="AF28" i="39" s="1"/>
  <c r="AF34" i="26"/>
  <c r="BB27"/>
  <c r="AF27"/>
  <c r="BB22"/>
  <c r="AN18"/>
  <c r="BB14" i="42"/>
  <c r="BK13" i="44"/>
  <c r="BG14" i="46"/>
  <c r="BE31"/>
  <c r="BE41"/>
  <c r="BC60"/>
  <c r="F15" i="43"/>
  <c r="AE15"/>
  <c r="AW15"/>
  <c r="H20" i="26"/>
  <c r="H22" s="1"/>
  <c r="U20"/>
  <c r="G22"/>
  <c r="H16"/>
  <c r="H18" s="1"/>
  <c r="V16"/>
  <c r="V18" s="1"/>
  <c r="V35" s="1"/>
  <c r="U16"/>
  <c r="U18" s="1"/>
  <c r="T16"/>
  <c r="T18" s="1"/>
  <c r="T35" s="1"/>
  <c r="S16"/>
  <c r="S18" s="1"/>
  <c r="S35" s="1"/>
  <c r="G18"/>
  <c r="BL12"/>
  <c r="BP12" s="1"/>
  <c r="BK14" i="42"/>
  <c r="AS27" i="47"/>
  <c r="AC31" i="46"/>
  <c r="AT34" i="26"/>
  <c r="AD34"/>
  <c r="AT27"/>
  <c r="AD27"/>
  <c r="AJ18"/>
  <c r="BB14"/>
  <c r="AF14"/>
  <c r="AB25" i="41"/>
  <c r="AH25"/>
  <c r="AN25"/>
  <c r="AX25"/>
  <c r="AZ25"/>
  <c r="BF25"/>
  <c r="AL14" i="42"/>
  <c r="BF14"/>
  <c r="BJ14"/>
  <c r="AX25"/>
  <c r="BJ25"/>
  <c r="BK14" i="44"/>
  <c r="AG15" i="43"/>
  <c r="BE19"/>
  <c r="AI24"/>
  <c r="BP39" i="44"/>
  <c r="AI19" i="43"/>
  <c r="BG19"/>
  <c r="AI15"/>
  <c r="BG15"/>
  <c r="AO15"/>
  <c r="BC15"/>
  <c r="AO19"/>
  <c r="BC19"/>
  <c r="AG24"/>
  <c r="AU24"/>
  <c r="BE24"/>
  <c r="AO33"/>
  <c r="BE33"/>
  <c r="AK15"/>
  <c r="AY15"/>
  <c r="AK19"/>
  <c r="AY19"/>
  <c r="AO24"/>
  <c r="BC24"/>
  <c r="AK24"/>
  <c r="AY24"/>
  <c r="AK33"/>
  <c r="AI33"/>
  <c r="BP81" i="44"/>
  <c r="BV73"/>
  <c r="BV81" s="1"/>
  <c r="BR81"/>
  <c r="BV49"/>
  <c r="BI25" i="41"/>
  <c r="AY60" i="46"/>
  <c r="AU60"/>
  <c r="AS60"/>
  <c r="AG60"/>
  <c r="BI58"/>
  <c r="AC60"/>
  <c r="BI59"/>
  <c r="Y60"/>
  <c r="BI57"/>
  <c r="AG33" i="43"/>
  <c r="BC33"/>
  <c r="AY33"/>
  <c r="AU33"/>
  <c r="F33"/>
  <c r="AT35" i="26"/>
  <c r="X28" i="39" s="1"/>
  <c r="AN35" i="26"/>
  <c r="AF35"/>
  <c r="J28" i="39" s="1"/>
  <c r="AB14" i="26"/>
  <c r="BP13"/>
  <c r="BP14" s="1"/>
  <c r="AX15" i="45"/>
  <c r="AR15"/>
  <c r="BD15"/>
  <c r="BF83"/>
  <c r="AX63"/>
  <c r="AD63"/>
  <c r="AH63"/>
  <c r="AJ63"/>
  <c r="AL63"/>
  <c r="AN63"/>
  <c r="AZ63"/>
  <c r="BB63"/>
  <c r="AR63"/>
  <c r="BD63"/>
  <c r="AT63"/>
  <c r="BF63"/>
  <c r="BH63"/>
  <c r="BJ63"/>
  <c r="AD35"/>
  <c r="AL35"/>
  <c r="AN35"/>
  <c r="AV63"/>
  <c r="AZ35"/>
  <c r="BH25" i="42"/>
  <c r="BD25"/>
  <c r="BF25"/>
  <c r="BK11" i="43"/>
  <c r="AP63" i="45"/>
  <c r="AF63"/>
  <c r="AB63"/>
  <c r="AN15"/>
  <c r="BH15"/>
  <c r="AK27" i="47"/>
  <c r="AW27"/>
  <c r="Z27"/>
  <c r="AM15"/>
  <c r="AY15"/>
  <c r="AM27"/>
  <c r="AY27"/>
  <c r="AQ40"/>
  <c r="BK10"/>
  <c r="G10" s="1"/>
  <c r="AA15" i="25"/>
  <c r="BI47" i="46"/>
  <c r="BM47" s="1"/>
  <c r="BP47" s="1"/>
  <c r="BT47" s="1"/>
  <c r="BI46"/>
  <c r="BM46" s="1"/>
  <c r="BP46" s="1"/>
  <c r="BT46" s="1"/>
  <c r="AG31"/>
  <c r="AQ31"/>
  <c r="AW31"/>
  <c r="Y31"/>
  <c r="AI15" i="47"/>
  <c r="AU15"/>
  <c r="BG15"/>
  <c r="BE60" i="46"/>
  <c r="AS14"/>
  <c r="AC14"/>
  <c r="BF15" i="45"/>
  <c r="BB15"/>
  <c r="AV15"/>
  <c r="AP15"/>
  <c r="G11" i="42"/>
  <c r="Y46" i="45"/>
  <c r="R35" i="43"/>
  <c r="V35" s="1"/>
  <c r="T35"/>
  <c r="X35" s="1"/>
  <c r="U35"/>
  <c r="Y35" s="1"/>
  <c r="S35"/>
  <c r="W35" s="1"/>
  <c r="G30" i="47"/>
  <c r="I30" s="1"/>
  <c r="U30"/>
  <c r="Y30" s="1"/>
  <c r="R30"/>
  <c r="V30" s="1"/>
  <c r="T30"/>
  <c r="X30" s="1"/>
  <c r="S30"/>
  <c r="W30" s="1"/>
  <c r="AK15"/>
  <c r="AW15"/>
  <c r="BI35"/>
  <c r="AE40"/>
  <c r="BC40"/>
  <c r="AA26"/>
  <c r="BJ26"/>
  <c r="F26" s="1"/>
  <c r="AG40"/>
  <c r="AC15"/>
  <c r="AO15"/>
  <c r="BA15"/>
  <c r="AC27"/>
  <c r="AO27"/>
  <c r="BA27"/>
  <c r="AI40"/>
  <c r="AU40"/>
  <c r="BG40"/>
  <c r="AS40"/>
  <c r="AE15"/>
  <c r="AQ15"/>
  <c r="BC15"/>
  <c r="AE27"/>
  <c r="AQ27"/>
  <c r="BC27"/>
  <c r="AK40"/>
  <c r="AW40"/>
  <c r="AG15"/>
  <c r="AS15"/>
  <c r="BE15"/>
  <c r="BK26"/>
  <c r="BK38"/>
  <c r="BO38" s="1"/>
  <c r="AA40"/>
  <c r="AM40"/>
  <c r="AY40"/>
  <c r="BE40"/>
  <c r="AA25"/>
  <c r="BK25" s="1"/>
  <c r="BP25" s="1"/>
  <c r="BJ25"/>
  <c r="F25" s="1"/>
  <c r="AO40"/>
  <c r="BA40"/>
  <c r="H12" i="42"/>
  <c r="R12" s="1"/>
  <c r="R14" s="1"/>
  <c r="T12"/>
  <c r="S12"/>
  <c r="V12"/>
  <c r="U12"/>
  <c r="M33"/>
  <c r="M35" s="1"/>
  <c r="Y33"/>
  <c r="Y35" s="1"/>
  <c r="W33"/>
  <c r="W35" s="1"/>
  <c r="X33"/>
  <c r="X35" s="1"/>
  <c r="Z33"/>
  <c r="Z35" s="1"/>
  <c r="H30"/>
  <c r="U30"/>
  <c r="V30"/>
  <c r="T30"/>
  <c r="S30"/>
  <c r="H17"/>
  <c r="M17" s="1"/>
  <c r="M18" s="1"/>
  <c r="S17"/>
  <c r="V17"/>
  <c r="U17"/>
  <c r="T17"/>
  <c r="H24"/>
  <c r="S24"/>
  <c r="V24"/>
  <c r="U24"/>
  <c r="T24"/>
  <c r="H38"/>
  <c r="I38" s="1"/>
  <c r="S38"/>
  <c r="V38"/>
  <c r="U38"/>
  <c r="T38"/>
  <c r="H39"/>
  <c r="U39"/>
  <c r="T39"/>
  <c r="V39"/>
  <c r="S39"/>
  <c r="G12" i="44"/>
  <c r="R12"/>
  <c r="V12" s="1"/>
  <c r="T12"/>
  <c r="X12" s="1"/>
  <c r="AE33"/>
  <c r="AQ33"/>
  <c r="BC33"/>
  <c r="AG33"/>
  <c r="AS33"/>
  <c r="BE33"/>
  <c r="BE87" s="1"/>
  <c r="AI33"/>
  <c r="AU33"/>
  <c r="AK33"/>
  <c r="AW33"/>
  <c r="AA33"/>
  <c r="AM33"/>
  <c r="AY33"/>
  <c r="AY87" s="1"/>
  <c r="V81"/>
  <c r="AC33"/>
  <c r="AO33"/>
  <c r="BA33"/>
  <c r="BA87" s="1"/>
  <c r="AP31" i="42"/>
  <c r="BB31"/>
  <c r="AJ41"/>
  <c r="AV41"/>
  <c r="BH41"/>
  <c r="BL33"/>
  <c r="BD31"/>
  <c r="AR31"/>
  <c r="AF31"/>
  <c r="AL41"/>
  <c r="AX41"/>
  <c r="BJ41"/>
  <c r="AF35" i="45"/>
  <c r="BH83"/>
  <c r="AZ15"/>
  <c r="AV35"/>
  <c r="AH35"/>
  <c r="AL21"/>
  <c r="Z12"/>
  <c r="Z15" s="1"/>
  <c r="V15"/>
  <c r="AP35"/>
  <c r="AX35"/>
  <c r="Y12"/>
  <c r="Y15" s="1"/>
  <c r="U15"/>
  <c r="J12"/>
  <c r="J15" s="1"/>
  <c r="I12"/>
  <c r="I15" s="1"/>
  <c r="H15"/>
  <c r="X12"/>
  <c r="X15" s="1"/>
  <c r="T15"/>
  <c r="W12"/>
  <c r="W15" s="1"/>
  <c r="S15"/>
  <c r="I63" i="44"/>
  <c r="H81"/>
  <c r="G14"/>
  <c r="S14"/>
  <c r="T14"/>
  <c r="X14" s="1"/>
  <c r="U14"/>
  <c r="R14"/>
  <c r="V14" s="1"/>
  <c r="BI33"/>
  <c r="BI87" s="1"/>
  <c r="BG33"/>
  <c r="BG87" s="1"/>
  <c r="P63"/>
  <c r="P81"/>
  <c r="P39"/>
  <c r="I81"/>
  <c r="H63"/>
  <c r="H39"/>
  <c r="R14" i="43"/>
  <c r="U14"/>
  <c r="T14"/>
  <c r="S14"/>
  <c r="G31"/>
  <c r="U31"/>
  <c r="Y31" s="1"/>
  <c r="T31"/>
  <c r="X31" s="1"/>
  <c r="R31"/>
  <c r="V31" s="1"/>
  <c r="S31"/>
  <c r="W31" s="1"/>
  <c r="R21"/>
  <c r="R24" s="1"/>
  <c r="U21"/>
  <c r="T21"/>
  <c r="S21"/>
  <c r="G23"/>
  <c r="P23" s="1"/>
  <c r="U23"/>
  <c r="Y23" s="1"/>
  <c r="S23"/>
  <c r="W23" s="1"/>
  <c r="R23"/>
  <c r="V23" s="1"/>
  <c r="T23"/>
  <c r="X23" s="1"/>
  <c r="G18"/>
  <c r="P18" s="1"/>
  <c r="U18"/>
  <c r="Y18" s="1"/>
  <c r="S18"/>
  <c r="W18" s="1"/>
  <c r="R18"/>
  <c r="V18" s="1"/>
  <c r="T18"/>
  <c r="X18" s="1"/>
  <c r="G13"/>
  <c r="H13" s="1"/>
  <c r="U13"/>
  <c r="Y13" s="1"/>
  <c r="S13"/>
  <c r="W13" s="1"/>
  <c r="R13"/>
  <c r="V13" s="1"/>
  <c r="T13"/>
  <c r="X13" s="1"/>
  <c r="G22"/>
  <c r="P22" s="1"/>
  <c r="T22"/>
  <c r="X22" s="1"/>
  <c r="S22"/>
  <c r="W22" s="1"/>
  <c r="U22"/>
  <c r="Y22" s="1"/>
  <c r="R22"/>
  <c r="V22" s="1"/>
  <c r="AI40"/>
  <c r="T12"/>
  <c r="S12"/>
  <c r="U12"/>
  <c r="R12"/>
  <c r="R26"/>
  <c r="U26"/>
  <c r="T26"/>
  <c r="S26"/>
  <c r="AH41" i="42"/>
  <c r="AT41"/>
  <c r="BF41"/>
  <c r="AB41"/>
  <c r="AN41"/>
  <c r="AZ41"/>
  <c r="BK41"/>
  <c r="AD41"/>
  <c r="AP41"/>
  <c r="BB41"/>
  <c r="AF41"/>
  <c r="AR41"/>
  <c r="BD41"/>
  <c r="BL11"/>
  <c r="BO11" s="1"/>
  <c r="T12" i="41"/>
  <c r="X12" s="1"/>
  <c r="F12"/>
  <c r="S12"/>
  <c r="W12" s="1"/>
  <c r="R12"/>
  <c r="V12" s="1"/>
  <c r="Q12"/>
  <c r="U12" s="1"/>
  <c r="E30"/>
  <c r="BI31"/>
  <c r="BI40" i="43"/>
  <c r="BI56" s="1"/>
  <c r="BG40"/>
  <c r="BE40"/>
  <c r="BC40"/>
  <c r="AY40"/>
  <c r="AW40"/>
  <c r="AW56" s="1"/>
  <c r="AU40"/>
  <c r="AO40"/>
  <c r="AK40"/>
  <c r="AG40"/>
  <c r="AG56" s="1"/>
  <c r="AE40"/>
  <c r="AE56" s="1"/>
  <c r="AC40"/>
  <c r="G39"/>
  <c r="P39" s="1"/>
  <c r="T39"/>
  <c r="X39" s="1"/>
  <c r="S39"/>
  <c r="W39" s="1"/>
  <c r="R39"/>
  <c r="V39" s="1"/>
  <c r="U39"/>
  <c r="Y39" s="1"/>
  <c r="G38"/>
  <c r="P38" s="1"/>
  <c r="R38"/>
  <c r="V38" s="1"/>
  <c r="U38"/>
  <c r="Y38" s="1"/>
  <c r="T38"/>
  <c r="X38" s="1"/>
  <c r="S38"/>
  <c r="W38" s="1"/>
  <c r="G37"/>
  <c r="I37" s="1"/>
  <c r="S37"/>
  <c r="W37" s="1"/>
  <c r="R37"/>
  <c r="V37" s="1"/>
  <c r="U37"/>
  <c r="Y37" s="1"/>
  <c r="T37"/>
  <c r="X37" s="1"/>
  <c r="AA40"/>
  <c r="G36"/>
  <c r="S36"/>
  <c r="U36"/>
  <c r="T36"/>
  <c r="R36"/>
  <c r="G32"/>
  <c r="S32"/>
  <c r="R32"/>
  <c r="U32"/>
  <c r="T32"/>
  <c r="I39" i="44"/>
  <c r="G31"/>
  <c r="H31" s="1"/>
  <c r="S31"/>
  <c r="F32"/>
  <c r="BC15"/>
  <c r="BC18" s="1"/>
  <c r="BE15"/>
  <c r="BE18" s="1"/>
  <c r="AS15"/>
  <c r="AS18" s="1"/>
  <c r="AQ15"/>
  <c r="AQ18" s="1"/>
  <c r="AM15"/>
  <c r="AM18" s="1"/>
  <c r="I12"/>
  <c r="H12"/>
  <c r="BL31" i="26"/>
  <c r="BL34" s="1"/>
  <c r="R28" i="39"/>
  <c r="AD18" i="42"/>
  <c r="AP18"/>
  <c r="BB18"/>
  <c r="AH31"/>
  <c r="AT31"/>
  <c r="BF31"/>
  <c r="AH18"/>
  <c r="AT18"/>
  <c r="BF18"/>
  <c r="AL31"/>
  <c r="AX31"/>
  <c r="BJ31"/>
  <c r="AJ18"/>
  <c r="AV18"/>
  <c r="BH18"/>
  <c r="AB31"/>
  <c r="AN31"/>
  <c r="AZ31"/>
  <c r="AN18"/>
  <c r="AZ18"/>
  <c r="BK18" i="43"/>
  <c r="BK36"/>
  <c r="BK38"/>
  <c r="BK13"/>
  <c r="BK16"/>
  <c r="BK22"/>
  <c r="BK31"/>
  <c r="BK20"/>
  <c r="BK32"/>
  <c r="BK35"/>
  <c r="BK37"/>
  <c r="BK39"/>
  <c r="BK17"/>
  <c r="BK19" s="1"/>
  <c r="BK12"/>
  <c r="BK14"/>
  <c r="BK21"/>
  <c r="BK23"/>
  <c r="BK26"/>
  <c r="V17" i="39"/>
  <c r="R17"/>
  <c r="G21" i="43"/>
  <c r="G26"/>
  <c r="I18"/>
  <c r="G12"/>
  <c r="F17"/>
  <c r="F19" s="1"/>
  <c r="I22"/>
  <c r="I31"/>
  <c r="AH21" i="45"/>
  <c r="AF15"/>
  <c r="AD21"/>
  <c r="AB15"/>
  <c r="AJ15"/>
  <c r="AT35"/>
  <c r="AX83"/>
  <c r="BH35"/>
  <c r="BL79"/>
  <c r="BL73"/>
  <c r="BL67"/>
  <c r="Z83"/>
  <c r="AB35"/>
  <c r="AD15"/>
  <c r="AF21"/>
  <c r="AH15"/>
  <c r="AJ21"/>
  <c r="AL15"/>
  <c r="AN21"/>
  <c r="AT15"/>
  <c r="AT21"/>
  <c r="AZ21"/>
  <c r="BB35"/>
  <c r="BF21"/>
  <c r="BL12"/>
  <c r="BJ15"/>
  <c r="BL78"/>
  <c r="BL72"/>
  <c r="BL66"/>
  <c r="BJ21"/>
  <c r="AT83"/>
  <c r="BL82"/>
  <c r="BL77"/>
  <c r="BL71"/>
  <c r="BL65"/>
  <c r="BL34"/>
  <c r="BL14"/>
  <c r="AJ35"/>
  <c r="AR21"/>
  <c r="AX21"/>
  <c r="BD21"/>
  <c r="BF35"/>
  <c r="BL81"/>
  <c r="BL76"/>
  <c r="BL70"/>
  <c r="BL33"/>
  <c r="BJ35"/>
  <c r="BL13"/>
  <c r="BH21"/>
  <c r="BL80"/>
  <c r="BL75"/>
  <c r="BL69"/>
  <c r="BL32"/>
  <c r="AP21"/>
  <c r="AR35"/>
  <c r="AV21"/>
  <c r="BB21"/>
  <c r="BD35"/>
  <c r="BL74"/>
  <c r="BL68"/>
  <c r="AD42"/>
  <c r="AJ42"/>
  <c r="AR42"/>
  <c r="AT31"/>
  <c r="BD42"/>
  <c r="BF31"/>
  <c r="AF31"/>
  <c r="AL31"/>
  <c r="AT42"/>
  <c r="AV31"/>
  <c r="BF42"/>
  <c r="BL58"/>
  <c r="BL46"/>
  <c r="BL26"/>
  <c r="BL57"/>
  <c r="AB31"/>
  <c r="AD31"/>
  <c r="AJ31"/>
  <c r="AP42"/>
  <c r="AR31"/>
  <c r="BB42"/>
  <c r="BD31"/>
  <c r="BL56"/>
  <c r="BL44"/>
  <c r="BJ42"/>
  <c r="BL29"/>
  <c r="BL24"/>
  <c r="BL25"/>
  <c r="AH42"/>
  <c r="AN42"/>
  <c r="AP31"/>
  <c r="AZ42"/>
  <c r="BB31"/>
  <c r="BL48"/>
  <c r="BL43"/>
  <c r="BL28"/>
  <c r="BJ31"/>
  <c r="BL30"/>
  <c r="AB42"/>
  <c r="AH31"/>
  <c r="AN31"/>
  <c r="AX42"/>
  <c r="AZ31"/>
  <c r="BH42"/>
  <c r="BL23"/>
  <c r="AF42"/>
  <c r="AL42"/>
  <c r="AV42"/>
  <c r="AX31"/>
  <c r="BH31"/>
  <c r="BL59"/>
  <c r="BL55"/>
  <c r="BL47"/>
  <c r="BL27"/>
  <c r="BJ17" i="41"/>
  <c r="BJ26"/>
  <c r="BJ30"/>
  <c r="AD16"/>
  <c r="AJ16"/>
  <c r="AV16"/>
  <c r="BB16"/>
  <c r="F30"/>
  <c r="AP16"/>
  <c r="BH16"/>
  <c r="E24"/>
  <c r="E25" s="1"/>
  <c r="Z16"/>
  <c r="AB32"/>
  <c r="AF16"/>
  <c r="AL16"/>
  <c r="AR16"/>
  <c r="AX16"/>
  <c r="BD16"/>
  <c r="Q13"/>
  <c r="U13" s="1"/>
  <c r="R13"/>
  <c r="V13" s="1"/>
  <c r="F13"/>
  <c r="S13"/>
  <c r="W13" s="1"/>
  <c r="T13"/>
  <c r="X13" s="1"/>
  <c r="O23"/>
  <c r="G23"/>
  <c r="R14"/>
  <c r="V14" s="1"/>
  <c r="F14"/>
  <c r="E15"/>
  <c r="E16" s="1"/>
  <c r="BI16"/>
  <c r="AB16"/>
  <c r="AH16"/>
  <c r="AN16"/>
  <c r="AT16"/>
  <c r="AZ16"/>
  <c r="BF16"/>
  <c r="O18"/>
  <c r="G18"/>
  <c r="AF18" i="42"/>
  <c r="AR18"/>
  <c r="BD18"/>
  <c r="AJ31"/>
  <c r="AV31"/>
  <c r="BH31"/>
  <c r="BL37"/>
  <c r="BQ37" s="1"/>
  <c r="BL38"/>
  <c r="BQ38" s="1"/>
  <c r="BK31"/>
  <c r="G27"/>
  <c r="BL39"/>
  <c r="BQ39" s="1"/>
  <c r="BS39" s="1"/>
  <c r="BW39" s="1"/>
  <c r="BL12"/>
  <c r="BO12" s="1"/>
  <c r="AL18"/>
  <c r="AX18"/>
  <c r="BJ18"/>
  <c r="BL24"/>
  <c r="BL27"/>
  <c r="AD31"/>
  <c r="BL30"/>
  <c r="BL16"/>
  <c r="AB18"/>
  <c r="BK18"/>
  <c r="G16"/>
  <c r="BL17"/>
  <c r="G37"/>
  <c r="BL13"/>
  <c r="G13"/>
  <c r="G14" s="1"/>
  <c r="U40" i="45"/>
  <c r="G42"/>
  <c r="BK39" i="47"/>
  <c r="AC40"/>
  <c r="BI62" i="46"/>
  <c r="AX64"/>
  <c r="AE11" i="39" s="1"/>
  <c r="AE12" s="1"/>
  <c r="BE51" i="46"/>
  <c r="AY51"/>
  <c r="BI49"/>
  <c r="BM49" s="1"/>
  <c r="BP49" s="1"/>
  <c r="BT49" s="1"/>
  <c r="BL20" i="26"/>
  <c r="BK24" i="25"/>
  <c r="BK17"/>
  <c r="BK28"/>
  <c r="BK13"/>
  <c r="BK26"/>
  <c r="BK20"/>
  <c r="BK50"/>
  <c r="AE15"/>
  <c r="BE15"/>
  <c r="BI15"/>
  <c r="BK25"/>
  <c r="BK18"/>
  <c r="BK23"/>
  <c r="BK51"/>
  <c r="BK22"/>
  <c r="BK46"/>
  <c r="BK52"/>
  <c r="BK27"/>
  <c r="BK21"/>
  <c r="BK49"/>
  <c r="BK53"/>
  <c r="AC54"/>
  <c r="AS54"/>
  <c r="BA15"/>
  <c r="AQ15"/>
  <c r="AI15"/>
  <c r="BK14"/>
  <c r="BK12"/>
  <c r="G12" s="1"/>
  <c r="BK85" i="24"/>
  <c r="BT85" s="1"/>
  <c r="BT86" s="1"/>
  <c r="BI86"/>
  <c r="BK45" i="25"/>
  <c r="BK44"/>
  <c r="BK43"/>
  <c r="BK42"/>
  <c r="BK41"/>
  <c r="BK39"/>
  <c r="AM47"/>
  <c r="BK37"/>
  <c r="G29" i="24"/>
  <c r="I29" s="1"/>
  <c r="S29"/>
  <c r="W29" s="1"/>
  <c r="G58"/>
  <c r="U58"/>
  <c r="Y58" s="1"/>
  <c r="S58"/>
  <c r="W58" s="1"/>
  <c r="R58"/>
  <c r="V58" s="1"/>
  <c r="T58"/>
  <c r="X58" s="1"/>
  <c r="G83"/>
  <c r="H83" s="1"/>
  <c r="U83"/>
  <c r="Y83" s="1"/>
  <c r="R83"/>
  <c r="V83" s="1"/>
  <c r="S83"/>
  <c r="W83" s="1"/>
  <c r="T83"/>
  <c r="X83" s="1"/>
  <c r="BK34"/>
  <c r="BP34" s="1"/>
  <c r="BI47"/>
  <c r="BK27"/>
  <c r="BI32"/>
  <c r="S19"/>
  <c r="W19" s="1"/>
  <c r="G19"/>
  <c r="S13"/>
  <c r="W13" s="1"/>
  <c r="G13"/>
  <c r="G28"/>
  <c r="S28"/>
  <c r="W28" s="1"/>
  <c r="G35"/>
  <c r="H35" s="1"/>
  <c r="T35"/>
  <c r="X35" s="1"/>
  <c r="G40"/>
  <c r="I40" s="1"/>
  <c r="T40"/>
  <c r="X40" s="1"/>
  <c r="G46"/>
  <c r="T46"/>
  <c r="X46" s="1"/>
  <c r="G57"/>
  <c r="H57" s="1"/>
  <c r="U57"/>
  <c r="Y57" s="1"/>
  <c r="R57"/>
  <c r="V57" s="1"/>
  <c r="S57"/>
  <c r="W57" s="1"/>
  <c r="T57"/>
  <c r="X57" s="1"/>
  <c r="G63"/>
  <c r="I63" s="1"/>
  <c r="R63"/>
  <c r="V63" s="1"/>
  <c r="S63"/>
  <c r="W63" s="1"/>
  <c r="T63"/>
  <c r="X63" s="1"/>
  <c r="U63"/>
  <c r="Y63" s="1"/>
  <c r="G75"/>
  <c r="R75"/>
  <c r="V75" s="1"/>
  <c r="S75"/>
  <c r="W75" s="1"/>
  <c r="T75"/>
  <c r="X75" s="1"/>
  <c r="U75"/>
  <c r="Y75" s="1"/>
  <c r="G82"/>
  <c r="R82"/>
  <c r="V82" s="1"/>
  <c r="S82"/>
  <c r="W82" s="1"/>
  <c r="U82"/>
  <c r="Y82" s="1"/>
  <c r="T82"/>
  <c r="X82" s="1"/>
  <c r="BK13"/>
  <c r="BI24"/>
  <c r="G41"/>
  <c r="G59"/>
  <c r="I59" s="1"/>
  <c r="T59"/>
  <c r="X59" s="1"/>
  <c r="R59"/>
  <c r="V59" s="1"/>
  <c r="S59"/>
  <c r="W59" s="1"/>
  <c r="U59"/>
  <c r="Y59" s="1"/>
  <c r="G84"/>
  <c r="U84"/>
  <c r="Y84" s="1"/>
  <c r="S84"/>
  <c r="W84" s="1"/>
  <c r="R84"/>
  <c r="V84" s="1"/>
  <c r="T84"/>
  <c r="X84" s="1"/>
  <c r="S18"/>
  <c r="W18" s="1"/>
  <c r="G18"/>
  <c r="BJ24"/>
  <c r="F12"/>
  <c r="G36"/>
  <c r="H36" s="1"/>
  <c r="T36"/>
  <c r="X36" s="1"/>
  <c r="G70"/>
  <c r="H70" s="1"/>
  <c r="R70"/>
  <c r="V70" s="1"/>
  <c r="S70"/>
  <c r="W70" s="1"/>
  <c r="T70"/>
  <c r="X70" s="1"/>
  <c r="U70"/>
  <c r="Y70" s="1"/>
  <c r="S23"/>
  <c r="W23" s="1"/>
  <c r="G23"/>
  <c r="S17"/>
  <c r="W17" s="1"/>
  <c r="G17"/>
  <c r="G30"/>
  <c r="I30" s="1"/>
  <c r="S30"/>
  <c r="W30" s="1"/>
  <c r="G37"/>
  <c r="H37" s="1"/>
  <c r="T37"/>
  <c r="X37" s="1"/>
  <c r="G43"/>
  <c r="T43"/>
  <c r="X43" s="1"/>
  <c r="G53"/>
  <c r="H53" s="1"/>
  <c r="R53"/>
  <c r="V53" s="1"/>
  <c r="S53"/>
  <c r="W53" s="1"/>
  <c r="T53"/>
  <c r="X53" s="1"/>
  <c r="U53"/>
  <c r="Y53" s="1"/>
  <c r="S22"/>
  <c r="W22" s="1"/>
  <c r="G22"/>
  <c r="S16"/>
  <c r="W16" s="1"/>
  <c r="G16"/>
  <c r="G31"/>
  <c r="S31"/>
  <c r="W31" s="1"/>
  <c r="G38"/>
  <c r="H38" s="1"/>
  <c r="T38"/>
  <c r="X38" s="1"/>
  <c r="G44"/>
  <c r="H44" s="1"/>
  <c r="T44"/>
  <c r="X44" s="1"/>
  <c r="G54"/>
  <c r="S54"/>
  <c r="W54" s="1"/>
  <c r="T54"/>
  <c r="X54" s="1"/>
  <c r="U54"/>
  <c r="Y54" s="1"/>
  <c r="R54"/>
  <c r="V54" s="1"/>
  <c r="G60"/>
  <c r="H60" s="1"/>
  <c r="R60"/>
  <c r="V60" s="1"/>
  <c r="U60"/>
  <c r="Y60" s="1"/>
  <c r="S60"/>
  <c r="W60" s="1"/>
  <c r="T60"/>
  <c r="X60" s="1"/>
  <c r="G66"/>
  <c r="H66" s="1"/>
  <c r="R66"/>
  <c r="V66" s="1"/>
  <c r="S66"/>
  <c r="W66" s="1"/>
  <c r="T66"/>
  <c r="X66" s="1"/>
  <c r="U66"/>
  <c r="Y66" s="1"/>
  <c r="G72"/>
  <c r="R72"/>
  <c r="V72" s="1"/>
  <c r="S72"/>
  <c r="W72" s="1"/>
  <c r="T72"/>
  <c r="X72" s="1"/>
  <c r="U72"/>
  <c r="Y72" s="1"/>
  <c r="G85"/>
  <c r="I85" s="1"/>
  <c r="T85"/>
  <c r="X85" s="1"/>
  <c r="R85"/>
  <c r="V85" s="1"/>
  <c r="U85"/>
  <c r="Y85" s="1"/>
  <c r="S85"/>
  <c r="W85" s="1"/>
  <c r="S21"/>
  <c r="W21" s="1"/>
  <c r="G21"/>
  <c r="S15"/>
  <c r="W15" s="1"/>
  <c r="G15"/>
  <c r="G45"/>
  <c r="I45" s="1"/>
  <c r="T45"/>
  <c r="X45" s="1"/>
  <c r="G55"/>
  <c r="S55"/>
  <c r="W55" s="1"/>
  <c r="T55"/>
  <c r="X55" s="1"/>
  <c r="U55"/>
  <c r="Y55" s="1"/>
  <c r="R55"/>
  <c r="V55" s="1"/>
  <c r="G61"/>
  <c r="R61"/>
  <c r="V61" s="1"/>
  <c r="S61"/>
  <c r="W61" s="1"/>
  <c r="T61"/>
  <c r="X61" s="1"/>
  <c r="U61"/>
  <c r="Y61" s="1"/>
  <c r="G73"/>
  <c r="H73" s="1"/>
  <c r="R73"/>
  <c r="V73" s="1"/>
  <c r="S73"/>
  <c r="W73" s="1"/>
  <c r="T73"/>
  <c r="X73" s="1"/>
  <c r="U73"/>
  <c r="Y73" s="1"/>
  <c r="G80"/>
  <c r="H80" s="1"/>
  <c r="U80"/>
  <c r="Y80" s="1"/>
  <c r="R80"/>
  <c r="V80" s="1"/>
  <c r="S80"/>
  <c r="W80" s="1"/>
  <c r="T80"/>
  <c r="X80" s="1"/>
  <c r="G64"/>
  <c r="R64"/>
  <c r="V64" s="1"/>
  <c r="S64"/>
  <c r="W64" s="1"/>
  <c r="T64"/>
  <c r="X64" s="1"/>
  <c r="U64"/>
  <c r="Y64" s="1"/>
  <c r="S20"/>
  <c r="W20" s="1"/>
  <c r="G20"/>
  <c r="S14"/>
  <c r="W14" s="1"/>
  <c r="G14"/>
  <c r="G39"/>
  <c r="T39"/>
  <c r="X39" s="1"/>
  <c r="G56"/>
  <c r="H56" s="1"/>
  <c r="T56"/>
  <c r="X56" s="1"/>
  <c r="U56"/>
  <c r="Y56" s="1"/>
  <c r="S56"/>
  <c r="W56" s="1"/>
  <c r="R56"/>
  <c r="V56" s="1"/>
  <c r="G62"/>
  <c r="R62"/>
  <c r="V62" s="1"/>
  <c r="S62"/>
  <c r="W62" s="1"/>
  <c r="T62"/>
  <c r="X62" s="1"/>
  <c r="U62"/>
  <c r="Y62" s="1"/>
  <c r="G68"/>
  <c r="R68"/>
  <c r="V68" s="1"/>
  <c r="S68"/>
  <c r="W68" s="1"/>
  <c r="T68"/>
  <c r="X68" s="1"/>
  <c r="U68"/>
  <c r="Y68" s="1"/>
  <c r="G74"/>
  <c r="I74" s="1"/>
  <c r="R74"/>
  <c r="V74" s="1"/>
  <c r="S74"/>
  <c r="W74" s="1"/>
  <c r="T74"/>
  <c r="X74" s="1"/>
  <c r="U74"/>
  <c r="Y74" s="1"/>
  <c r="G81"/>
  <c r="H81" s="1"/>
  <c r="R81"/>
  <c r="V81" s="1"/>
  <c r="U81"/>
  <c r="Y81" s="1"/>
  <c r="S81"/>
  <c r="W81" s="1"/>
  <c r="T81"/>
  <c r="X81" s="1"/>
  <c r="BK40" i="25"/>
  <c r="BK38"/>
  <c r="BG47"/>
  <c r="BK36"/>
  <c r="BK35"/>
  <c r="BK34"/>
  <c r="BK33"/>
  <c r="H30" i="47"/>
  <c r="G76" i="24"/>
  <c r="I76" s="1"/>
  <c r="U76"/>
  <c r="Y76" s="1"/>
  <c r="R76"/>
  <c r="V76" s="1"/>
  <c r="S76"/>
  <c r="W76" s="1"/>
  <c r="T76"/>
  <c r="X76" s="1"/>
  <c r="G71"/>
  <c r="H71" s="1"/>
  <c r="U71"/>
  <c r="Y71" s="1"/>
  <c r="R71"/>
  <c r="V71" s="1"/>
  <c r="S71"/>
  <c r="W71" s="1"/>
  <c r="T71"/>
  <c r="X71" s="1"/>
  <c r="G65"/>
  <c r="H65" s="1"/>
  <c r="U65"/>
  <c r="Y65" s="1"/>
  <c r="R65"/>
  <c r="V65" s="1"/>
  <c r="S65"/>
  <c r="W65" s="1"/>
  <c r="T65"/>
  <c r="X65" s="1"/>
  <c r="G69"/>
  <c r="U69"/>
  <c r="Y69" s="1"/>
  <c r="S69"/>
  <c r="W69" s="1"/>
  <c r="R69"/>
  <c r="V69" s="1"/>
  <c r="T69"/>
  <c r="X69" s="1"/>
  <c r="G67"/>
  <c r="U67"/>
  <c r="R67"/>
  <c r="S67"/>
  <c r="T67"/>
  <c r="BK54"/>
  <c r="BS54" s="1"/>
  <c r="BU54" s="1"/>
  <c r="BV54" s="1"/>
  <c r="BI77"/>
  <c r="BI45" i="46"/>
  <c r="BM45" s="1"/>
  <c r="BP45" s="1"/>
  <c r="BT45" s="1"/>
  <c r="BC51"/>
  <c r="AW51"/>
  <c r="AS51"/>
  <c r="AQ51"/>
  <c r="AG51"/>
  <c r="AE51"/>
  <c r="AB64"/>
  <c r="I11" i="39" s="1"/>
  <c r="I12" s="1"/>
  <c r="BI44" i="46"/>
  <c r="BM44" s="1"/>
  <c r="BP44" s="1"/>
  <c r="BT44" s="1"/>
  <c r="AC51"/>
  <c r="Y51"/>
  <c r="BI50"/>
  <c r="BM50" s="1"/>
  <c r="AO51"/>
  <c r="BG51"/>
  <c r="BI43"/>
  <c r="BM43" s="1"/>
  <c r="BI40"/>
  <c r="BM40" s="1"/>
  <c r="BP40" s="1"/>
  <c r="BI39"/>
  <c r="BM39" s="1"/>
  <c r="BP39" s="1"/>
  <c r="Y41"/>
  <c r="AL64"/>
  <c r="S11" i="39" s="1"/>
  <c r="S12" s="1"/>
  <c r="BI30" i="46"/>
  <c r="BM30" s="1"/>
  <c r="BF64"/>
  <c r="AM11" i="39" s="1"/>
  <c r="AM12" s="1"/>
  <c r="AM31" s="1"/>
  <c r="BD64" i="46"/>
  <c r="AK11" i="39" s="1"/>
  <c r="AN64" i="46"/>
  <c r="U11" i="39" s="1"/>
  <c r="U12" s="1"/>
  <c r="AJ64" i="46"/>
  <c r="Q11" i="39" s="1"/>
  <c r="Q12" s="1"/>
  <c r="AH64" i="46"/>
  <c r="O11" i="39" s="1"/>
  <c r="O12" s="1"/>
  <c r="AF64" i="46"/>
  <c r="M11" i="39" s="1"/>
  <c r="M12" s="1"/>
  <c r="AD64" i="46"/>
  <c r="K11" i="39" s="1"/>
  <c r="K12" s="1"/>
  <c r="X64" i="46"/>
  <c r="E11" i="39" s="1"/>
  <c r="BG31" i="46"/>
  <c r="BI26"/>
  <c r="BM26" s="1"/>
  <c r="AZ64"/>
  <c r="AG11" i="39" s="1"/>
  <c r="AG12" s="1"/>
  <c r="BI23" i="46"/>
  <c r="BM23" s="1"/>
  <c r="BP23" s="1"/>
  <c r="BI22"/>
  <c r="BM22" s="1"/>
  <c r="BP22" s="1"/>
  <c r="BE24"/>
  <c r="BC24"/>
  <c r="AY24"/>
  <c r="AW24"/>
  <c r="AU24"/>
  <c r="AS24"/>
  <c r="AQ24"/>
  <c r="AO24"/>
  <c r="AG24"/>
  <c r="AE24"/>
  <c r="BI21"/>
  <c r="BM21" s="1"/>
  <c r="BP21" s="1"/>
  <c r="AC24"/>
  <c r="Y24"/>
  <c r="BI20"/>
  <c r="BM20" s="1"/>
  <c r="BP20" s="1"/>
  <c r="BG24"/>
  <c r="BI19"/>
  <c r="BM19" s="1"/>
  <c r="Z64"/>
  <c r="G11" i="39" s="1"/>
  <c r="G12" s="1"/>
  <c r="BB64" i="46"/>
  <c r="AI11" i="39" s="1"/>
  <c r="AI12" s="1"/>
  <c r="AI31" s="1"/>
  <c r="AV64" i="46"/>
  <c r="AC11" i="39" s="1"/>
  <c r="AC12" s="1"/>
  <c r="AT64" i="46"/>
  <c r="AA11" i="39" s="1"/>
  <c r="AA12" s="1"/>
  <c r="AR64" i="46"/>
  <c r="Y11" i="39" s="1"/>
  <c r="Y12" s="1"/>
  <c r="AQ16" i="46"/>
  <c r="BI15"/>
  <c r="BI16" s="1"/>
  <c r="AP64"/>
  <c r="W11" i="39" s="1"/>
  <c r="W12" s="1"/>
  <c r="BI13" i="46"/>
  <c r="BM13" s="1"/>
  <c r="BI12"/>
  <c r="BM12" s="1"/>
  <c r="BI27" i="47"/>
  <c r="BA21"/>
  <c r="BA41" s="1"/>
  <c r="AF10" i="39" s="1"/>
  <c r="AS21" i="47"/>
  <c r="BK20"/>
  <c r="BO20" s="1"/>
  <c r="BR20" s="1"/>
  <c r="BE21"/>
  <c r="BG21"/>
  <c r="BC21"/>
  <c r="AY21"/>
  <c r="AY41" s="1"/>
  <c r="AD10" i="39" s="1"/>
  <c r="AW21" i="47"/>
  <c r="AU21"/>
  <c r="AQ21"/>
  <c r="AO21"/>
  <c r="AM21"/>
  <c r="AK21"/>
  <c r="AK41" s="1"/>
  <c r="P10" i="39" s="1"/>
  <c r="AI21" i="47"/>
  <c r="AG21"/>
  <c r="AE21"/>
  <c r="AC21"/>
  <c r="BK17"/>
  <c r="BO17" s="1"/>
  <c r="BI21"/>
  <c r="BI15"/>
  <c r="BJ12" i="41"/>
  <c r="BJ18"/>
  <c r="BO18" s="1"/>
  <c r="BO25" s="1"/>
  <c r="BJ23"/>
  <c r="BJ24"/>
  <c r="BJ14"/>
  <c r="BJ15"/>
  <c r="BO15" s="1"/>
  <c r="BJ13"/>
  <c r="G83" i="45"/>
  <c r="V44"/>
  <c r="G35"/>
  <c r="G31"/>
  <c r="BH64" i="46"/>
  <c r="AO11" i="39" s="1"/>
  <c r="BJ32" i="47"/>
  <c r="F32" s="1"/>
  <c r="BJ29"/>
  <c r="F29" s="1"/>
  <c r="Z31"/>
  <c r="AA24"/>
  <c r="BJ24"/>
  <c r="Z13"/>
  <c r="BJ13" s="1"/>
  <c r="F13" s="1"/>
  <c r="BJ12"/>
  <c r="F12" s="1"/>
  <c r="AA12"/>
  <c r="AO28" i="39"/>
  <c r="BL14" i="26"/>
  <c r="I80" i="24"/>
  <c r="BJ86"/>
  <c r="F79"/>
  <c r="H61"/>
  <c r="I61"/>
  <c r="BK86"/>
  <c r="BK32"/>
  <c r="H28"/>
  <c r="I28"/>
  <c r="I35"/>
  <c r="H46"/>
  <c r="I46"/>
  <c r="I57"/>
  <c r="H63"/>
  <c r="H69"/>
  <c r="I69"/>
  <c r="H75"/>
  <c r="I75"/>
  <c r="H82"/>
  <c r="I82"/>
  <c r="H54"/>
  <c r="I54"/>
  <c r="H67"/>
  <c r="I67"/>
  <c r="H39"/>
  <c r="I39"/>
  <c r="H62"/>
  <c r="I62"/>
  <c r="I36"/>
  <c r="F52"/>
  <c r="BJ77"/>
  <c r="H58"/>
  <c r="I58"/>
  <c r="H64"/>
  <c r="I64"/>
  <c r="H76"/>
  <c r="I83"/>
  <c r="H72"/>
  <c r="I72"/>
  <c r="H55"/>
  <c r="I55"/>
  <c r="BJ32"/>
  <c r="F27"/>
  <c r="S27" s="1"/>
  <c r="BJ47"/>
  <c r="F34"/>
  <c r="T34" s="1"/>
  <c r="H68"/>
  <c r="I68"/>
  <c r="H30"/>
  <c r="H43"/>
  <c r="I43"/>
  <c r="I53"/>
  <c r="H59"/>
  <c r="I65"/>
  <c r="H84"/>
  <c r="I84"/>
  <c r="AG47" i="25"/>
  <c r="BC47"/>
  <c r="AM54"/>
  <c r="BG54"/>
  <c r="AG15"/>
  <c r="AI47"/>
  <c r="BE47"/>
  <c r="AA54"/>
  <c r="AQ54"/>
  <c r="BI54"/>
  <c r="AA47"/>
  <c r="AQ47"/>
  <c r="BI47"/>
  <c r="AE54"/>
  <c r="BA54"/>
  <c r="BI29"/>
  <c r="BG29"/>
  <c r="BE29"/>
  <c r="BC29"/>
  <c r="BA29"/>
  <c r="AS29"/>
  <c r="AQ29"/>
  <c r="AM29"/>
  <c r="AI29"/>
  <c r="AG29"/>
  <c r="AE29"/>
  <c r="AC47"/>
  <c r="AS47"/>
  <c r="AG54"/>
  <c r="BC54"/>
  <c r="AC15"/>
  <c r="AM15"/>
  <c r="AS15"/>
  <c r="BC15"/>
  <c r="BG15"/>
  <c r="AA29"/>
  <c r="AC29"/>
  <c r="AE47"/>
  <c r="BA47"/>
  <c r="AI54"/>
  <c r="BE54"/>
  <c r="BK36" i="24"/>
  <c r="BK25"/>
  <c r="BK52"/>
  <c r="AY15" i="44"/>
  <c r="AY18" s="1"/>
  <c r="AG15"/>
  <c r="AG18" s="1"/>
  <c r="AE15"/>
  <c r="AE18" s="1"/>
  <c r="AA15"/>
  <c r="AA18" s="1"/>
  <c r="AC15"/>
  <c r="AC18" s="1"/>
  <c r="AO15"/>
  <c r="AO18" s="1"/>
  <c r="BA15"/>
  <c r="BA18" s="1"/>
  <c r="I20" i="26"/>
  <c r="J20"/>
  <c r="AB83" i="45"/>
  <c r="AD83"/>
  <c r="AJ83"/>
  <c r="AR83"/>
  <c r="BD83"/>
  <c r="AP83"/>
  <c r="BB83"/>
  <c r="BJ83"/>
  <c r="AH83"/>
  <c r="AN83"/>
  <c r="AZ83"/>
  <c r="AF83"/>
  <c r="AL83"/>
  <c r="AV83"/>
  <c r="F13" i="44"/>
  <c r="BJ15"/>
  <c r="BJ18" s="1"/>
  <c r="AI15"/>
  <c r="AI18" s="1"/>
  <c r="AU15"/>
  <c r="AU18" s="1"/>
  <c r="BG15"/>
  <c r="BG18" s="1"/>
  <c r="AK15"/>
  <c r="AK18" s="1"/>
  <c r="AW15"/>
  <c r="AW18" s="1"/>
  <c r="BI15"/>
  <c r="BI18" s="1"/>
  <c r="H88"/>
  <c r="I88"/>
  <c r="BV35"/>
  <c r="BV39" s="1"/>
  <c r="BR41"/>
  <c r="BR63" s="1"/>
  <c r="F17"/>
  <c r="BK16"/>
  <c r="BK31"/>
  <c r="BK88"/>
  <c r="BK32"/>
  <c r="BP32" s="1"/>
  <c r="BK19"/>
  <c r="BK20"/>
  <c r="BK17"/>
  <c r="BK12"/>
  <c r="BO12" s="1"/>
  <c r="T68" i="45"/>
  <c r="X68" s="1"/>
  <c r="S68"/>
  <c r="W68" s="1"/>
  <c r="AB17"/>
  <c r="H47"/>
  <c r="BW43"/>
  <c r="BE14" i="46"/>
  <c r="BC14"/>
  <c r="AY31"/>
  <c r="AW60"/>
  <c r="AU51"/>
  <c r="AQ60"/>
  <c r="AQ14"/>
  <c r="AO14"/>
  <c r="AG14"/>
  <c r="AE60"/>
  <c r="AE14"/>
  <c r="AG41"/>
  <c r="AE31"/>
  <c r="Y14"/>
  <c r="T33" i="45"/>
  <c r="S33"/>
  <c r="H37"/>
  <c r="N37" s="1"/>
  <c r="H79"/>
  <c r="U37"/>
  <c r="Y37" s="1"/>
  <c r="U33"/>
  <c r="S37"/>
  <c r="W37" s="1"/>
  <c r="H40"/>
  <c r="V33"/>
  <c r="S34"/>
  <c r="W34" s="1"/>
  <c r="T34"/>
  <c r="X34" s="1"/>
  <c r="T41"/>
  <c r="X41" s="1"/>
  <c r="U41"/>
  <c r="Y41" s="1"/>
  <c r="H33"/>
  <c r="V41"/>
  <c r="Z41" s="1"/>
  <c r="H68"/>
  <c r="BQ68" s="1"/>
  <c r="BS68" s="1"/>
  <c r="BW68" s="1"/>
  <c r="T27"/>
  <c r="X27" s="1"/>
  <c r="H27"/>
  <c r="N27" s="1"/>
  <c r="V27"/>
  <c r="Z27" s="1"/>
  <c r="BO28"/>
  <c r="BS28" s="1"/>
  <c r="BW28" s="1"/>
  <c r="S38"/>
  <c r="W38" s="1"/>
  <c r="U38"/>
  <c r="Y38" s="1"/>
  <c r="T38"/>
  <c r="X38" s="1"/>
  <c r="H38"/>
  <c r="N38" s="1"/>
  <c r="V38"/>
  <c r="Z38" s="1"/>
  <c r="H36"/>
  <c r="U36"/>
  <c r="Y36" s="1"/>
  <c r="S36"/>
  <c r="W36" s="1"/>
  <c r="V36"/>
  <c r="Z36" s="1"/>
  <c r="S76"/>
  <c r="W76" s="1"/>
  <c r="H76"/>
  <c r="N76" s="1"/>
  <c r="T76"/>
  <c r="X76" s="1"/>
  <c r="U34"/>
  <c r="Y34" s="1"/>
  <c r="H46"/>
  <c r="T44"/>
  <c r="S46"/>
  <c r="T47"/>
  <c r="X47" s="1"/>
  <c r="T79"/>
  <c r="X79" s="1"/>
  <c r="S39"/>
  <c r="W39" s="1"/>
  <c r="U44"/>
  <c r="T46"/>
  <c r="H34"/>
  <c r="V46"/>
  <c r="U59"/>
  <c r="Y59" s="1"/>
  <c r="V25"/>
  <c r="Z25" s="1"/>
  <c r="H25"/>
  <c r="U25"/>
  <c r="Y25" s="1"/>
  <c r="T25"/>
  <c r="X25" s="1"/>
  <c r="S25"/>
  <c r="W25" s="1"/>
  <c r="T26"/>
  <c r="X26" s="1"/>
  <c r="V26"/>
  <c r="Z26" s="1"/>
  <c r="H26"/>
  <c r="N26" s="1"/>
  <c r="U26"/>
  <c r="Y26" s="1"/>
  <c r="S26"/>
  <c r="W26" s="1"/>
  <c r="BQ72"/>
  <c r="H48"/>
  <c r="M48" s="1"/>
  <c r="V48"/>
  <c r="Z48" s="1"/>
  <c r="U48"/>
  <c r="Y48" s="1"/>
  <c r="T65"/>
  <c r="S65"/>
  <c r="S24"/>
  <c r="W24" s="1"/>
  <c r="H24"/>
  <c r="N24" s="1"/>
  <c r="V55"/>
  <c r="Z55" s="1"/>
  <c r="H55"/>
  <c r="N55" s="1"/>
  <c r="U55"/>
  <c r="Y55" s="1"/>
  <c r="T55"/>
  <c r="X55" s="1"/>
  <c r="H56"/>
  <c r="N56" s="1"/>
  <c r="T56"/>
  <c r="X56" s="1"/>
  <c r="S56"/>
  <c r="W56" s="1"/>
  <c r="H57"/>
  <c r="N57" s="1"/>
  <c r="V57"/>
  <c r="Z57" s="1"/>
  <c r="U57"/>
  <c r="Y57" s="1"/>
  <c r="S58"/>
  <c r="W58" s="1"/>
  <c r="V58"/>
  <c r="Z58" s="1"/>
  <c r="U58"/>
  <c r="Y58" s="1"/>
  <c r="T58"/>
  <c r="X58" s="1"/>
  <c r="U24"/>
  <c r="Y24" s="1"/>
  <c r="U28"/>
  <c r="Y28" s="1"/>
  <c r="V28"/>
  <c r="Z28" s="1"/>
  <c r="T28"/>
  <c r="X28" s="1"/>
  <c r="S28"/>
  <c r="W28" s="1"/>
  <c r="S57"/>
  <c r="W57" s="1"/>
  <c r="T73"/>
  <c r="X73" s="1"/>
  <c r="H73"/>
  <c r="N73" s="1"/>
  <c r="S74"/>
  <c r="W74" s="1"/>
  <c r="H74"/>
  <c r="N74" s="1"/>
  <c r="U74"/>
  <c r="S75"/>
  <c r="W75" s="1"/>
  <c r="N75"/>
  <c r="U75"/>
  <c r="Y75" s="1"/>
  <c r="T75"/>
  <c r="X75" s="1"/>
  <c r="H65"/>
  <c r="T24"/>
  <c r="X24" s="1"/>
  <c r="T72"/>
  <c r="X72" s="1"/>
  <c r="S72"/>
  <c r="W72" s="1"/>
  <c r="V24"/>
  <c r="Z24" s="1"/>
  <c r="U27"/>
  <c r="Y27" s="1"/>
  <c r="S27"/>
  <c r="W27" s="1"/>
  <c r="T39"/>
  <c r="X39" s="1"/>
  <c r="H39"/>
  <c r="N39" s="1"/>
  <c r="V39"/>
  <c r="Z39" s="1"/>
  <c r="S48"/>
  <c r="W48" s="1"/>
  <c r="S55"/>
  <c r="U56"/>
  <c r="Y56" s="1"/>
  <c r="T57"/>
  <c r="X57" s="1"/>
  <c r="T59"/>
  <c r="X59" s="1"/>
  <c r="S59"/>
  <c r="W59" s="1"/>
  <c r="H59"/>
  <c r="N59" s="1"/>
  <c r="H58"/>
  <c r="N58" s="1"/>
  <c r="BW23"/>
  <c r="T29"/>
  <c r="X29" s="1"/>
  <c r="H29"/>
  <c r="N29" s="1"/>
  <c r="T48"/>
  <c r="X48" s="1"/>
  <c r="V56"/>
  <c r="Z56" s="1"/>
  <c r="U77"/>
  <c r="Y77" s="1"/>
  <c r="T77"/>
  <c r="X77" s="1"/>
  <c r="S77"/>
  <c r="W77" s="1"/>
  <c r="H77"/>
  <c r="S40"/>
  <c r="H44"/>
  <c r="S47"/>
  <c r="W47" s="1"/>
  <c r="T40"/>
  <c r="H41"/>
  <c r="S71"/>
  <c r="W71" s="1"/>
  <c r="T78"/>
  <c r="X78" s="1"/>
  <c r="U78"/>
  <c r="Y78" s="1"/>
  <c r="T36"/>
  <c r="X36" s="1"/>
  <c r="T37"/>
  <c r="V40"/>
  <c r="S44"/>
  <c r="U47"/>
  <c r="Y47" s="1"/>
  <c r="T71"/>
  <c r="X71" s="1"/>
  <c r="BQ71"/>
  <c r="BS71" s="1"/>
  <c r="BW71" s="1"/>
  <c r="H78"/>
  <c r="BK16" i="25"/>
  <c r="AU56" i="43" l="1"/>
  <c r="AI56"/>
  <c r="AC56"/>
  <c r="BI55" i="25"/>
  <c r="I71" i="24"/>
  <c r="H29"/>
  <c r="H74"/>
  <c r="I56"/>
  <c r="I38"/>
  <c r="AU41" i="47"/>
  <c r="Z10" i="39" s="1"/>
  <c r="BK77" i="24"/>
  <c r="BT52"/>
  <c r="BS52"/>
  <c r="I73"/>
  <c r="H85"/>
  <c r="H23"/>
  <c r="I23"/>
  <c r="BI63" i="46"/>
  <c r="BM62"/>
  <c r="BJ31" i="41"/>
  <c r="BN30"/>
  <c r="BN31" s="1"/>
  <c r="BN32" s="1"/>
  <c r="AO56" i="43"/>
  <c r="T17" i="39" s="1"/>
  <c r="BG56" i="43"/>
  <c r="U24"/>
  <c r="H31"/>
  <c r="BP31"/>
  <c r="BL27" i="26"/>
  <c r="L24" i="42"/>
  <c r="L25" s="1"/>
  <c r="BO24"/>
  <c r="BS24" s="1"/>
  <c r="Y20" i="26"/>
  <c r="U22"/>
  <c r="U35" s="1"/>
  <c r="BL18"/>
  <c r="BL22"/>
  <c r="BK24" i="24"/>
  <c r="BP13"/>
  <c r="BR13" s="1"/>
  <c r="BV13" s="1"/>
  <c r="H45"/>
  <c r="BR17" i="47"/>
  <c r="BM51" i="46"/>
  <c r="BP43"/>
  <c r="BK40" i="47"/>
  <c r="BO39"/>
  <c r="BR39" s="1"/>
  <c r="BV39" s="1"/>
  <c r="H40" i="24"/>
  <c r="I66"/>
  <c r="BG41" i="47"/>
  <c r="AL10" i="39" s="1"/>
  <c r="BM14" i="46"/>
  <c r="BP19"/>
  <c r="BP24" s="1"/>
  <c r="BM24"/>
  <c r="AY56" i="43"/>
  <c r="BL35" i="42"/>
  <c r="BQ33"/>
  <c r="BQ35" s="1"/>
  <c r="J39"/>
  <c r="J41" s="1"/>
  <c r="Q39"/>
  <c r="Q41" s="1"/>
  <c r="BK47" i="24"/>
  <c r="BP36"/>
  <c r="BP26" i="46"/>
  <c r="BM31"/>
  <c r="AA56" i="43"/>
  <c r="F17" i="39" s="1"/>
  <c r="BC56" i="43"/>
  <c r="AH17" i="39" s="1"/>
  <c r="S24" i="43"/>
  <c r="AK56"/>
  <c r="P17" i="39" s="1"/>
  <c r="BE56" i="43"/>
  <c r="T24"/>
  <c r="M14" i="44"/>
  <c r="M15" s="1"/>
  <c r="M18" s="1"/>
  <c r="BP14"/>
  <c r="Z24" i="42"/>
  <c r="L30"/>
  <c r="L31" s="1"/>
  <c r="BO30"/>
  <c r="BS30" s="1"/>
  <c r="BW30" s="1"/>
  <c r="H10" i="47"/>
  <c r="I10"/>
  <c r="AB35" i="26"/>
  <c r="F28" i="39" s="1"/>
  <c r="L17"/>
  <c r="AJ17"/>
  <c r="BK15" i="43"/>
  <c r="BK24"/>
  <c r="Z17" i="39"/>
  <c r="BO13" i="42"/>
  <c r="BO14" s="1"/>
  <c r="BL14"/>
  <c r="G24" i="43"/>
  <c r="P21"/>
  <c r="P24" s="1"/>
  <c r="BJ25" i="41"/>
  <c r="BI60" i="46"/>
  <c r="BP33" i="44"/>
  <c r="BP87" s="1"/>
  <c r="BR32"/>
  <c r="BS72" i="45"/>
  <c r="BW72" s="1"/>
  <c r="AC55" i="25"/>
  <c r="I12"/>
  <c r="H12"/>
  <c r="BN12"/>
  <c r="G15"/>
  <c r="G55" s="1"/>
  <c r="BA55"/>
  <c r="AF27" i="39" s="1"/>
  <c r="AE55" i="25"/>
  <c r="J27" i="39" s="1"/>
  <c r="BC55" i="25"/>
  <c r="AH27" i="39" s="1"/>
  <c r="BE55" i="25"/>
  <c r="AG55"/>
  <c r="L27" i="39" s="1"/>
  <c r="BG55" i="25"/>
  <c r="AL27" i="39" s="1"/>
  <c r="AQ55" i="25"/>
  <c r="V27" i="39" s="1"/>
  <c r="AI55" i="25"/>
  <c r="N27" i="39" s="1"/>
  <c r="AA55" i="25"/>
  <c r="F27" i="39" s="1"/>
  <c r="AM55" i="25"/>
  <c r="AS55"/>
  <c r="X27" i="39" s="1"/>
  <c r="AP28"/>
  <c r="BK33" i="43"/>
  <c r="W26"/>
  <c r="S33"/>
  <c r="X26"/>
  <c r="T33"/>
  <c r="H26"/>
  <c r="G33"/>
  <c r="Y26"/>
  <c r="U33"/>
  <c r="V26"/>
  <c r="R33"/>
  <c r="BL35" i="26"/>
  <c r="H14" i="43"/>
  <c r="BO14"/>
  <c r="G15"/>
  <c r="W14"/>
  <c r="S15"/>
  <c r="X14"/>
  <c r="X15" s="1"/>
  <c r="T15"/>
  <c r="Y14"/>
  <c r="Y15" s="1"/>
  <c r="U15"/>
  <c r="V14"/>
  <c r="R15"/>
  <c r="I79" i="45"/>
  <c r="J79"/>
  <c r="I77"/>
  <c r="J77"/>
  <c r="J78"/>
  <c r="I78"/>
  <c r="Y24" i="42"/>
  <c r="J38"/>
  <c r="W24"/>
  <c r="BJ42"/>
  <c r="AN21" i="39" s="1"/>
  <c r="U63" i="45"/>
  <c r="BL63"/>
  <c r="AM41" i="47"/>
  <c r="R10" i="39" s="1"/>
  <c r="BK15" i="25"/>
  <c r="AO41" i="47"/>
  <c r="T10" i="39" s="1"/>
  <c r="AQ41" i="47"/>
  <c r="V10" i="39" s="1"/>
  <c r="AS41" i="47"/>
  <c r="X10" i="39" s="1"/>
  <c r="AW41" i="47"/>
  <c r="AB10" i="39" s="1"/>
  <c r="AL32" i="41"/>
  <c r="R22" i="39" s="1"/>
  <c r="BH42" i="42"/>
  <c r="AL21" i="39" s="1"/>
  <c r="BA89" i="44"/>
  <c r="AF16" i="39" s="1"/>
  <c r="W17" i="42"/>
  <c r="BF42"/>
  <c r="AJ21" i="39" s="1"/>
  <c r="X38" i="42"/>
  <c r="Y38"/>
  <c r="Z38"/>
  <c r="W38"/>
  <c r="H11"/>
  <c r="U11"/>
  <c r="T11"/>
  <c r="S11"/>
  <c r="V11"/>
  <c r="P31" i="43"/>
  <c r="I14"/>
  <c r="I13"/>
  <c r="BE89" i="44"/>
  <c r="AJ16" i="39" s="1"/>
  <c r="Z46" i="45"/>
  <c r="V63"/>
  <c r="X46"/>
  <c r="T63"/>
  <c r="W46"/>
  <c r="S63"/>
  <c r="BO46"/>
  <c r="BS46" s="1"/>
  <c r="BW46" s="1"/>
  <c r="M46"/>
  <c r="M63" s="1"/>
  <c r="M84" s="1"/>
  <c r="M85" s="1"/>
  <c r="I15" i="20" s="1"/>
  <c r="H63" i="45"/>
  <c r="BD32" i="41"/>
  <c r="AF32"/>
  <c r="L22" i="39" s="1"/>
  <c r="AA27" i="47"/>
  <c r="BI41"/>
  <c r="AN10" i="39" s="1"/>
  <c r="T26" i="47"/>
  <c r="X26" s="1"/>
  <c r="S26"/>
  <c r="W26" s="1"/>
  <c r="R26"/>
  <c r="V26" s="1"/>
  <c r="U26"/>
  <c r="Y26" s="1"/>
  <c r="G26"/>
  <c r="BK12"/>
  <c r="BO12" s="1"/>
  <c r="U29"/>
  <c r="S29"/>
  <c r="T29"/>
  <c r="R29"/>
  <c r="BC41"/>
  <c r="AH10" i="39" s="1"/>
  <c r="T32" i="47"/>
  <c r="X32" s="1"/>
  <c r="S32"/>
  <c r="W32" s="1"/>
  <c r="R32"/>
  <c r="V32" s="1"/>
  <c r="U32"/>
  <c r="Y32" s="1"/>
  <c r="G32"/>
  <c r="BE41"/>
  <c r="AJ10" i="39" s="1"/>
  <c r="BJ27" i="47"/>
  <c r="F24"/>
  <c r="T25"/>
  <c r="X25" s="1"/>
  <c r="S25"/>
  <c r="W25" s="1"/>
  <c r="R25"/>
  <c r="V25" s="1"/>
  <c r="U25"/>
  <c r="Y25" s="1"/>
  <c r="G25"/>
  <c r="U13"/>
  <c r="Y13" s="1"/>
  <c r="S13"/>
  <c r="W13" s="1"/>
  <c r="R13"/>
  <c r="V13" s="1"/>
  <c r="T13"/>
  <c r="X13" s="1"/>
  <c r="G13"/>
  <c r="U12"/>
  <c r="T12"/>
  <c r="S12"/>
  <c r="R12"/>
  <c r="G12"/>
  <c r="Y39" i="42"/>
  <c r="Z17"/>
  <c r="Y30"/>
  <c r="I41"/>
  <c r="Z12"/>
  <c r="S13"/>
  <c r="V13"/>
  <c r="V14" s="1"/>
  <c r="U13"/>
  <c r="U14" s="1"/>
  <c r="T13"/>
  <c r="T14" s="1"/>
  <c r="V16"/>
  <c r="T16"/>
  <c r="S16"/>
  <c r="U16"/>
  <c r="W39"/>
  <c r="W30"/>
  <c r="W12"/>
  <c r="Y12"/>
  <c r="G41"/>
  <c r="T37"/>
  <c r="S37"/>
  <c r="V37"/>
  <c r="U37"/>
  <c r="Z39"/>
  <c r="X17"/>
  <c r="X30"/>
  <c r="X12"/>
  <c r="S27"/>
  <c r="V27"/>
  <c r="U27"/>
  <c r="T27"/>
  <c r="X39"/>
  <c r="X24"/>
  <c r="Y17"/>
  <c r="Z30"/>
  <c r="AY89" i="44"/>
  <c r="AD16" i="39" s="1"/>
  <c r="BI89" i="44"/>
  <c r="AN16" i="39" s="1"/>
  <c r="BG89" i="44"/>
  <c r="AL16" i="39" s="1"/>
  <c r="I31" i="44"/>
  <c r="AR84" i="45"/>
  <c r="AR85" s="1"/>
  <c r="V15" i="39" s="1"/>
  <c r="S15" i="44"/>
  <c r="S18" s="1"/>
  <c r="W14"/>
  <c r="W15" s="1"/>
  <c r="W18" s="1"/>
  <c r="R32"/>
  <c r="T32"/>
  <c r="S32"/>
  <c r="W32" s="1"/>
  <c r="U32"/>
  <c r="R13"/>
  <c r="T13"/>
  <c r="Y14"/>
  <c r="Y15" s="1"/>
  <c r="Y18" s="1"/>
  <c r="U15"/>
  <c r="U18" s="1"/>
  <c r="W12" i="43"/>
  <c r="T17"/>
  <c r="T19" s="1"/>
  <c r="S17"/>
  <c r="S19" s="1"/>
  <c r="U17"/>
  <c r="U19" s="1"/>
  <c r="R17"/>
  <c r="R19" s="1"/>
  <c r="Y12"/>
  <c r="V21"/>
  <c r="V24" s="1"/>
  <c r="W21"/>
  <c r="W24" s="1"/>
  <c r="I23"/>
  <c r="X12"/>
  <c r="X21"/>
  <c r="X24" s="1"/>
  <c r="V12"/>
  <c r="Y21"/>
  <c r="Y24" s="1"/>
  <c r="AZ32" i="41"/>
  <c r="AF22" i="39" s="1"/>
  <c r="AH32" i="41"/>
  <c r="N22" i="39" s="1"/>
  <c r="O12" i="41"/>
  <c r="G12"/>
  <c r="BF32"/>
  <c r="AL22" i="39" s="1"/>
  <c r="AN32" i="41"/>
  <c r="T22" i="39" s="1"/>
  <c r="BH32" i="41"/>
  <c r="AN22" i="39" s="1"/>
  <c r="AX32" i="41"/>
  <c r="AD22" i="39" s="1"/>
  <c r="AD32" i="41"/>
  <c r="J22" i="39" s="1"/>
  <c r="AJ32" i="41"/>
  <c r="P22" i="39" s="1"/>
  <c r="AR32" i="41"/>
  <c r="X22" i="39" s="1"/>
  <c r="AT32" i="41"/>
  <c r="Z22" i="39" s="1"/>
  <c r="BI32" i="41"/>
  <c r="AO22" i="39" s="1"/>
  <c r="Z32" i="41"/>
  <c r="F22" i="39" s="1"/>
  <c r="BB32" i="41"/>
  <c r="AH22" i="39" s="1"/>
  <c r="AV32" i="41"/>
  <c r="AB22" i="39" s="1"/>
  <c r="AP32" i="41"/>
  <c r="V22" i="39" s="1"/>
  <c r="BL41" i="42"/>
  <c r="H44"/>
  <c r="G30" i="41"/>
  <c r="G31" s="1"/>
  <c r="F31"/>
  <c r="S30"/>
  <c r="R30"/>
  <c r="Q30"/>
  <c r="E31"/>
  <c r="T30"/>
  <c r="I39" i="43"/>
  <c r="I38"/>
  <c r="P37"/>
  <c r="P40" s="1"/>
  <c r="H36"/>
  <c r="BK40"/>
  <c r="V36"/>
  <c r="V40" s="1"/>
  <c r="R40"/>
  <c r="T40"/>
  <c r="T56" s="1"/>
  <c r="X36"/>
  <c r="X40" s="1"/>
  <c r="Y36"/>
  <c r="Y40" s="1"/>
  <c r="U40"/>
  <c r="I36"/>
  <c r="S40"/>
  <c r="W36"/>
  <c r="W40" s="1"/>
  <c r="X32"/>
  <c r="Y32"/>
  <c r="V32"/>
  <c r="W32"/>
  <c r="W31" i="44"/>
  <c r="G32"/>
  <c r="BL31" i="42"/>
  <c r="AH84" i="45"/>
  <c r="AH85" s="1"/>
  <c r="L15" i="39" s="1"/>
  <c r="AJ84" i="45"/>
  <c r="AJ85" s="1"/>
  <c r="N15" i="39" s="1"/>
  <c r="AD84" i="45"/>
  <c r="AD85" s="1"/>
  <c r="H15" i="39" s="1"/>
  <c r="AL84" i="45"/>
  <c r="AL85" s="1"/>
  <c r="P15" i="39" s="1"/>
  <c r="BJ84" i="45"/>
  <c r="BJ85" s="1"/>
  <c r="AN15" i="39" s="1"/>
  <c r="BB84" i="45"/>
  <c r="BB85" s="1"/>
  <c r="AF15" i="39" s="1"/>
  <c r="AF18" s="1"/>
  <c r="AB84" i="45"/>
  <c r="BH84"/>
  <c r="BH85" s="1"/>
  <c r="AL15" i="39" s="1"/>
  <c r="BL35" i="45"/>
  <c r="J17" i="39"/>
  <c r="AN17"/>
  <c r="I26" i="43"/>
  <c r="P26"/>
  <c r="AL17" i="39"/>
  <c r="AB17"/>
  <c r="AO17"/>
  <c r="N17"/>
  <c r="G17" i="43"/>
  <c r="I21"/>
  <c r="AD17" i="39"/>
  <c r="H17"/>
  <c r="H12" i="43"/>
  <c r="I12"/>
  <c r="BL15" i="45"/>
  <c r="BL83"/>
  <c r="BL17"/>
  <c r="V31"/>
  <c r="AN84"/>
  <c r="AN85" s="1"/>
  <c r="R15" i="39" s="1"/>
  <c r="BF84" i="45"/>
  <c r="BF85" s="1"/>
  <c r="AJ15" i="39" s="1"/>
  <c r="G84" i="45"/>
  <c r="AT84"/>
  <c r="AT85" s="1"/>
  <c r="X15" i="39" s="1"/>
  <c r="AF84" i="45"/>
  <c r="AF85" s="1"/>
  <c r="J15" i="39" s="1"/>
  <c r="BD84" i="45"/>
  <c r="BD85" s="1"/>
  <c r="AH15" i="39" s="1"/>
  <c r="AX84" i="45"/>
  <c r="AX85" s="1"/>
  <c r="AB15" i="39" s="1"/>
  <c r="BO37" i="45"/>
  <c r="AV84"/>
  <c r="AV85" s="1"/>
  <c r="Z15" i="39" s="1"/>
  <c r="BL31" i="45"/>
  <c r="AP84"/>
  <c r="AP85" s="1"/>
  <c r="T15" i="39" s="1"/>
  <c r="AZ84" i="45"/>
  <c r="AZ85" s="1"/>
  <c r="AD15" i="39" s="1"/>
  <c r="AJ22"/>
  <c r="H22"/>
  <c r="G13" i="41"/>
  <c r="O13"/>
  <c r="F24"/>
  <c r="F25" s="1"/>
  <c r="BJ16"/>
  <c r="F15"/>
  <c r="R15"/>
  <c r="T15"/>
  <c r="S15"/>
  <c r="Q15"/>
  <c r="H16" i="42"/>
  <c r="O16" s="1"/>
  <c r="O18" s="1"/>
  <c r="G18"/>
  <c r="BL18"/>
  <c r="H37"/>
  <c r="H27"/>
  <c r="G31"/>
  <c r="H13"/>
  <c r="P32" i="43"/>
  <c r="I32"/>
  <c r="H32"/>
  <c r="X40" i="45"/>
  <c r="T42"/>
  <c r="N40"/>
  <c r="H42"/>
  <c r="W40"/>
  <c r="W42" s="1"/>
  <c r="S42"/>
  <c r="Z40"/>
  <c r="Z42" s="1"/>
  <c r="V42"/>
  <c r="Y40"/>
  <c r="Y42" s="1"/>
  <c r="U42"/>
  <c r="BI31" i="46"/>
  <c r="BI41"/>
  <c r="AN27" i="39"/>
  <c r="AJ27"/>
  <c r="AJ29" s="1"/>
  <c r="R27"/>
  <c r="H27"/>
  <c r="BI87" i="24"/>
  <c r="AN26" i="39" s="1"/>
  <c r="I44" i="24"/>
  <c r="I70"/>
  <c r="I41"/>
  <c r="H41"/>
  <c r="BK87"/>
  <c r="S52"/>
  <c r="W52" s="1"/>
  <c r="R52"/>
  <c r="V52" s="1"/>
  <c r="U52"/>
  <c r="Y52" s="1"/>
  <c r="T52"/>
  <c r="X52" s="1"/>
  <c r="H14"/>
  <c r="I14"/>
  <c r="H31"/>
  <c r="I31"/>
  <c r="H19"/>
  <c r="I19"/>
  <c r="S79"/>
  <c r="U79"/>
  <c r="T79"/>
  <c r="R79"/>
  <c r="I81"/>
  <c r="H20"/>
  <c r="I20"/>
  <c r="H15"/>
  <c r="I15"/>
  <c r="I37"/>
  <c r="X34"/>
  <c r="H22"/>
  <c r="I22"/>
  <c r="U12"/>
  <c r="T12"/>
  <c r="S12"/>
  <c r="R12"/>
  <c r="F24"/>
  <c r="G12"/>
  <c r="H16"/>
  <c r="I16"/>
  <c r="I60"/>
  <c r="H21"/>
  <c r="I21"/>
  <c r="H17"/>
  <c r="I17"/>
  <c r="H13"/>
  <c r="I13"/>
  <c r="W27"/>
  <c r="W32" s="1"/>
  <c r="S32"/>
  <c r="BJ87"/>
  <c r="AO26" i="39" s="1"/>
  <c r="AO29" s="1"/>
  <c r="I18" i="24"/>
  <c r="H18"/>
  <c r="G29" i="47"/>
  <c r="X67" i="24"/>
  <c r="W67"/>
  <c r="V67"/>
  <c r="Y67"/>
  <c r="Y77" s="1"/>
  <c r="BI51" i="46"/>
  <c r="BG64"/>
  <c r="AN11" i="39" s="1"/>
  <c r="BI24" i="46"/>
  <c r="BI14"/>
  <c r="BK29" i="47"/>
  <c r="BO29" s="1"/>
  <c r="U83" i="45"/>
  <c r="N65"/>
  <c r="H83"/>
  <c r="S83"/>
  <c r="T83"/>
  <c r="Y44"/>
  <c r="Y63" s="1"/>
  <c r="X44"/>
  <c r="N44"/>
  <c r="Z44"/>
  <c r="W33"/>
  <c r="W35" s="1"/>
  <c r="S35"/>
  <c r="N33"/>
  <c r="H35"/>
  <c r="X33"/>
  <c r="X35" s="1"/>
  <c r="T35"/>
  <c r="Z33"/>
  <c r="Z35" s="1"/>
  <c r="V35"/>
  <c r="Y33"/>
  <c r="Y35" s="1"/>
  <c r="U35"/>
  <c r="S31"/>
  <c r="N31"/>
  <c r="H31"/>
  <c r="T31"/>
  <c r="U31"/>
  <c r="BK32" i="47"/>
  <c r="BO32" s="1"/>
  <c r="BR32" s="1"/>
  <c r="BV32" s="1"/>
  <c r="BK24"/>
  <c r="Z35"/>
  <c r="BJ31"/>
  <c r="F31" s="1"/>
  <c r="AA31"/>
  <c r="BK31" s="1"/>
  <c r="BO31" s="1"/>
  <c r="BR31" s="1"/>
  <c r="BV31" s="1"/>
  <c r="AA13"/>
  <c r="BK13" s="1"/>
  <c r="BO13" s="1"/>
  <c r="Z14"/>
  <c r="AA14" s="1"/>
  <c r="F77" i="24"/>
  <c r="G52"/>
  <c r="G79"/>
  <c r="F86"/>
  <c r="G34"/>
  <c r="F47"/>
  <c r="G27"/>
  <c r="F32"/>
  <c r="BK54" i="25"/>
  <c r="BK47"/>
  <c r="BK29"/>
  <c r="BK15" i="44"/>
  <c r="BK18" s="1"/>
  <c r="G17"/>
  <c r="G13"/>
  <c r="F15"/>
  <c r="F18" s="1"/>
  <c r="BV41"/>
  <c r="BV63" s="1"/>
  <c r="BO40" i="45"/>
  <c r="BS40" s="1"/>
  <c r="BW40" s="1"/>
  <c r="BO41"/>
  <c r="BS41" s="1"/>
  <c r="BW41" s="1"/>
  <c r="N41"/>
  <c r="BO34"/>
  <c r="BS34" s="1"/>
  <c r="BW34" s="1"/>
  <c r="N34"/>
  <c r="BQ79"/>
  <c r="BS79" s="1"/>
  <c r="BW79" s="1"/>
  <c r="R83"/>
  <c r="R84" s="1"/>
  <c r="R85" s="1"/>
  <c r="N15" i="20" s="1"/>
  <c r="BO47" i="45"/>
  <c r="BS47" s="1"/>
  <c r="BW47" s="1"/>
  <c r="N47"/>
  <c r="N68"/>
  <c r="Q25"/>
  <c r="Q31" s="1"/>
  <c r="Q84" s="1"/>
  <c r="Q85" s="1"/>
  <c r="M15" i="20" s="1"/>
  <c r="J25" i="45"/>
  <c r="I25"/>
  <c r="AB18"/>
  <c r="BL18" s="1"/>
  <c r="BO33"/>
  <c r="BQ76"/>
  <c r="BS76" s="1"/>
  <c r="BW76" s="1"/>
  <c r="BO38"/>
  <c r="BS38" s="1"/>
  <c r="BW38" s="1"/>
  <c r="BO27"/>
  <c r="BS27" s="1"/>
  <c r="BW27" s="1"/>
  <c r="BQ77"/>
  <c r="BS77" s="1"/>
  <c r="BW77" s="1"/>
  <c r="BQ29"/>
  <c r="BQ31" s="1"/>
  <c r="Y74"/>
  <c r="Y83" s="1"/>
  <c r="X65"/>
  <c r="X83" s="1"/>
  <c r="BO25"/>
  <c r="BS25" s="1"/>
  <c r="BW25" s="1"/>
  <c r="BO39"/>
  <c r="BS39" s="1"/>
  <c r="BW39" s="1"/>
  <c r="X31"/>
  <c r="BQ74"/>
  <c r="BS74" s="1"/>
  <c r="BW74" s="1"/>
  <c r="BQ78"/>
  <c r="BS78" s="1"/>
  <c r="BW78" s="1"/>
  <c r="BO58"/>
  <c r="BS58" s="1"/>
  <c r="BW58" s="1"/>
  <c r="BO59"/>
  <c r="BS59" s="1"/>
  <c r="BW59" s="1"/>
  <c r="BQ65"/>
  <c r="Y31"/>
  <c r="BO57"/>
  <c r="BS57" s="1"/>
  <c r="BW57" s="1"/>
  <c r="BO55"/>
  <c r="W44"/>
  <c r="BO26"/>
  <c r="BS26" s="1"/>
  <c r="BW26" s="1"/>
  <c r="Z31"/>
  <c r="BQ73"/>
  <c r="BS73" s="1"/>
  <c r="BW73" s="1"/>
  <c r="BO24"/>
  <c r="BS24" s="1"/>
  <c r="BW24" s="1"/>
  <c r="BO48"/>
  <c r="BS48" s="1"/>
  <c r="BW48" s="1"/>
  <c r="BQ75"/>
  <c r="BS75" s="1"/>
  <c r="BW75" s="1"/>
  <c r="X37"/>
  <c r="BO44"/>
  <c r="W31"/>
  <c r="BO56"/>
  <c r="BS56" s="1"/>
  <c r="BW56" s="1"/>
  <c r="W65"/>
  <c r="W83" s="1"/>
  <c r="R56" i="43" l="1"/>
  <c r="BK56"/>
  <c r="AP17" i="39" s="1"/>
  <c r="U56" i="43"/>
  <c r="BO40" i="47"/>
  <c r="R77" i="24"/>
  <c r="H15" i="43"/>
  <c r="S77" i="24"/>
  <c r="BR12" i="47"/>
  <c r="S56" i="43"/>
  <c r="S14" i="42"/>
  <c r="V15" i="43"/>
  <c r="W15"/>
  <c r="I24"/>
  <c r="I15"/>
  <c r="BK27" i="47"/>
  <c r="BP24"/>
  <c r="BP27" s="1"/>
  <c r="P17" i="43"/>
  <c r="P19" s="1"/>
  <c r="G19"/>
  <c r="BT43" i="46"/>
  <c r="BM63"/>
  <c r="Q13" i="42"/>
  <c r="Q14" s="1"/>
  <c r="H14"/>
  <c r="BV32" i="44"/>
  <c r="O15" i="41"/>
  <c r="G15"/>
  <c r="H15"/>
  <c r="BO35" i="45"/>
  <c r="I83"/>
  <c r="BO63"/>
  <c r="BQ83"/>
  <c r="BQ84" s="1"/>
  <c r="BS55"/>
  <c r="BW55" s="1"/>
  <c r="BN15" i="25"/>
  <c r="BR12"/>
  <c r="BK55"/>
  <c r="AL29" i="39"/>
  <c r="AP27"/>
  <c r="H33" i="43"/>
  <c r="V33"/>
  <c r="V56" s="1"/>
  <c r="X33"/>
  <c r="X56" s="1"/>
  <c r="P33"/>
  <c r="P56" s="1"/>
  <c r="Y33"/>
  <c r="Y56" s="1"/>
  <c r="W33"/>
  <c r="W56" s="1"/>
  <c r="I33"/>
  <c r="BO31" i="45"/>
  <c r="BS37"/>
  <c r="BS42" s="1"/>
  <c r="BO42"/>
  <c r="X63"/>
  <c r="Z63"/>
  <c r="Z84" s="1"/>
  <c r="Z85" s="1"/>
  <c r="J83"/>
  <c r="W63"/>
  <c r="N63"/>
  <c r="AN29" i="39"/>
  <c r="AN12"/>
  <c r="W11" i="42"/>
  <c r="X11"/>
  <c r="Y11"/>
  <c r="Z11"/>
  <c r="M11"/>
  <c r="M14" s="1"/>
  <c r="I25" i="47"/>
  <c r="H25"/>
  <c r="T24"/>
  <c r="S24"/>
  <c r="R24"/>
  <c r="U24"/>
  <c r="G24"/>
  <c r="F27"/>
  <c r="X29"/>
  <c r="Y29"/>
  <c r="Z15"/>
  <c r="AA15"/>
  <c r="I32"/>
  <c r="H32"/>
  <c r="T31"/>
  <c r="X31" s="1"/>
  <c r="S31"/>
  <c r="W31" s="1"/>
  <c r="R31"/>
  <c r="V31" s="1"/>
  <c r="U31"/>
  <c r="Y31" s="1"/>
  <c r="G31"/>
  <c r="W29"/>
  <c r="V29"/>
  <c r="I26"/>
  <c r="H26"/>
  <c r="I13"/>
  <c r="H13"/>
  <c r="I12"/>
  <c r="H12"/>
  <c r="V12"/>
  <c r="W12"/>
  <c r="X12"/>
  <c r="Y12"/>
  <c r="X27" i="42"/>
  <c r="X31" s="1"/>
  <c r="T31"/>
  <c r="W37"/>
  <c r="W41" s="1"/>
  <c r="S41"/>
  <c r="X16"/>
  <c r="X18" s="1"/>
  <c r="T18"/>
  <c r="X37"/>
  <c r="X41" s="1"/>
  <c r="T41"/>
  <c r="Z27"/>
  <c r="Z31" s="1"/>
  <c r="V31"/>
  <c r="X13"/>
  <c r="X14" s="1"/>
  <c r="W27"/>
  <c r="W31" s="1"/>
  <c r="S31"/>
  <c r="Y13"/>
  <c r="Y37"/>
  <c r="Y41" s="1"/>
  <c r="U41"/>
  <c r="Y16"/>
  <c r="Y18" s="1"/>
  <c r="U18"/>
  <c r="Z13"/>
  <c r="Z14" s="1"/>
  <c r="Y27"/>
  <c r="Y31" s="1"/>
  <c r="U31"/>
  <c r="Z16"/>
  <c r="Z18" s="1"/>
  <c r="V18"/>
  <c r="Z37"/>
  <c r="Z41" s="1"/>
  <c r="V41"/>
  <c r="W16"/>
  <c r="W18" s="1"/>
  <c r="S18"/>
  <c r="W13"/>
  <c r="AL18" i="39"/>
  <c r="X32" i="44"/>
  <c r="X33" s="1"/>
  <c r="T33"/>
  <c r="V32"/>
  <c r="V33" s="1"/>
  <c r="R33"/>
  <c r="X13"/>
  <c r="X15" s="1"/>
  <c r="X18" s="1"/>
  <c r="T15"/>
  <c r="T18" s="1"/>
  <c r="V13"/>
  <c r="V15" s="1"/>
  <c r="V18" s="1"/>
  <c r="R15"/>
  <c r="R18" s="1"/>
  <c r="Y32"/>
  <c r="Y33" s="1"/>
  <c r="U33"/>
  <c r="W17" i="43"/>
  <c r="W19" s="1"/>
  <c r="X17"/>
  <c r="X19" s="1"/>
  <c r="Y17"/>
  <c r="Y19" s="1"/>
  <c r="V17"/>
  <c r="V19" s="1"/>
  <c r="BJ32" i="41"/>
  <c r="AP22" i="39" s="1"/>
  <c r="E32" i="41"/>
  <c r="H41" i="42"/>
  <c r="K37"/>
  <c r="U30" i="41"/>
  <c r="U31" s="1"/>
  <c r="Q31"/>
  <c r="X30"/>
  <c r="X31" s="1"/>
  <c r="T31"/>
  <c r="V30"/>
  <c r="V31" s="1"/>
  <c r="R31"/>
  <c r="S31"/>
  <c r="W30"/>
  <c r="W31" s="1"/>
  <c r="AN23" i="39"/>
  <c r="AJ23"/>
  <c r="I32" i="44"/>
  <c r="H32"/>
  <c r="P32"/>
  <c r="P33" s="1"/>
  <c r="AN18" i="39"/>
  <c r="AJ18"/>
  <c r="AD18"/>
  <c r="I17" i="43"/>
  <c r="I19" s="1"/>
  <c r="I31" i="45"/>
  <c r="I84" s="1"/>
  <c r="V84"/>
  <c r="V85" s="1"/>
  <c r="N35"/>
  <c r="X42"/>
  <c r="J31"/>
  <c r="N42"/>
  <c r="BL84"/>
  <c r="AL23" i="39"/>
  <c r="F16" i="41"/>
  <c r="T16"/>
  <c r="X15"/>
  <c r="X16" s="1"/>
  <c r="O24"/>
  <c r="O25" s="1"/>
  <c r="G24"/>
  <c r="G25" s="1"/>
  <c r="Q16"/>
  <c r="U15"/>
  <c r="U16" s="1"/>
  <c r="R16"/>
  <c r="V15"/>
  <c r="V16" s="1"/>
  <c r="S16"/>
  <c r="W15"/>
  <c r="W16" s="1"/>
  <c r="R18" i="42"/>
  <c r="H18"/>
  <c r="H31"/>
  <c r="M27"/>
  <c r="M31" s="1"/>
  <c r="J13"/>
  <c r="J14" s="1"/>
  <c r="W77" i="24"/>
  <c r="V77"/>
  <c r="J41"/>
  <c r="F87"/>
  <c r="X77"/>
  <c r="W12"/>
  <c r="W24" s="1"/>
  <c r="S24"/>
  <c r="Y12"/>
  <c r="Y24" s="1"/>
  <c r="U24"/>
  <c r="X79"/>
  <c r="X86" s="1"/>
  <c r="T86"/>
  <c r="G24"/>
  <c r="I12"/>
  <c r="I24" s="1"/>
  <c r="H12"/>
  <c r="H24" s="1"/>
  <c r="Y79"/>
  <c r="Y86" s="1"/>
  <c r="U86"/>
  <c r="X12"/>
  <c r="X24" s="1"/>
  <c r="T24"/>
  <c r="V79"/>
  <c r="V86" s="1"/>
  <c r="R86"/>
  <c r="W79"/>
  <c r="W86" s="1"/>
  <c r="S86"/>
  <c r="U77"/>
  <c r="T77"/>
  <c r="V12"/>
  <c r="V24" s="1"/>
  <c r="R24"/>
  <c r="I29" i="47"/>
  <c r="H29"/>
  <c r="N83" i="45"/>
  <c r="T84"/>
  <c r="T85" s="1"/>
  <c r="W84"/>
  <c r="W85" s="1"/>
  <c r="U84"/>
  <c r="U85" s="1"/>
  <c r="Y84"/>
  <c r="Y85" s="1"/>
  <c r="H84"/>
  <c r="S84"/>
  <c r="S85" s="1"/>
  <c r="H18"/>
  <c r="G21"/>
  <c r="G85" s="1"/>
  <c r="BJ33" i="47"/>
  <c r="BK14"/>
  <c r="BJ14"/>
  <c r="G47" i="24"/>
  <c r="I34"/>
  <c r="I47" s="1"/>
  <c r="H34"/>
  <c r="H47" s="1"/>
  <c r="G86"/>
  <c r="I79"/>
  <c r="I86" s="1"/>
  <c r="H79"/>
  <c r="H86" s="1"/>
  <c r="G32"/>
  <c r="I27"/>
  <c r="I32" s="1"/>
  <c r="H27"/>
  <c r="H32" s="1"/>
  <c r="G77"/>
  <c r="I52"/>
  <c r="I77" s="1"/>
  <c r="H52"/>
  <c r="H77" s="1"/>
  <c r="G35" i="43"/>
  <c r="G40" s="1"/>
  <c r="F40"/>
  <c r="F56" s="1"/>
  <c r="H13" i="44"/>
  <c r="I13"/>
  <c r="I15" s="1"/>
  <c r="G15"/>
  <c r="G18" s="1"/>
  <c r="I17"/>
  <c r="P17"/>
  <c r="P18" s="1"/>
  <c r="BS33" i="45"/>
  <c r="AB19"/>
  <c r="BL19" s="1"/>
  <c r="BS44"/>
  <c r="BS29"/>
  <c r="BW29" s="1"/>
  <c r="BS65"/>
  <c r="BS83" s="1"/>
  <c r="BK15" i="47" l="1"/>
  <c r="BO14"/>
  <c r="Y14" i="42"/>
  <c r="BW37" i="45"/>
  <c r="BW42" s="1"/>
  <c r="G56" i="43"/>
  <c r="W14" i="42"/>
  <c r="BS63" i="45"/>
  <c r="BO84"/>
  <c r="BS31"/>
  <c r="J84"/>
  <c r="BW33"/>
  <c r="BW35" s="1"/>
  <c r="BS35"/>
  <c r="X84"/>
  <c r="X85" s="1"/>
  <c r="F32" i="41"/>
  <c r="H21" i="45"/>
  <c r="H85" s="1"/>
  <c r="J18"/>
  <c r="J21" s="1"/>
  <c r="I18"/>
  <c r="I21" s="1"/>
  <c r="I85" s="1"/>
  <c r="E15" i="20" s="1"/>
  <c r="V24" i="47"/>
  <c r="V27" s="1"/>
  <c r="R27"/>
  <c r="I31"/>
  <c r="H31"/>
  <c r="X24"/>
  <c r="X27" s="1"/>
  <c r="T27"/>
  <c r="BJ35"/>
  <c r="F33"/>
  <c r="G27"/>
  <c r="I24"/>
  <c r="I27" s="1"/>
  <c r="H24"/>
  <c r="H27" s="1"/>
  <c r="W24"/>
  <c r="W27" s="1"/>
  <c r="S27"/>
  <c r="Y24"/>
  <c r="Y27" s="1"/>
  <c r="U27"/>
  <c r="BJ15"/>
  <c r="F14"/>
  <c r="H15" i="44"/>
  <c r="H18" s="1"/>
  <c r="U32" i="41"/>
  <c r="Q32"/>
  <c r="K41" i="42"/>
  <c r="M41"/>
  <c r="AN31" i="39"/>
  <c r="M17" i="20"/>
  <c r="N84" i="45"/>
  <c r="N85" s="1"/>
  <c r="J15" i="20" s="1"/>
  <c r="K41" i="24"/>
  <c r="J47"/>
  <c r="J87" s="1"/>
  <c r="G26" i="20" s="1"/>
  <c r="G87" i="24"/>
  <c r="H87"/>
  <c r="E26" i="20" s="1"/>
  <c r="I87" i="24"/>
  <c r="F26" i="20" s="1"/>
  <c r="AA19" i="47"/>
  <c r="BJ19"/>
  <c r="I35" i="43"/>
  <c r="H35"/>
  <c r="I18" i="44"/>
  <c r="AB20" i="45"/>
  <c r="BL20" s="1"/>
  <c r="BW44"/>
  <c r="BW63" s="1"/>
  <c r="BW65"/>
  <c r="BW83" s="1"/>
  <c r="BW31"/>
  <c r="BF50" i="47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BH49"/>
  <c r="BG46"/>
  <c r="BG44"/>
  <c r="BG43"/>
  <c r="BJ42"/>
  <c r="BO36"/>
  <c r="BQ29"/>
  <c r="BO26"/>
  <c r="BU23"/>
  <c r="BU22"/>
  <c r="BO22"/>
  <c r="BR22" s="1"/>
  <c r="BV20"/>
  <c r="BT19"/>
  <c r="BT21" s="1"/>
  <c r="BT29" s="1"/>
  <c r="BT35" s="1"/>
  <c r="BT38" s="1"/>
  <c r="BT40" s="1"/>
  <c r="BT41" s="1"/>
  <c r="BS19"/>
  <c r="BS21" s="1"/>
  <c r="BS29" s="1"/>
  <c r="BS35" s="1"/>
  <c r="BS38" s="1"/>
  <c r="BS40" s="1"/>
  <c r="BS41" s="1"/>
  <c r="BQ19"/>
  <c r="BQ21" s="1"/>
  <c r="BP19"/>
  <c r="BP21" s="1"/>
  <c r="BN19"/>
  <c r="BU19"/>
  <c r="BU21" s="1"/>
  <c r="BV17"/>
  <c r="BU13"/>
  <c r="BU15" s="1"/>
  <c r="BV12"/>
  <c r="BU10"/>
  <c r="BV9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BS59" i="46"/>
  <c r="BP59"/>
  <c r="BS58"/>
  <c r="BP58"/>
  <c r="BS57"/>
  <c r="BS60" s="1"/>
  <c r="BP57"/>
  <c r="BS56"/>
  <c r="BP56"/>
  <c r="BS55"/>
  <c r="BP55"/>
  <c r="BS52"/>
  <c r="BL50"/>
  <c r="BT35"/>
  <c r="BT33"/>
  <c r="BT34" s="1"/>
  <c r="BT32"/>
  <c r="BR30"/>
  <c r="BR31" s="1"/>
  <c r="BR64" s="1"/>
  <c r="BQ30"/>
  <c r="BQ31" s="1"/>
  <c r="BQ64" s="1"/>
  <c r="BO30"/>
  <c r="BO31" s="1"/>
  <c r="BO64" s="1"/>
  <c r="BN30"/>
  <c r="BN31" s="1"/>
  <c r="BL30"/>
  <c r="BS29"/>
  <c r="BT29" s="1"/>
  <c r="BS28"/>
  <c r="BT28" s="1"/>
  <c r="BS27"/>
  <c r="BT26"/>
  <c r="BS23"/>
  <c r="BS22"/>
  <c r="BS21"/>
  <c r="BS24" s="1"/>
  <c r="BT20"/>
  <c r="BT19"/>
  <c r="BT18"/>
  <c r="BS13"/>
  <c r="BS12"/>
  <c r="BS14" s="1"/>
  <c r="BP12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BV21" i="45"/>
  <c r="BV18"/>
  <c r="BP17"/>
  <c r="BS17" s="1"/>
  <c r="BW16"/>
  <c r="BU15"/>
  <c r="BU85" s="1"/>
  <c r="BT15"/>
  <c r="BT85" s="1"/>
  <c r="BR15"/>
  <c r="BR85" s="1"/>
  <c r="BQ15"/>
  <c r="BQ85" s="1"/>
  <c r="BO15"/>
  <c r="BV14"/>
  <c r="BV13"/>
  <c r="BV12"/>
  <c r="BW11"/>
  <c r="BW10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BU88" i="44"/>
  <c r="BU21"/>
  <c r="BU33" s="1"/>
  <c r="BU87" s="1"/>
  <c r="BV20"/>
  <c r="BV19"/>
  <c r="BU17"/>
  <c r="BO17"/>
  <c r="BV16"/>
  <c r="BT15"/>
  <c r="BT18" s="1"/>
  <c r="BT89" s="1"/>
  <c r="BS15"/>
  <c r="BS18" s="1"/>
  <c r="BS89" s="1"/>
  <c r="BQ15"/>
  <c r="BQ18" s="1"/>
  <c r="BQ89" s="1"/>
  <c r="BU13"/>
  <c r="BU12"/>
  <c r="BU11"/>
  <c r="BU10"/>
  <c r="BR10"/>
  <c r="BV9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BT53" i="43"/>
  <c r="BT55" s="1"/>
  <c r="BT56" s="1"/>
  <c r="BS53"/>
  <c r="BS55" s="1"/>
  <c r="BS56" s="1"/>
  <c r="BQ53"/>
  <c r="BQ55" s="1"/>
  <c r="BQ56" s="1"/>
  <c r="BO53"/>
  <c r="BU52"/>
  <c r="BU50"/>
  <c r="BU39"/>
  <c r="BU38"/>
  <c r="BU37"/>
  <c r="BU36"/>
  <c r="BU35"/>
  <c r="BU40" s="1"/>
  <c r="BV34"/>
  <c r="BU32"/>
  <c r="BU31"/>
  <c r="BU26"/>
  <c r="BU33" s="1"/>
  <c r="BV25"/>
  <c r="BU23"/>
  <c r="BU22"/>
  <c r="BU21"/>
  <c r="BV20"/>
  <c r="BU18"/>
  <c r="BU17"/>
  <c r="BV16"/>
  <c r="BU13"/>
  <c r="BU12"/>
  <c r="BU11"/>
  <c r="BU15" s="1"/>
  <c r="BV10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BU38" i="42"/>
  <c r="BU41" s="1"/>
  <c r="BU42" s="1"/>
  <c r="BT38"/>
  <c r="BT41" s="1"/>
  <c r="BT42" s="1"/>
  <c r="BR38"/>
  <c r="BP41"/>
  <c r="BP42" s="1"/>
  <c r="BV37"/>
  <c r="BV36"/>
  <c r="BV33"/>
  <c r="BV35" s="1"/>
  <c r="BV32"/>
  <c r="BV27"/>
  <c r="BV31" s="1"/>
  <c r="BV26"/>
  <c r="BV24"/>
  <c r="BW24" s="1"/>
  <c r="BV21"/>
  <c r="BV19"/>
  <c r="BV17"/>
  <c r="BV16"/>
  <c r="BV15"/>
  <c r="BV13"/>
  <c r="BS13"/>
  <c r="BW13" s="1"/>
  <c r="BV12"/>
  <c r="BS12"/>
  <c r="BW12" s="1"/>
  <c r="BV11"/>
  <c r="BV14" s="1"/>
  <c r="BS11"/>
  <c r="BS14" s="1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Z5" i="41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S24"/>
  <c r="BT13"/>
  <c r="BT12"/>
  <c r="BU11"/>
  <c r="BL51" i="46" l="1"/>
  <c r="BP50"/>
  <c r="BR26" i="47"/>
  <c r="BV26" s="1"/>
  <c r="BO27"/>
  <c r="BG50"/>
  <c r="BV18" i="42"/>
  <c r="BU19" i="43"/>
  <c r="H17" i="20"/>
  <c r="BO55" i="43"/>
  <c r="BU18" i="44"/>
  <c r="BT27" i="46"/>
  <c r="BR41" i="42"/>
  <c r="BR42" s="1"/>
  <c r="BS38"/>
  <c r="BQ35" i="47"/>
  <c r="BQ38" s="1"/>
  <c r="BR29"/>
  <c r="BN21"/>
  <c r="BN29" s="1"/>
  <c r="BN35" s="1"/>
  <c r="BN38" s="1"/>
  <c r="BN40" s="1"/>
  <c r="BN41" s="1"/>
  <c r="BU24" i="43"/>
  <c r="BP30" i="46"/>
  <c r="BL31"/>
  <c r="BV25" i="42"/>
  <c r="BU51" i="43"/>
  <c r="BU53" s="1"/>
  <c r="BU55" s="1"/>
  <c r="BU56" s="1"/>
  <c r="BU89" i="44"/>
  <c r="BR14" i="47"/>
  <c r="BV14" s="1"/>
  <c r="BO15"/>
  <c r="BP60" i="46"/>
  <c r="N17" i="20"/>
  <c r="L17"/>
  <c r="J17"/>
  <c r="J85" i="45"/>
  <c r="F15" i="20" s="1"/>
  <c r="O15" s="1"/>
  <c r="D15" s="1"/>
  <c r="D15" i="39" s="1"/>
  <c r="BW84" i="45"/>
  <c r="BS84"/>
  <c r="BO85"/>
  <c r="C20" i="48"/>
  <c r="BL21" i="45"/>
  <c r="BL85" s="1"/>
  <c r="AP15" i="39" s="1"/>
  <c r="BT20" i="45"/>
  <c r="T33" i="47"/>
  <c r="X33" s="1"/>
  <c r="S33"/>
  <c r="W33" s="1"/>
  <c r="R33"/>
  <c r="V33" s="1"/>
  <c r="U33"/>
  <c r="Y33" s="1"/>
  <c r="H40" i="43"/>
  <c r="H56" s="1"/>
  <c r="I40"/>
  <c r="I56" s="1"/>
  <c r="BJ21" i="47"/>
  <c r="F19"/>
  <c r="G33"/>
  <c r="F35"/>
  <c r="U14"/>
  <c r="T14"/>
  <c r="S14"/>
  <c r="R14"/>
  <c r="G14"/>
  <c r="F15"/>
  <c r="BW11" i="42"/>
  <c r="BW14" s="1"/>
  <c r="BT16" i="41"/>
  <c r="BT32" s="1"/>
  <c r="AB21" i="45"/>
  <c r="AB85" s="1"/>
  <c r="F15" i="39" s="1"/>
  <c r="W24" i="41"/>
  <c r="L41" i="24"/>
  <c r="K47"/>
  <c r="K87" s="1"/>
  <c r="H26" i="20" s="1"/>
  <c r="BK19" i="47"/>
  <c r="AA21"/>
  <c r="BV38" i="42"/>
  <c r="BV41" s="1"/>
  <c r="BV42" s="1"/>
  <c r="BU15" i="44"/>
  <c r="BL62" i="46"/>
  <c r="BV15" i="45"/>
  <c r="BV85" s="1"/>
  <c r="BT59" i="46"/>
  <c r="BV22" i="47"/>
  <c r="BU29"/>
  <c r="BR36"/>
  <c r="BP10"/>
  <c r="BR24"/>
  <c r="BG51"/>
  <c r="BS30" i="46"/>
  <c r="BS31" s="1"/>
  <c r="BS64" s="1"/>
  <c r="BT55"/>
  <c r="BT57"/>
  <c r="BT56"/>
  <c r="BT58"/>
  <c r="BT37"/>
  <c r="BT12"/>
  <c r="BT40"/>
  <c r="BP21" i="45"/>
  <c r="BW17"/>
  <c r="BS20"/>
  <c r="BV10" i="44"/>
  <c r="BN15"/>
  <c r="BN18" s="1"/>
  <c r="BR14"/>
  <c r="BV14" s="1"/>
  <c r="BR17"/>
  <c r="BP12"/>
  <c r="BP88"/>
  <c r="BP32" i="43"/>
  <c r="BR32" s="1"/>
  <c r="BV32" s="1"/>
  <c r="BP26"/>
  <c r="BR31"/>
  <c r="BP35"/>
  <c r="BP39"/>
  <c r="BR39" s="1"/>
  <c r="BV39" s="1"/>
  <c r="BO32" i="42"/>
  <c r="BS32" s="1"/>
  <c r="BW32" s="1"/>
  <c r="BS37"/>
  <c r="BW37" s="1"/>
  <c r="BO33"/>
  <c r="BO17"/>
  <c r="BS17" s="1"/>
  <c r="BW17" s="1"/>
  <c r="BO27"/>
  <c r="H17" i="41"/>
  <c r="R18"/>
  <c r="V18" s="1"/>
  <c r="S18"/>
  <c r="W18" s="1"/>
  <c r="T18"/>
  <c r="X18" s="1"/>
  <c r="R23"/>
  <c r="V23" s="1"/>
  <c r="S23"/>
  <c r="W23" s="1"/>
  <c r="T23"/>
  <c r="X23" s="1"/>
  <c r="R24"/>
  <c r="R25" s="1"/>
  <c r="BM17"/>
  <c r="BQ17" s="1"/>
  <c r="BU17" s="1"/>
  <c r="T24"/>
  <c r="BT30" i="46" l="1"/>
  <c r="BT31" s="1"/>
  <c r="BP31"/>
  <c r="BK21" i="47"/>
  <c r="BO19"/>
  <c r="BW38" i="42"/>
  <c r="BP40" i="43"/>
  <c r="BL63" i="46"/>
  <c r="BP62"/>
  <c r="BT50"/>
  <c r="BT51" s="1"/>
  <c r="BP51"/>
  <c r="BQ40" i="47"/>
  <c r="BQ41" s="1"/>
  <c r="BV24"/>
  <c r="BS27" i="42"/>
  <c r="BW27" s="1"/>
  <c r="BO31"/>
  <c r="BS33"/>
  <c r="BW33" s="1"/>
  <c r="BW35" s="1"/>
  <c r="BO35"/>
  <c r="BV29" i="47"/>
  <c r="BU35"/>
  <c r="BU38" s="1"/>
  <c r="BL64" i="46"/>
  <c r="BT60"/>
  <c r="W25" i="41"/>
  <c r="W32" s="1"/>
  <c r="S25"/>
  <c r="S32" s="1"/>
  <c r="T25"/>
  <c r="I33" i="47"/>
  <c r="H33"/>
  <c r="H35" s="1"/>
  <c r="D20" i="48"/>
  <c r="E20"/>
  <c r="F20" s="1"/>
  <c r="AR15" i="39"/>
  <c r="BS21" i="45"/>
  <c r="BW21" s="1"/>
  <c r="BP33" i="43"/>
  <c r="BV20" i="45"/>
  <c r="BS35" i="42"/>
  <c r="BW31"/>
  <c r="BV31" i="43"/>
  <c r="F17" i="20"/>
  <c r="E17"/>
  <c r="K35" i="47"/>
  <c r="K41" s="1"/>
  <c r="H10" i="20" s="1"/>
  <c r="H12" s="1"/>
  <c r="R19" i="47"/>
  <c r="T19"/>
  <c r="S19"/>
  <c r="U19"/>
  <c r="G19"/>
  <c r="F21"/>
  <c r="I35"/>
  <c r="G35"/>
  <c r="X35"/>
  <c r="T35"/>
  <c r="V35"/>
  <c r="R35"/>
  <c r="I14"/>
  <c r="I15" s="1"/>
  <c r="H14"/>
  <c r="H15" s="1"/>
  <c r="G15"/>
  <c r="V14"/>
  <c r="V15" s="1"/>
  <c r="R15"/>
  <c r="W14"/>
  <c r="W15" s="1"/>
  <c r="S15"/>
  <c r="X14"/>
  <c r="X15" s="1"/>
  <c r="T15"/>
  <c r="Y14"/>
  <c r="Y15" s="1"/>
  <c r="U15"/>
  <c r="R32" i="41"/>
  <c r="V24"/>
  <c r="X24"/>
  <c r="T32"/>
  <c r="M41" i="24"/>
  <c r="L47"/>
  <c r="L87" s="1"/>
  <c r="I26" i="20" s="1"/>
  <c r="BI51" i="47"/>
  <c r="BO23"/>
  <c r="BR23" s="1"/>
  <c r="BV23" s="1"/>
  <c r="BO28"/>
  <c r="BR28" s="1"/>
  <c r="BV28" s="1"/>
  <c r="BR13"/>
  <c r="BR15" s="1"/>
  <c r="BR25"/>
  <c r="BV25" s="1"/>
  <c r="BR10"/>
  <c r="BP13" i="46"/>
  <c r="BP14" s="1"/>
  <c r="BM42"/>
  <c r="BP42" s="1"/>
  <c r="BT42" s="1"/>
  <c r="BM36"/>
  <c r="BM41" s="1"/>
  <c r="BT38"/>
  <c r="BT23"/>
  <c r="BN15"/>
  <c r="BN16" s="1"/>
  <c r="BN64" s="1"/>
  <c r="BT22"/>
  <c r="BT39"/>
  <c r="BQ19" i="45"/>
  <c r="BS19" s="1"/>
  <c r="BW19" s="1"/>
  <c r="BP14"/>
  <c r="BS14" s="1"/>
  <c r="BW14" s="1"/>
  <c r="BP13"/>
  <c r="BS13" s="1"/>
  <c r="BW13" s="1"/>
  <c r="BP18"/>
  <c r="BP12"/>
  <c r="BR88" i="44"/>
  <c r="BO11"/>
  <c r="BP13"/>
  <c r="BR13" s="1"/>
  <c r="BV13" s="1"/>
  <c r="BV17"/>
  <c r="BR12"/>
  <c r="BV12" s="1"/>
  <c r="BP23" i="43"/>
  <c r="BR23" s="1"/>
  <c r="BV23" s="1"/>
  <c r="BP22"/>
  <c r="BR22" s="1"/>
  <c r="BP37"/>
  <c r="BR37" s="1"/>
  <c r="BV37" s="1"/>
  <c r="BP38"/>
  <c r="BR38" s="1"/>
  <c r="BV38" s="1"/>
  <c r="BR26"/>
  <c r="BV26" s="1"/>
  <c r="BP50"/>
  <c r="BP51" s="1"/>
  <c r="BP18"/>
  <c r="BP21"/>
  <c r="BR35"/>
  <c r="BP36"/>
  <c r="BR36" s="1"/>
  <c r="BV36" s="1"/>
  <c r="BP17"/>
  <c r="BP19" s="1"/>
  <c r="BO12"/>
  <c r="BO13"/>
  <c r="BO26" i="42"/>
  <c r="BQ26"/>
  <c r="BQ41" s="1"/>
  <c r="BQ42" s="1"/>
  <c r="BO19"/>
  <c r="BS19" s="1"/>
  <c r="BW19" s="1"/>
  <c r="BO15"/>
  <c r="BO36"/>
  <c r="BS36" s="1"/>
  <c r="BW36" s="1"/>
  <c r="BO16"/>
  <c r="O17" i="41"/>
  <c r="G17"/>
  <c r="H24"/>
  <c r="BM24"/>
  <c r="BM13"/>
  <c r="H13"/>
  <c r="M13"/>
  <c r="I13"/>
  <c r="N13"/>
  <c r="K13"/>
  <c r="P13"/>
  <c r="L13"/>
  <c r="J13"/>
  <c r="H30"/>
  <c r="H31" s="1"/>
  <c r="BQ30"/>
  <c r="BQ31" s="1"/>
  <c r="O31"/>
  <c r="BQ26"/>
  <c r="BU26" s="1"/>
  <c r="O26"/>
  <c r="G26"/>
  <c r="H26"/>
  <c r="H23"/>
  <c r="BM23"/>
  <c r="BQ23" s="1"/>
  <c r="BU23" s="1"/>
  <c r="BQ18"/>
  <c r="BU18" s="1"/>
  <c r="H18"/>
  <c r="BM14"/>
  <c r="BQ14" s="1"/>
  <c r="BU14" s="1"/>
  <c r="O14"/>
  <c r="G14"/>
  <c r="G16" s="1"/>
  <c r="H14"/>
  <c r="BS16" i="42" l="1"/>
  <c r="BO18"/>
  <c r="BR13" i="43"/>
  <c r="BV13" s="1"/>
  <c r="BR18"/>
  <c r="BV18" s="1"/>
  <c r="BV12"/>
  <c r="BR12"/>
  <c r="BU40" i="47"/>
  <c r="BU41" s="1"/>
  <c r="BR27"/>
  <c r="BT62" i="46"/>
  <c r="BT63" s="1"/>
  <c r="BP63"/>
  <c r="BR40" i="43"/>
  <c r="BS31" i="42"/>
  <c r="BV27" i="47"/>
  <c r="BO21"/>
  <c r="BR19"/>
  <c r="BR21" s="1"/>
  <c r="BR50" i="43"/>
  <c r="BR51" s="1"/>
  <c r="BP24"/>
  <c r="BR21"/>
  <c r="BR24" s="1"/>
  <c r="H25" i="41"/>
  <c r="BR33" i="43"/>
  <c r="BV33"/>
  <c r="X25" i="41"/>
  <c r="X32" s="1"/>
  <c r="BM25"/>
  <c r="BQ24"/>
  <c r="V25"/>
  <c r="V32" s="1"/>
  <c r="BW20" i="45"/>
  <c r="BV22" i="43"/>
  <c r="BP15"/>
  <c r="BP56" s="1"/>
  <c r="BR14"/>
  <c r="BU30" i="41"/>
  <c r="BU31" s="1"/>
  <c r="M35" i="47"/>
  <c r="M41" s="1"/>
  <c r="J10" i="20" s="1"/>
  <c r="J12" s="1"/>
  <c r="X19" i="47"/>
  <c r="X21" s="1"/>
  <c r="T21"/>
  <c r="Y19"/>
  <c r="Y21" s="1"/>
  <c r="U21"/>
  <c r="W19"/>
  <c r="W21" s="1"/>
  <c r="S21"/>
  <c r="V19"/>
  <c r="V21" s="1"/>
  <c r="R21"/>
  <c r="I19"/>
  <c r="I21" s="1"/>
  <c r="H19"/>
  <c r="H21" s="1"/>
  <c r="H41" s="1"/>
  <c r="E10" i="20" s="1"/>
  <c r="G21" i="47"/>
  <c r="G32" i="41"/>
  <c r="E22" i="20" s="1"/>
  <c r="O16" i="41"/>
  <c r="BQ15"/>
  <c r="BM16"/>
  <c r="N41" i="24"/>
  <c r="M47"/>
  <c r="M87" s="1"/>
  <c r="J26" i="20" s="1"/>
  <c r="BP15" i="44"/>
  <c r="BP18" s="1"/>
  <c r="BP89" s="1"/>
  <c r="BP38" i="47"/>
  <c r="BV10"/>
  <c r="BV13"/>
  <c r="BV15" s="1"/>
  <c r="BT21" i="46"/>
  <c r="BT24" s="1"/>
  <c r="BP15"/>
  <c r="BP16" s="1"/>
  <c r="BP36"/>
  <c r="BM52"/>
  <c r="BT13"/>
  <c r="BT14" s="1"/>
  <c r="BP15" i="45"/>
  <c r="BP85" s="1"/>
  <c r="BS12"/>
  <c r="BS18"/>
  <c r="BV88" i="44"/>
  <c r="BO15"/>
  <c r="BO18" s="1"/>
  <c r="BO11" i="43"/>
  <c r="BO15" s="1"/>
  <c r="BO56" s="1"/>
  <c r="BV35"/>
  <c r="BV40" s="1"/>
  <c r="BN52"/>
  <c r="BR17"/>
  <c r="BR19" s="1"/>
  <c r="BS15" i="42"/>
  <c r="BS26"/>
  <c r="BW26" s="1"/>
  <c r="BQ13" i="41"/>
  <c r="BU13" s="1"/>
  <c r="J12"/>
  <c r="J16" s="1"/>
  <c r="J32" s="1"/>
  <c r="H22" i="20" s="1"/>
  <c r="P12" i="41"/>
  <c r="P16" s="1"/>
  <c r="P32" s="1"/>
  <c r="N22" i="20" s="1"/>
  <c r="K12" i="41"/>
  <c r="K16" s="1"/>
  <c r="K32" s="1"/>
  <c r="I22" i="20" s="1"/>
  <c r="H12" i="41"/>
  <c r="H16" s="1"/>
  <c r="M12"/>
  <c r="M16" s="1"/>
  <c r="M32" s="1"/>
  <c r="K22" i="20" s="1"/>
  <c r="I12" i="41"/>
  <c r="I16" s="1"/>
  <c r="I32" s="1"/>
  <c r="G22" i="20" s="1"/>
  <c r="BO12" i="41"/>
  <c r="BO16" s="1"/>
  <c r="BO32" s="1"/>
  <c r="N12"/>
  <c r="N16" s="1"/>
  <c r="N32" s="1"/>
  <c r="L22" i="20" s="1"/>
  <c r="L12" i="41"/>
  <c r="L16" s="1"/>
  <c r="L32" s="1"/>
  <c r="J22" i="20" s="1"/>
  <c r="BM32" i="41" l="1"/>
  <c r="BP40" i="47"/>
  <c r="BP41" s="1"/>
  <c r="BR38"/>
  <c r="BT36" i="46"/>
  <c r="BT41" s="1"/>
  <c r="BP41"/>
  <c r="BW16" i="42"/>
  <c r="BW18" s="1"/>
  <c r="BS18"/>
  <c r="BV50" i="43"/>
  <c r="BV51" s="1"/>
  <c r="BQ25" i="41"/>
  <c r="BU24"/>
  <c r="BU25" s="1"/>
  <c r="BV14" i="43"/>
  <c r="O35" i="47"/>
  <c r="O41" s="1"/>
  <c r="L10" i="20" s="1"/>
  <c r="L12" s="1"/>
  <c r="I17"/>
  <c r="H32" i="41"/>
  <c r="F22" i="20" s="1"/>
  <c r="O32" i="41"/>
  <c r="M22" i="20" s="1"/>
  <c r="BU15" i="41"/>
  <c r="O41" i="24"/>
  <c r="N47"/>
  <c r="N87" s="1"/>
  <c r="K26" i="20" s="1"/>
  <c r="BV19" i="47"/>
  <c r="BV21" s="1"/>
  <c r="BP52" i="46"/>
  <c r="BT15"/>
  <c r="BT16" s="1"/>
  <c r="BS15" i="45"/>
  <c r="BW12"/>
  <c r="BW18"/>
  <c r="BR15" i="44"/>
  <c r="BV11"/>
  <c r="BV21" i="43"/>
  <c r="BV24" s="1"/>
  <c r="BV17"/>
  <c r="BV19" s="1"/>
  <c r="BR52"/>
  <c r="BV52" s="1"/>
  <c r="BR11"/>
  <c r="BR15" s="1"/>
  <c r="BR56" s="1"/>
  <c r="BW15" i="42"/>
  <c r="BQ12" i="41"/>
  <c r="BQ16" s="1"/>
  <c r="BV15" i="44" l="1"/>
  <c r="BV18" s="1"/>
  <c r="BR18"/>
  <c r="BR40" i="47"/>
  <c r="BV38"/>
  <c r="BV40" s="1"/>
  <c r="BQ32" i="41"/>
  <c r="BW15" i="45"/>
  <c r="BW85" s="1"/>
  <c r="BS85"/>
  <c r="G17" i="20"/>
  <c r="Q35" i="47"/>
  <c r="Q41" s="1"/>
  <c r="N10" i="20" s="1"/>
  <c r="O22"/>
  <c r="D22" s="1"/>
  <c r="D22" i="39" s="1"/>
  <c r="AR22" s="1"/>
  <c r="P41" i="24"/>
  <c r="O47"/>
  <c r="O87" s="1"/>
  <c r="L26" i="20" s="1"/>
  <c r="G42" i="47"/>
  <c r="G49"/>
  <c r="BT52" i="46"/>
  <c r="BV11" i="43"/>
  <c r="BV15" s="1"/>
  <c r="BU12" i="41"/>
  <c r="BU16" s="1"/>
  <c r="BU32" s="1"/>
  <c r="BV56" i="43" l="1"/>
  <c r="N12" i="20"/>
  <c r="S35" i="47"/>
  <c r="BV53" i="43"/>
  <c r="BV55" s="1"/>
  <c r="K17" i="20"/>
  <c r="O17" s="1"/>
  <c r="D17" s="1"/>
  <c r="D17" i="39" s="1"/>
  <c r="AR17" s="1"/>
  <c r="Q41" i="24"/>
  <c r="P47"/>
  <c r="P87" s="1"/>
  <c r="M26" i="20" s="1"/>
  <c r="U35" i="47" l="1"/>
  <c r="R41" i="24"/>
  <c r="Q47"/>
  <c r="Q87" s="1"/>
  <c r="N26" i="20" s="1"/>
  <c r="W35" i="47" l="1"/>
  <c r="O26" i="20"/>
  <c r="D26" s="1"/>
  <c r="D26" i="39" s="1"/>
  <c r="S41" i="24"/>
  <c r="R47"/>
  <c r="R87" s="1"/>
  <c r="AA33" i="47" l="1"/>
  <c r="Y35"/>
  <c r="T41" i="24"/>
  <c r="S47"/>
  <c r="S87" s="1"/>
  <c r="AC33" i="47" l="1"/>
  <c r="AA35"/>
  <c r="AA41" s="1"/>
  <c r="F10" i="39" s="1"/>
  <c r="AA51" i="47"/>
  <c r="U41" i="24"/>
  <c r="T47"/>
  <c r="T87" s="1"/>
  <c r="BR57"/>
  <c r="BV57" s="1"/>
  <c r="AE33" i="47" l="1"/>
  <c r="AC35"/>
  <c r="AC41" s="1"/>
  <c r="H10" i="39" s="1"/>
  <c r="V41" i="24"/>
  <c r="U47"/>
  <c r="U87" s="1"/>
  <c r="AG33" i="47" l="1"/>
  <c r="AE35"/>
  <c r="AE41" s="1"/>
  <c r="J10" i="39" s="1"/>
  <c r="W41" i="24"/>
  <c r="V47"/>
  <c r="V87" s="1"/>
  <c r="C25" i="39"/>
  <c r="AI33" i="47" l="1"/>
  <c r="AG35"/>
  <c r="AG41" s="1"/>
  <c r="L10" i="39" s="1"/>
  <c r="X41" i="24"/>
  <c r="W47"/>
  <c r="W87" s="1"/>
  <c r="AI35" i="47" l="1"/>
  <c r="AI41" s="1"/>
  <c r="N10" i="39" s="1"/>
  <c r="BK33" i="47"/>
  <c r="BO33" s="1"/>
  <c r="Y41" i="24"/>
  <c r="X47"/>
  <c r="X87" s="1"/>
  <c r="Z30" i="26"/>
  <c r="Y30"/>
  <c r="X30"/>
  <c r="W30"/>
  <c r="Z16"/>
  <c r="Y16"/>
  <c r="X16"/>
  <c r="W16"/>
  <c r="V33" i="25"/>
  <c r="X33"/>
  <c r="Y33"/>
  <c r="V34"/>
  <c r="X34"/>
  <c r="Y34"/>
  <c r="V35"/>
  <c r="W35"/>
  <c r="X35"/>
  <c r="Y35"/>
  <c r="V44"/>
  <c r="X44"/>
  <c r="Y44"/>
  <c r="BR33" i="47" l="1"/>
  <c r="BO35"/>
  <c r="BO41" s="1"/>
  <c r="AP10" i="39"/>
  <c r="BK35" i="47"/>
  <c r="BK41" s="1"/>
  <c r="Z41" i="24"/>
  <c r="Y47"/>
  <c r="Y87" s="1"/>
  <c r="BV32" i="26"/>
  <c r="BV31"/>
  <c r="BW31" s="1"/>
  <c r="BV30"/>
  <c r="BV29"/>
  <c r="BV28"/>
  <c r="BV26"/>
  <c r="BV27" s="1"/>
  <c r="BV25"/>
  <c r="BV24"/>
  <c r="BV21"/>
  <c r="BV20"/>
  <c r="BV19"/>
  <c r="BV17"/>
  <c r="BV16"/>
  <c r="BV15"/>
  <c r="BV13"/>
  <c r="BV12"/>
  <c r="BV14" s="1"/>
  <c r="BV11"/>
  <c r="BV10"/>
  <c r="BS28"/>
  <c r="BS24"/>
  <c r="BS19"/>
  <c r="BS15"/>
  <c r="BS13"/>
  <c r="BS12"/>
  <c r="BS11"/>
  <c r="BS10"/>
  <c r="BV12" i="25"/>
  <c r="BV49"/>
  <c r="BV50"/>
  <c r="BV10"/>
  <c r="BV11" i="24"/>
  <c r="BV61"/>
  <c r="BV67"/>
  <c r="BV68"/>
  <c r="BV10"/>
  <c r="BU33" i="26"/>
  <c r="BU34" s="1"/>
  <c r="BU35" s="1"/>
  <c r="BT33"/>
  <c r="BT34" s="1"/>
  <c r="BT35" s="1"/>
  <c r="BR33"/>
  <c r="BR34" s="1"/>
  <c r="BR35" s="1"/>
  <c r="BO33"/>
  <c r="BS52" i="25"/>
  <c r="BQ52"/>
  <c r="BQ54" s="1"/>
  <c r="BO52"/>
  <c r="BO54" s="1"/>
  <c r="BO55" s="1"/>
  <c r="BN52"/>
  <c r="BN54" s="1"/>
  <c r="BN55" s="1"/>
  <c r="BU32"/>
  <c r="BU31"/>
  <c r="BU30"/>
  <c r="BS20"/>
  <c r="BQ20"/>
  <c r="BP29"/>
  <c r="BP55" s="1"/>
  <c r="BN29"/>
  <c r="BR17"/>
  <c r="BR16"/>
  <c r="BR14"/>
  <c r="BR15" s="1"/>
  <c r="BR85" i="24"/>
  <c r="BR84"/>
  <c r="BR83"/>
  <c r="BR82"/>
  <c r="BR81"/>
  <c r="BR80"/>
  <c r="BR79"/>
  <c r="BR78"/>
  <c r="BR77"/>
  <c r="BR76"/>
  <c r="BR75"/>
  <c r="BR74"/>
  <c r="BR73"/>
  <c r="BR72"/>
  <c r="BR71"/>
  <c r="BR70"/>
  <c r="BR69"/>
  <c r="BT65"/>
  <c r="BU65" s="1"/>
  <c r="BT60"/>
  <c r="BU60" s="1"/>
  <c r="BU55"/>
  <c r="BU52"/>
  <c r="BU51"/>
  <c r="BU50"/>
  <c r="BU49"/>
  <c r="BU48"/>
  <c r="BT47"/>
  <c r="BT87" s="1"/>
  <c r="BS45"/>
  <c r="BQ45"/>
  <c r="BO45"/>
  <c r="BO47" s="1"/>
  <c r="BO87" s="1"/>
  <c r="BN45"/>
  <c r="BN47" s="1"/>
  <c r="BN87" s="1"/>
  <c r="BU34"/>
  <c r="BU32"/>
  <c r="BU31"/>
  <c r="BU30"/>
  <c r="BU29"/>
  <c r="BU28"/>
  <c r="BU27"/>
  <c r="BU26"/>
  <c r="BU25"/>
  <c r="BU24"/>
  <c r="BU12"/>
  <c r="BR12"/>
  <c r="C25" i="20"/>
  <c r="S26" i="25"/>
  <c r="S25"/>
  <c r="S23"/>
  <c r="S22"/>
  <c r="AA3"/>
  <c r="R16"/>
  <c r="BR59" i="24"/>
  <c r="BR38"/>
  <c r="BV38" s="1"/>
  <c r="BR86" l="1"/>
  <c r="BV18" i="26"/>
  <c r="BU52" i="25"/>
  <c r="BS54"/>
  <c r="BS14" i="26"/>
  <c r="BS33"/>
  <c r="BO34"/>
  <c r="BO35" s="1"/>
  <c r="BV22"/>
  <c r="BV33" i="47"/>
  <c r="BV35" s="1"/>
  <c r="BV41" s="1"/>
  <c r="BR35"/>
  <c r="BR41" s="1"/>
  <c r="BR45" i="24"/>
  <c r="BQ47"/>
  <c r="BQ87" s="1"/>
  <c r="BU45"/>
  <c r="BS47"/>
  <c r="BU20" i="25"/>
  <c r="BS29"/>
  <c r="BR20"/>
  <c r="BQ29"/>
  <c r="BQ55" s="1"/>
  <c r="BU47"/>
  <c r="AA41" i="24"/>
  <c r="Z47"/>
  <c r="Z87" s="1"/>
  <c r="E26" i="39" s="1"/>
  <c r="E29" s="1"/>
  <c r="R54" i="25"/>
  <c r="U54"/>
  <c r="BV70" i="24"/>
  <c r="W36" i="25"/>
  <c r="W40"/>
  <c r="W44"/>
  <c r="S24"/>
  <c r="W24" s="1"/>
  <c r="S27"/>
  <c r="W27" s="1"/>
  <c r="W43"/>
  <c r="W42"/>
  <c r="W46"/>
  <c r="S28"/>
  <c r="W28" s="1"/>
  <c r="W37"/>
  <c r="W45"/>
  <c r="BR34" i="24"/>
  <c r="BV34" s="1"/>
  <c r="BV12"/>
  <c r="W22" i="25"/>
  <c r="W25"/>
  <c r="BW12" i="26"/>
  <c r="BV59" i="24"/>
  <c r="BW19" i="26"/>
  <c r="BT17" i="25"/>
  <c r="BP25" i="24"/>
  <c r="BR25" s="1"/>
  <c r="BV25" s="1"/>
  <c r="W39" i="25"/>
  <c r="BU83" i="24"/>
  <c r="BV83" s="1"/>
  <c r="BS77"/>
  <c r="BW10" i="26"/>
  <c r="W23" i="25"/>
  <c r="W26"/>
  <c r="BW24" i="26"/>
  <c r="BR62" i="24"/>
  <c r="BV62" s="1"/>
  <c r="BP32"/>
  <c r="BR32" s="1"/>
  <c r="BV32" s="1"/>
  <c r="BR55"/>
  <c r="BV55" s="1"/>
  <c r="BW28" i="26"/>
  <c r="BP28" i="24"/>
  <c r="BR28" s="1"/>
  <c r="BV28" s="1"/>
  <c r="V28" i="25"/>
  <c r="Y28"/>
  <c r="X28"/>
  <c r="V45"/>
  <c r="Y45"/>
  <c r="X45"/>
  <c r="W38"/>
  <c r="BR53"/>
  <c r="X22"/>
  <c r="Y22"/>
  <c r="V22"/>
  <c r="V24"/>
  <c r="Y24"/>
  <c r="X24"/>
  <c r="V26"/>
  <c r="Y26"/>
  <c r="X26"/>
  <c r="V36"/>
  <c r="Y36"/>
  <c r="X36"/>
  <c r="V38"/>
  <c r="Y38"/>
  <c r="X38"/>
  <c r="V40"/>
  <c r="Y40"/>
  <c r="X40"/>
  <c r="V42"/>
  <c r="Y42"/>
  <c r="X42"/>
  <c r="V46"/>
  <c r="Y46"/>
  <c r="X46"/>
  <c r="W41"/>
  <c r="BU54"/>
  <c r="V13"/>
  <c r="Y13"/>
  <c r="X13"/>
  <c r="W13"/>
  <c r="V23"/>
  <c r="Y23"/>
  <c r="X23"/>
  <c r="V25"/>
  <c r="Y25"/>
  <c r="X25"/>
  <c r="V27"/>
  <c r="Y27"/>
  <c r="X27"/>
  <c r="V37"/>
  <c r="Y37"/>
  <c r="X37"/>
  <c r="V39"/>
  <c r="Y39"/>
  <c r="X39"/>
  <c r="V41"/>
  <c r="Y41"/>
  <c r="X41"/>
  <c r="BR43"/>
  <c r="BV43" s="1"/>
  <c r="V43"/>
  <c r="Y43"/>
  <c r="X43"/>
  <c r="X17" i="26"/>
  <c r="X18" s="1"/>
  <c r="W17"/>
  <c r="W18" s="1"/>
  <c r="BV33"/>
  <c r="BV34" s="1"/>
  <c r="BV35" s="1"/>
  <c r="W12"/>
  <c r="X12"/>
  <c r="Y12"/>
  <c r="Z12"/>
  <c r="Z26"/>
  <c r="Z27" s="1"/>
  <c r="W29"/>
  <c r="X29"/>
  <c r="Y29"/>
  <c r="Z29"/>
  <c r="I30"/>
  <c r="Z13"/>
  <c r="Y13"/>
  <c r="X13"/>
  <c r="W13"/>
  <c r="BP17"/>
  <c r="W31"/>
  <c r="X31"/>
  <c r="Y31"/>
  <c r="Y34" s="1"/>
  <c r="Z31"/>
  <c r="Z17"/>
  <c r="Z18" s="1"/>
  <c r="Y17"/>
  <c r="Y18" s="1"/>
  <c r="W21"/>
  <c r="W22" s="1"/>
  <c r="X21"/>
  <c r="X22" s="1"/>
  <c r="Y21"/>
  <c r="Y22" s="1"/>
  <c r="Z21"/>
  <c r="Z22" s="1"/>
  <c r="BV72" i="24"/>
  <c r="BV75"/>
  <c r="BU81"/>
  <c r="BV81" s="1"/>
  <c r="BV73"/>
  <c r="BS78"/>
  <c r="BU78" s="1"/>
  <c r="BV78" s="1"/>
  <c r="BU80"/>
  <c r="BV80" s="1"/>
  <c r="BU84"/>
  <c r="BV84" s="1"/>
  <c r="BV76"/>
  <c r="BP31"/>
  <c r="BR31" s="1"/>
  <c r="BV31" s="1"/>
  <c r="BP41"/>
  <c r="BR41" s="1"/>
  <c r="BV41" s="1"/>
  <c r="BP49"/>
  <c r="BR49" s="1"/>
  <c r="BV49" s="1"/>
  <c r="BU82"/>
  <c r="BV82" s="1"/>
  <c r="BU79"/>
  <c r="BR45" i="25"/>
  <c r="BV45" s="1"/>
  <c r="BV74" i="24"/>
  <c r="BR52"/>
  <c r="BV52" s="1"/>
  <c r="BT66"/>
  <c r="BU66" s="1"/>
  <c r="BR36" i="25"/>
  <c r="BV36" s="1"/>
  <c r="BW11" i="26"/>
  <c r="BW15"/>
  <c r="BP30" i="24"/>
  <c r="BR30" s="1"/>
  <c r="BV30" s="1"/>
  <c r="W34" i="25"/>
  <c r="J30" i="26"/>
  <c r="BS30"/>
  <c r="BW30" s="1"/>
  <c r="BW13"/>
  <c r="BW14" s="1"/>
  <c r="BT16" i="25"/>
  <c r="BU16" s="1"/>
  <c r="BV16" s="1"/>
  <c r="Y18"/>
  <c r="T14"/>
  <c r="U14"/>
  <c r="R14"/>
  <c r="S14"/>
  <c r="S17"/>
  <c r="W17" s="1"/>
  <c r="R17"/>
  <c r="V17" s="1"/>
  <c r="U17"/>
  <c r="Y17" s="1"/>
  <c r="T17"/>
  <c r="X17" s="1"/>
  <c r="BR35"/>
  <c r="BV35" s="1"/>
  <c r="V16"/>
  <c r="S16"/>
  <c r="T16"/>
  <c r="U16"/>
  <c r="BW33" i="26" l="1"/>
  <c r="BV79" i="24"/>
  <c r="BV20" i="25"/>
  <c r="X34" i="26"/>
  <c r="BS55" i="25"/>
  <c r="BU17"/>
  <c r="BV17" s="1"/>
  <c r="BU77" i="24"/>
  <c r="BS87"/>
  <c r="BV45"/>
  <c r="BU47"/>
  <c r="AB41"/>
  <c r="AA47"/>
  <c r="AA87" s="1"/>
  <c r="F26" i="39" s="1"/>
  <c r="F29" s="1"/>
  <c r="X47" i="25"/>
  <c r="Y47"/>
  <c r="V47"/>
  <c r="L54"/>
  <c r="W33"/>
  <c r="W47" s="1"/>
  <c r="S47"/>
  <c r="Y14"/>
  <c r="Y15" s="1"/>
  <c r="U15"/>
  <c r="W14"/>
  <c r="W15" s="1"/>
  <c r="S15"/>
  <c r="S29" s="1"/>
  <c r="X14"/>
  <c r="X15" s="1"/>
  <c r="T15"/>
  <c r="V14"/>
  <c r="V15" s="1"/>
  <c r="R15"/>
  <c r="R29" s="1"/>
  <c r="R55" s="1"/>
  <c r="BR51" i="24"/>
  <c r="BV51" s="1"/>
  <c r="T54" i="25"/>
  <c r="BR33"/>
  <c r="BV33" s="1"/>
  <c r="BR42"/>
  <c r="BV42" s="1"/>
  <c r="W14" i="26"/>
  <c r="BR51" i="25"/>
  <c r="BR64" i="24"/>
  <c r="BV64" s="1"/>
  <c r="BP26"/>
  <c r="BR26" s="1"/>
  <c r="BV26" s="1"/>
  <c r="BR41" i="25"/>
  <c r="BV41" s="1"/>
  <c r="J17" i="26"/>
  <c r="X14"/>
  <c r="X35" s="1"/>
  <c r="Z14"/>
  <c r="BR36" i="24"/>
  <c r="BV36" s="1"/>
  <c r="J21" i="26"/>
  <c r="J22" s="1"/>
  <c r="BP21"/>
  <c r="BR37" i="24"/>
  <c r="BV37" s="1"/>
  <c r="BR44" i="25"/>
  <c r="BV44" s="1"/>
  <c r="BR38"/>
  <c r="BV38" s="1"/>
  <c r="BP24" i="24"/>
  <c r="J31" i="26"/>
  <c r="BR37" i="25"/>
  <c r="BV37" s="1"/>
  <c r="V54"/>
  <c r="BV53"/>
  <c r="Y54"/>
  <c r="I21" i="26"/>
  <c r="I22" s="1"/>
  <c r="I29"/>
  <c r="J29"/>
  <c r="I16"/>
  <c r="BP16"/>
  <c r="J16"/>
  <c r="I17"/>
  <c r="BP26"/>
  <c r="I26"/>
  <c r="J26"/>
  <c r="I31"/>
  <c r="Y14"/>
  <c r="Y35" s="1"/>
  <c r="BP48" i="24"/>
  <c r="BR48" s="1"/>
  <c r="BV48" s="1"/>
  <c r="BP27"/>
  <c r="BR27" s="1"/>
  <c r="BV27" s="1"/>
  <c r="BR35"/>
  <c r="BV35" s="1"/>
  <c r="BP29"/>
  <c r="BR29" s="1"/>
  <c r="BV29" s="1"/>
  <c r="BV69"/>
  <c r="BR39" i="25"/>
  <c r="BV39" s="1"/>
  <c r="BR40"/>
  <c r="BV40" s="1"/>
  <c r="BT13"/>
  <c r="BR46"/>
  <c r="BV46" s="1"/>
  <c r="BP40" i="24"/>
  <c r="BR50"/>
  <c r="BV50" s="1"/>
  <c r="BV71"/>
  <c r="BR34" i="25"/>
  <c r="BV34" s="1"/>
  <c r="BP44" i="24"/>
  <c r="BR44" s="1"/>
  <c r="BV44" s="1"/>
  <c r="BP31" i="25"/>
  <c r="BR31" s="1"/>
  <c r="BV31" s="1"/>
  <c r="BP32"/>
  <c r="BR32" s="1"/>
  <c r="BV32" s="1"/>
  <c r="BS17" i="26"/>
  <c r="BS29"/>
  <c r="BP34"/>
  <c r="BR29" i="25"/>
  <c r="BP30"/>
  <c r="BR30" s="1"/>
  <c r="BV30" s="1"/>
  <c r="Y16"/>
  <c r="U29"/>
  <c r="X16"/>
  <c r="T29"/>
  <c r="T55" s="1"/>
  <c r="W16"/>
  <c r="J18" i="26" l="1"/>
  <c r="BS16"/>
  <c r="BP18"/>
  <c r="BR40" i="24"/>
  <c r="BV40" s="1"/>
  <c r="BP47"/>
  <c r="I18" i="26"/>
  <c r="BV47" i="24"/>
  <c r="BS21" i="26"/>
  <c r="BS26"/>
  <c r="U55" i="25"/>
  <c r="W20"/>
  <c r="W29" s="1"/>
  <c r="S55"/>
  <c r="BR24" i="24"/>
  <c r="BP87"/>
  <c r="BV77"/>
  <c r="BV51" i="25"/>
  <c r="BR47"/>
  <c r="BR55" s="1"/>
  <c r="BV47"/>
  <c r="X20"/>
  <c r="X29" s="1"/>
  <c r="X55" s="1"/>
  <c r="Y20"/>
  <c r="Y29" s="1"/>
  <c r="Y55" s="1"/>
  <c r="AC41" i="24"/>
  <c r="AB47"/>
  <c r="AB87" s="1"/>
  <c r="G26" i="39" s="1"/>
  <c r="G29" s="1"/>
  <c r="P54" i="25"/>
  <c r="N54"/>
  <c r="Q54"/>
  <c r="X54"/>
  <c r="K54"/>
  <c r="L47"/>
  <c r="J47"/>
  <c r="M47"/>
  <c r="I47"/>
  <c r="P47"/>
  <c r="Q47"/>
  <c r="N47"/>
  <c r="H47"/>
  <c r="K47"/>
  <c r="O47"/>
  <c r="V20"/>
  <c r="V29" s="1"/>
  <c r="V55" s="1"/>
  <c r="I15"/>
  <c r="BT14"/>
  <c r="BU14" s="1"/>
  <c r="BV14" s="1"/>
  <c r="M15"/>
  <c r="L15"/>
  <c r="S54"/>
  <c r="O54"/>
  <c r="I54"/>
  <c r="J54"/>
  <c r="M54"/>
  <c r="H54"/>
  <c r="BP20" i="26"/>
  <c r="BP22" s="1"/>
  <c r="BP25"/>
  <c r="BP27" s="1"/>
  <c r="BP35" s="1"/>
  <c r="I25"/>
  <c r="I27" s="1"/>
  <c r="J25"/>
  <c r="J27" s="1"/>
  <c r="I14"/>
  <c r="O14"/>
  <c r="O35" s="1"/>
  <c r="K28" i="20" s="1"/>
  <c r="M14" i="26"/>
  <c r="M35" s="1"/>
  <c r="I28" i="20" s="1"/>
  <c r="J12" i="26"/>
  <c r="J14" s="1"/>
  <c r="L14"/>
  <c r="L35" s="1"/>
  <c r="H28" i="20" s="1"/>
  <c r="Q14" i="26"/>
  <c r="Q35" s="1"/>
  <c r="M28" i="20" s="1"/>
  <c r="N14" i="26"/>
  <c r="N35" s="1"/>
  <c r="J28" i="20" s="1"/>
  <c r="P14" i="26"/>
  <c r="P35" s="1"/>
  <c r="L28" i="20" s="1"/>
  <c r="R14" i="26"/>
  <c r="R35" s="1"/>
  <c r="N28" i="20" s="1"/>
  <c r="K14" i="26"/>
  <c r="K35" s="1"/>
  <c r="G28" i="20" s="1"/>
  <c r="BU13" i="25"/>
  <c r="BT29"/>
  <c r="BR63" i="24"/>
  <c r="BR58"/>
  <c r="BV58" s="1"/>
  <c r="BW17" i="26"/>
  <c r="BR52" i="25"/>
  <c r="BR54" s="1"/>
  <c r="BW29" i="26"/>
  <c r="BU85" i="24"/>
  <c r="BU86" s="1"/>
  <c r="BU87" s="1"/>
  <c r="BW26" i="26" l="1"/>
  <c r="BW27" s="1"/>
  <c r="BW16"/>
  <c r="BW18" s="1"/>
  <c r="BS18"/>
  <c r="BR47" i="24"/>
  <c r="BR87" s="1"/>
  <c r="BW21" i="26"/>
  <c r="BT15" i="25"/>
  <c r="BT55" s="1"/>
  <c r="BU15"/>
  <c r="BV24" i="24"/>
  <c r="BV87" s="1"/>
  <c r="AD41"/>
  <c r="AC47"/>
  <c r="AC87" s="1"/>
  <c r="H26" i="39" s="1"/>
  <c r="H29" s="1"/>
  <c r="W54" i="25"/>
  <c r="W55" s="1"/>
  <c r="N15"/>
  <c r="N29" s="1"/>
  <c r="K15"/>
  <c r="K29" s="1"/>
  <c r="O15"/>
  <c r="O29" s="1"/>
  <c r="P15"/>
  <c r="P29" s="1"/>
  <c r="L29"/>
  <c r="J15"/>
  <c r="J29" s="1"/>
  <c r="Q15"/>
  <c r="Q29" s="1"/>
  <c r="H15"/>
  <c r="AA58"/>
  <c r="BS20" i="26"/>
  <c r="BS22" s="1"/>
  <c r="BS25"/>
  <c r="BW25" s="1"/>
  <c r="BV13" i="25"/>
  <c r="BV15" s="1"/>
  <c r="BV63" i="24"/>
  <c r="BR65"/>
  <c r="BV65" s="1"/>
  <c r="BR53"/>
  <c r="BV53" s="1"/>
  <c r="BV85"/>
  <c r="BV86" s="1"/>
  <c r="BV52" i="25"/>
  <c r="BV54" s="1"/>
  <c r="BS27" i="26" l="1"/>
  <c r="O55" i="25"/>
  <c r="L27" i="20" s="1"/>
  <c r="L29" s="1"/>
  <c r="P55" i="25"/>
  <c r="M27" i="20" s="1"/>
  <c r="M29" s="1"/>
  <c r="J55" i="25"/>
  <c r="G27" i="20" s="1"/>
  <c r="G29" s="1"/>
  <c r="K55" i="25"/>
  <c r="H27" i="20" s="1"/>
  <c r="H29" s="1"/>
  <c r="Q55" i="25"/>
  <c r="N27" i="20" s="1"/>
  <c r="N29" s="1"/>
  <c r="N55" i="25"/>
  <c r="K27" i="20" s="1"/>
  <c r="K29" s="1"/>
  <c r="L55" i="25"/>
  <c r="I27" i="20" s="1"/>
  <c r="I29" s="1"/>
  <c r="I29" i="25"/>
  <c r="BV29"/>
  <c r="BV55" s="1"/>
  <c r="BU29"/>
  <c r="BU55" s="1"/>
  <c r="AE41" i="24"/>
  <c r="AD47"/>
  <c r="AD87" s="1"/>
  <c r="I26" i="39" s="1"/>
  <c r="I29" s="1"/>
  <c r="M29" i="25"/>
  <c r="AA56"/>
  <c r="BW20" i="26"/>
  <c r="BW22" s="1"/>
  <c r="M55" i="25" l="1"/>
  <c r="J27" i="20" s="1"/>
  <c r="J29" s="1"/>
  <c r="I55" i="25"/>
  <c r="F27" i="20" s="1"/>
  <c r="H29" i="25"/>
  <c r="AF41" i="24"/>
  <c r="AE47"/>
  <c r="AE87" s="1"/>
  <c r="J26" i="39" s="1"/>
  <c r="J29" s="1"/>
  <c r="H55" i="25" l="1"/>
  <c r="E27" i="20" s="1"/>
  <c r="O27" s="1"/>
  <c r="D27" s="1"/>
  <c r="D27" i="39" s="1"/>
  <c r="AR27" s="1"/>
  <c r="AG41" i="24"/>
  <c r="AF47"/>
  <c r="AF87" s="1"/>
  <c r="K26" i="39" s="1"/>
  <c r="K29" s="1"/>
  <c r="AH41" i="24" l="1"/>
  <c r="AG47"/>
  <c r="AG87" s="1"/>
  <c r="L26" i="39" s="1"/>
  <c r="L29" s="1"/>
  <c r="AI41" i="24" l="1"/>
  <c r="AH47"/>
  <c r="AH87" s="1"/>
  <c r="M26" i="39" s="1"/>
  <c r="M29" s="1"/>
  <c r="AJ41" i="24" l="1"/>
  <c r="AI47"/>
  <c r="AI87" s="1"/>
  <c r="N26" i="39" s="1"/>
  <c r="N29" s="1"/>
  <c r="AK41" i="24" l="1"/>
  <c r="AJ47"/>
  <c r="AJ87" s="1"/>
  <c r="O26" i="39" s="1"/>
  <c r="O29" s="1"/>
  <c r="AL41" i="24" l="1"/>
  <c r="AK47"/>
  <c r="AK87" s="1"/>
  <c r="P26" i="39" s="1"/>
  <c r="P29" s="1"/>
  <c r="AM41" i="24" l="1"/>
  <c r="AL47"/>
  <c r="AL87" s="1"/>
  <c r="Q26" i="39" s="1"/>
  <c r="Q29" s="1"/>
  <c r="AN41" i="24" l="1"/>
  <c r="AM47"/>
  <c r="AM87" s="1"/>
  <c r="R26" i="39" s="1"/>
  <c r="R29" s="1"/>
  <c r="AO41" i="24" l="1"/>
  <c r="AN47"/>
  <c r="AN87" s="1"/>
  <c r="S26" i="39" s="1"/>
  <c r="S29" s="1"/>
  <c r="AP41" i="24" l="1"/>
  <c r="AO47"/>
  <c r="AO87" s="1"/>
  <c r="T26" i="39" s="1"/>
  <c r="T29" s="1"/>
  <c r="AQ41" i="24" l="1"/>
  <c r="AP47"/>
  <c r="AP87" s="1"/>
  <c r="U26" i="39" s="1"/>
  <c r="U29" s="1"/>
  <c r="AR41" i="24" l="1"/>
  <c r="AQ47"/>
  <c r="AQ87" s="1"/>
  <c r="V26" i="39" s="1"/>
  <c r="V29" s="1"/>
  <c r="AS41" i="24" l="1"/>
  <c r="AR47"/>
  <c r="AR87" s="1"/>
  <c r="W26" i="39" s="1"/>
  <c r="W29" s="1"/>
  <c r="AT41" i="24" l="1"/>
  <c r="AS47"/>
  <c r="AS87" s="1"/>
  <c r="X26" i="39" s="1"/>
  <c r="X29" s="1"/>
  <c r="AU41" i="24" l="1"/>
  <c r="AT47"/>
  <c r="AT87" s="1"/>
  <c r="Y26" i="39" s="1"/>
  <c r="Y29" s="1"/>
  <c r="AV41" i="24" l="1"/>
  <c r="AU47"/>
  <c r="AU87" s="1"/>
  <c r="Z26" i="39" s="1"/>
  <c r="Z29" s="1"/>
  <c r="AW41" i="24" l="1"/>
  <c r="AV47"/>
  <c r="AV87" s="1"/>
  <c r="AA26" i="39" s="1"/>
  <c r="AA29" s="1"/>
  <c r="AX41" i="24" l="1"/>
  <c r="AW47"/>
  <c r="AW87" s="1"/>
  <c r="AB26" i="39" s="1"/>
  <c r="AB29" s="1"/>
  <c r="AY41" i="24" l="1"/>
  <c r="AX47"/>
  <c r="AX87" s="1"/>
  <c r="AC26" i="39" s="1"/>
  <c r="AC29" s="1"/>
  <c r="AZ41" i="24" l="1"/>
  <c r="AY47"/>
  <c r="AY87" s="1"/>
  <c r="AD26" i="39" s="1"/>
  <c r="AD29" s="1"/>
  <c r="BR56" i="24"/>
  <c r="BA41" l="1"/>
  <c r="AZ47"/>
  <c r="AZ87" s="1"/>
  <c r="AE26" i="39" s="1"/>
  <c r="AE29" s="1"/>
  <c r="BV56" i="24"/>
  <c r="BR60"/>
  <c r="BB41" l="1"/>
  <c r="BA47"/>
  <c r="BA87" s="1"/>
  <c r="AF26" i="39" s="1"/>
  <c r="AF29" s="1"/>
  <c r="BV60" i="24"/>
  <c r="BR66"/>
  <c r="BC41" l="1"/>
  <c r="BC47" s="1"/>
  <c r="BC87" s="1"/>
  <c r="AH26" i="39" s="1"/>
  <c r="BB47" i="24"/>
  <c r="BB87" s="1"/>
  <c r="AG26" i="39" s="1"/>
  <c r="AG29" s="1"/>
  <c r="BV66" i="24"/>
  <c r="AP26" i="39" l="1"/>
  <c r="AH29"/>
  <c r="BK21" i="44"/>
  <c r="BJ21"/>
  <c r="BJ33" s="1"/>
  <c r="BK33" l="1"/>
  <c r="BO21"/>
  <c r="AP29" i="39"/>
  <c r="AR26"/>
  <c r="F21" i="44"/>
  <c r="BO33" l="1"/>
  <c r="BO87" s="1"/>
  <c r="BO89" s="1"/>
  <c r="BR21"/>
  <c r="G21"/>
  <c r="G33" s="1"/>
  <c r="S21"/>
  <c r="F33"/>
  <c r="BR33" l="1"/>
  <c r="BV21"/>
  <c r="BV33" s="1"/>
  <c r="H21"/>
  <c r="H33" s="1"/>
  <c r="I21"/>
  <c r="I33" s="1"/>
  <c r="W21"/>
  <c r="W33" s="1"/>
  <c r="S33"/>
  <c r="BC86"/>
  <c r="BC87" s="1"/>
  <c r="BC89" s="1"/>
  <c r="AH16" i="39" s="1"/>
  <c r="AH18" s="1"/>
  <c r="W33" i="26" l="1"/>
  <c r="W34" s="1"/>
  <c r="W35" s="1"/>
  <c r="Z33"/>
  <c r="Z34" s="1"/>
  <c r="Z35" s="1"/>
  <c r="G32"/>
  <c r="G34" s="1"/>
  <c r="G35" s="1"/>
  <c r="H32"/>
  <c r="BQ32" l="1"/>
  <c r="H34"/>
  <c r="H35" s="1"/>
  <c r="I32"/>
  <c r="J32"/>
  <c r="J34" l="1"/>
  <c r="J35" s="1"/>
  <c r="F28" i="20" s="1"/>
  <c r="F29" s="1"/>
  <c r="I34" i="26"/>
  <c r="I35" s="1"/>
  <c r="E28" i="20" s="1"/>
  <c r="BS32" i="26"/>
  <c r="BW32" s="1"/>
  <c r="BQ34"/>
  <c r="O28" i="20" l="1"/>
  <c r="D28" s="1"/>
  <c r="D28" i="39" s="1"/>
  <c r="AR28" s="1"/>
  <c r="E29" i="20"/>
  <c r="BQ35" i="26"/>
  <c r="BS34"/>
  <c r="O29" i="20"/>
  <c r="BW34" i="26" l="1"/>
  <c r="BW35" s="1"/>
  <c r="BS35"/>
  <c r="D29" i="20"/>
  <c r="D29" i="39" s="1"/>
  <c r="BF40" i="47"/>
  <c r="BF41" s="1"/>
  <c r="AK10" i="39" s="1"/>
  <c r="AK12" s="1"/>
  <c r="AK31" s="1"/>
  <c r="AR29" l="1"/>
  <c r="Z40" i="47" l="1"/>
  <c r="Z41" s="1"/>
  <c r="E10" i="39" s="1"/>
  <c r="E12" s="1"/>
  <c r="BJ37" i="47"/>
  <c r="BJ40" l="1"/>
  <c r="BJ41" s="1"/>
  <c r="AO10" i="39" s="1"/>
  <c r="AO12" s="1"/>
  <c r="F37" i="47"/>
  <c r="Z86" i="44"/>
  <c r="Z87" s="1"/>
  <c r="Z89" s="1"/>
  <c r="E16" i="39" s="1"/>
  <c r="E18" s="1"/>
  <c r="I86" i="44"/>
  <c r="I87" s="1"/>
  <c r="I89" s="1"/>
  <c r="F16" i="20" s="1"/>
  <c r="F18" s="1"/>
  <c r="H86" i="44"/>
  <c r="H87" s="1"/>
  <c r="H89" s="1"/>
  <c r="E16" i="20" s="1"/>
  <c r="AA86" i="44"/>
  <c r="AA87" s="1"/>
  <c r="AA89" s="1"/>
  <c r="F16" i="39" s="1"/>
  <c r="F18" s="1"/>
  <c r="W86" i="44"/>
  <c r="W87" s="1"/>
  <c r="W89" s="1"/>
  <c r="S86"/>
  <c r="S87" s="1"/>
  <c r="S89" s="1"/>
  <c r="M86"/>
  <c r="M87" s="1"/>
  <c r="M89" s="1"/>
  <c r="J16" i="20" s="1"/>
  <c r="J18" s="1"/>
  <c r="K86" i="44"/>
  <c r="K87" s="1"/>
  <c r="K89" s="1"/>
  <c r="H16" i="20" s="1"/>
  <c r="H18" s="1"/>
  <c r="O86" i="44"/>
  <c r="O87" s="1"/>
  <c r="O89" s="1"/>
  <c r="L16" i="20" s="1"/>
  <c r="L18" s="1"/>
  <c r="Q86" i="44"/>
  <c r="Q87" s="1"/>
  <c r="Q89" s="1"/>
  <c r="N16" i="20" s="1"/>
  <c r="N18" s="1"/>
  <c r="L86" i="44"/>
  <c r="L87" s="1"/>
  <c r="L89" s="1"/>
  <c r="I16" i="20" s="1"/>
  <c r="I18" s="1"/>
  <c r="N86" i="44"/>
  <c r="N87" s="1"/>
  <c r="N89" s="1"/>
  <c r="K16" i="20" s="1"/>
  <c r="K18" s="1"/>
  <c r="T86" i="44"/>
  <c r="T87" s="1"/>
  <c r="T89" s="1"/>
  <c r="V86"/>
  <c r="V87" s="1"/>
  <c r="V89" s="1"/>
  <c r="AG86"/>
  <c r="AG87" s="1"/>
  <c r="AG89" s="1"/>
  <c r="L16" i="39" s="1"/>
  <c r="L18" s="1"/>
  <c r="R86" i="44"/>
  <c r="R87" s="1"/>
  <c r="R89" s="1"/>
  <c r="AS86"/>
  <c r="AS87" s="1"/>
  <c r="AS89" s="1"/>
  <c r="X16" i="39" s="1"/>
  <c r="X18" s="1"/>
  <c r="U86" i="44"/>
  <c r="U87" s="1"/>
  <c r="U89" s="1"/>
  <c r="AK86"/>
  <c r="AK87" s="1"/>
  <c r="AK89" s="1"/>
  <c r="P16" i="39" s="1"/>
  <c r="P18" s="1"/>
  <c r="AO86" i="44"/>
  <c r="AO87" s="1"/>
  <c r="AO89" s="1"/>
  <c r="T16" i="39" s="1"/>
  <c r="T18" s="1"/>
  <c r="AQ86" i="44"/>
  <c r="AQ87" s="1"/>
  <c r="AQ89" s="1"/>
  <c r="V16" i="39" s="1"/>
  <c r="V18" s="1"/>
  <c r="AE86" i="44"/>
  <c r="AE87" s="1"/>
  <c r="AE89" s="1"/>
  <c r="J16" i="39" s="1"/>
  <c r="J18" s="1"/>
  <c r="AC86" i="44"/>
  <c r="AC87" s="1"/>
  <c r="AC89" s="1"/>
  <c r="H16" i="39" s="1"/>
  <c r="H18" s="1"/>
  <c r="AI86" i="44"/>
  <c r="AI87" s="1"/>
  <c r="AI89" s="1"/>
  <c r="N16" i="39" s="1"/>
  <c r="N18" s="1"/>
  <c r="Y86" i="44"/>
  <c r="Y87" s="1"/>
  <c r="Y89" s="1"/>
  <c r="AU86"/>
  <c r="AU87" s="1"/>
  <c r="AU89" s="1"/>
  <c r="Z16" i="39" s="1"/>
  <c r="Z18" s="1"/>
  <c r="AM86" i="44"/>
  <c r="AM87" s="1"/>
  <c r="AM89" s="1"/>
  <c r="R16" i="39" s="1"/>
  <c r="R18" s="1"/>
  <c r="X86" i="44"/>
  <c r="X87" s="1"/>
  <c r="X89" s="1"/>
  <c r="AN86"/>
  <c r="AN87" s="1"/>
  <c r="AN89" s="1"/>
  <c r="S16" i="39" s="1"/>
  <c r="S18" s="1"/>
  <c r="AD86" i="44"/>
  <c r="AD87" s="1"/>
  <c r="AD89" s="1"/>
  <c r="I16" i="39" s="1"/>
  <c r="I18" s="1"/>
  <c r="AR86" i="44"/>
  <c r="AR87" s="1"/>
  <c r="AR89" s="1"/>
  <c r="W16" i="39" s="1"/>
  <c r="W18" s="1"/>
  <c r="AV86" i="44"/>
  <c r="AV87" s="1"/>
  <c r="AV89" s="1"/>
  <c r="AA16" i="39" s="1"/>
  <c r="AA18" s="1"/>
  <c r="AB86" i="44"/>
  <c r="AB87" s="1"/>
  <c r="AB89" s="1"/>
  <c r="G16" i="39" s="1"/>
  <c r="G18" s="1"/>
  <c r="AP86" i="44"/>
  <c r="AP87" s="1"/>
  <c r="AP89" s="1"/>
  <c r="U16" i="39" s="1"/>
  <c r="U18" s="1"/>
  <c r="AF86" i="44"/>
  <c r="AF87" s="1"/>
  <c r="AF89" s="1"/>
  <c r="K16" i="39" s="1"/>
  <c r="K18" s="1"/>
  <c r="AT86" i="44"/>
  <c r="AT87" s="1"/>
  <c r="AT89" s="1"/>
  <c r="Y16" i="39" s="1"/>
  <c r="Y18" s="1"/>
  <c r="AW86" i="44"/>
  <c r="AW87" s="1"/>
  <c r="AW89" s="1"/>
  <c r="AB16" i="39" s="1"/>
  <c r="AB18" s="1"/>
  <c r="AH86" i="44"/>
  <c r="AH87" s="1"/>
  <c r="AH89" s="1"/>
  <c r="M16" i="39" s="1"/>
  <c r="M18" s="1"/>
  <c r="AJ86" i="44"/>
  <c r="AJ87" s="1"/>
  <c r="AJ89" s="1"/>
  <c r="O16" i="39" s="1"/>
  <c r="O18" s="1"/>
  <c r="AL86" i="44"/>
  <c r="AL87" s="1"/>
  <c r="AL89" s="1"/>
  <c r="Q16" i="39" s="1"/>
  <c r="Q18" s="1"/>
  <c r="BJ86" i="44"/>
  <c r="BJ87" s="1"/>
  <c r="BJ89" s="1"/>
  <c r="AO16" i="39" s="1"/>
  <c r="AO18" s="1"/>
  <c r="T37" i="47" l="1"/>
  <c r="S37"/>
  <c r="R37"/>
  <c r="U37"/>
  <c r="G37"/>
  <c r="F40"/>
  <c r="F41" s="1"/>
  <c r="BK86" i="44"/>
  <c r="BK87" s="1"/>
  <c r="BK89" s="1"/>
  <c r="AP16" i="39" s="1"/>
  <c r="E18" i="20"/>
  <c r="V37" i="47" l="1"/>
  <c r="V40" s="1"/>
  <c r="V41" s="1"/>
  <c r="R40"/>
  <c r="R41" s="1"/>
  <c r="U40"/>
  <c r="U41" s="1"/>
  <c r="Y37"/>
  <c r="Y40" s="1"/>
  <c r="Y41" s="1"/>
  <c r="G40"/>
  <c r="G41" s="1"/>
  <c r="I37"/>
  <c r="I40" s="1"/>
  <c r="I41" s="1"/>
  <c r="F10" i="20" s="1"/>
  <c r="T40" i="47"/>
  <c r="T41" s="1"/>
  <c r="X37"/>
  <c r="X40" s="1"/>
  <c r="X41" s="1"/>
  <c r="S40"/>
  <c r="S41" s="1"/>
  <c r="W37"/>
  <c r="W40" s="1"/>
  <c r="W41" s="1"/>
  <c r="AP18" i="39"/>
  <c r="F86" i="44"/>
  <c r="F87" s="1"/>
  <c r="F89" s="1"/>
  <c r="O10" i="20" l="1"/>
  <c r="J86" i="44"/>
  <c r="J87" s="1"/>
  <c r="J89" s="1"/>
  <c r="G16" i="20" s="1"/>
  <c r="P86" i="44"/>
  <c r="P87" s="1"/>
  <c r="P89" s="1"/>
  <c r="M16" i="20" s="1"/>
  <c r="M18" s="1"/>
  <c r="G86" i="44"/>
  <c r="D10" i="20" l="1"/>
  <c r="D10" i="39" s="1"/>
  <c r="AR10" s="1"/>
  <c r="G87" i="44"/>
  <c r="G89" s="1"/>
  <c r="BN86"/>
  <c r="BN87" s="1"/>
  <c r="BN89" s="1"/>
  <c r="G18" i="20"/>
  <c r="O16"/>
  <c r="D16" l="1"/>
  <c r="D16" i="39" s="1"/>
  <c r="AR16" s="1"/>
  <c r="O18" i="20"/>
  <c r="BR86" i="44"/>
  <c r="BV86" l="1"/>
  <c r="BV87" s="1"/>
  <c r="BV89" s="1"/>
  <c r="BR87"/>
  <c r="BR89" s="1"/>
  <c r="D18" i="20"/>
  <c r="D18" i="39" s="1"/>
  <c r="AR18" l="1"/>
  <c r="AY42" i="42"/>
  <c r="AC21" i="39" s="1"/>
  <c r="AC23" s="1"/>
  <c r="AC31" s="1"/>
  <c r="AV20" i="42"/>
  <c r="L42"/>
  <c r="H21" i="20" s="1"/>
  <c r="H23" s="1"/>
  <c r="H30" s="1"/>
  <c r="AA42" i="42"/>
  <c r="E21" i="39" s="1"/>
  <c r="E23" s="1"/>
  <c r="E31" s="1"/>
  <c r="AV21" i="42"/>
  <c r="BL21" s="1"/>
  <c r="BK21"/>
  <c r="G21" s="1"/>
  <c r="BK20"/>
  <c r="BL20" l="1"/>
  <c r="BL25" s="1"/>
  <c r="AV25"/>
  <c r="G20"/>
  <c r="G25" s="1"/>
  <c r="BK25"/>
  <c r="AJ42"/>
  <c r="N21" i="39" s="1"/>
  <c r="N23" s="1"/>
  <c r="AS42" i="42"/>
  <c r="W21" i="39" s="1"/>
  <c r="W23" s="1"/>
  <c r="W31" s="1"/>
  <c r="AI42" i="42"/>
  <c r="M21" i="39" s="1"/>
  <c r="M23" s="1"/>
  <c r="M31" s="1"/>
  <c r="AR42" i="42"/>
  <c r="V21" i="39" s="1"/>
  <c r="V23" s="1"/>
  <c r="AN42" i="42"/>
  <c r="R21" i="39" s="1"/>
  <c r="R23" s="1"/>
  <c r="AB42" i="42"/>
  <c r="F21" i="39" s="1"/>
  <c r="F23" s="1"/>
  <c r="BB42" i="42"/>
  <c r="AF21" i="39" s="1"/>
  <c r="AF23" s="1"/>
  <c r="AF42" i="42"/>
  <c r="J21" i="39" s="1"/>
  <c r="J23" s="1"/>
  <c r="P42" i="42"/>
  <c r="L21" i="20" s="1"/>
  <c r="L23" s="1"/>
  <c r="L30" s="1"/>
  <c r="J42" i="42"/>
  <c r="F21" i="20" s="1"/>
  <c r="F23" s="1"/>
  <c r="AO42" i="42"/>
  <c r="S21" i="39" s="1"/>
  <c r="S23" s="1"/>
  <c r="S31" s="1"/>
  <c r="AT42" i="42"/>
  <c r="X21" i="39" s="1"/>
  <c r="X23" s="1"/>
  <c r="AK42" i="42"/>
  <c r="O21" i="39" s="1"/>
  <c r="O23" s="1"/>
  <c r="O31" s="1"/>
  <c r="I42" i="42"/>
  <c r="E21" i="20" s="1"/>
  <c r="E23" s="1"/>
  <c r="AZ42" i="42"/>
  <c r="AD21" i="39" s="1"/>
  <c r="AD23" s="1"/>
  <c r="AG42" i="42"/>
  <c r="K21" i="39" s="1"/>
  <c r="K23" s="1"/>
  <c r="K31" s="1"/>
  <c r="AL42" i="42"/>
  <c r="P21" i="39" s="1"/>
  <c r="P23" s="1"/>
  <c r="O42" i="42"/>
  <c r="K21" i="20" s="1"/>
  <c r="K23" s="1"/>
  <c r="K30" s="1"/>
  <c r="N42" i="42"/>
  <c r="J21" i="20" s="1"/>
  <c r="J23" s="1"/>
  <c r="J30" s="1"/>
  <c r="AM42" i="42"/>
  <c r="Q21" i="39" s="1"/>
  <c r="Q23" s="1"/>
  <c r="Q31" s="1"/>
  <c r="BC42" i="42"/>
  <c r="AG21" i="39" s="1"/>
  <c r="AG23" s="1"/>
  <c r="AG31" s="1"/>
  <c r="BD42" i="42"/>
  <c r="AH21" i="39" s="1"/>
  <c r="AH23" s="1"/>
  <c r="AH42" i="42"/>
  <c r="L21" i="39" s="1"/>
  <c r="L23" s="1"/>
  <c r="AQ42" i="42"/>
  <c r="U21" i="39" s="1"/>
  <c r="U23" s="1"/>
  <c r="U31" s="1"/>
  <c r="K42" i="42"/>
  <c r="G21" i="20" s="1"/>
  <c r="G23" s="1"/>
  <c r="G30" s="1"/>
  <c r="AP42" i="42"/>
  <c r="T21" i="39" s="1"/>
  <c r="T23" s="1"/>
  <c r="AE42" i="42"/>
  <c r="I21" i="39" s="1"/>
  <c r="I23" s="1"/>
  <c r="I31" s="1"/>
  <c r="BA42" i="42"/>
  <c r="AE21" i="39" s="1"/>
  <c r="AE23" s="1"/>
  <c r="AE31" s="1"/>
  <c r="AW42" i="42"/>
  <c r="AA21" i="39" s="1"/>
  <c r="AA23" s="1"/>
  <c r="AA31" s="1"/>
  <c r="AU42" i="42"/>
  <c r="Y21" i="39" s="1"/>
  <c r="Y23" s="1"/>
  <c r="Y31" s="1"/>
  <c r="Q42" i="42"/>
  <c r="M21" i="20" s="1"/>
  <c r="M23" s="1"/>
  <c r="M30" s="1"/>
  <c r="R42" i="42"/>
  <c r="N21" i="20" s="1"/>
  <c r="N23" s="1"/>
  <c r="N30" s="1"/>
  <c r="AX42" i="42"/>
  <c r="AB21" i="39" s="1"/>
  <c r="AB23" s="1"/>
  <c r="AC42" i="42"/>
  <c r="G21" i="39" s="1"/>
  <c r="G23" s="1"/>
  <c r="G31" s="1"/>
  <c r="AD42" i="42"/>
  <c r="H21" i="39" s="1"/>
  <c r="H23" s="1"/>
  <c r="S20" i="42"/>
  <c r="T20"/>
  <c r="U20"/>
  <c r="U25" s="1"/>
  <c r="V20"/>
  <c r="G42"/>
  <c r="H20"/>
  <c r="BO20" s="1"/>
  <c r="U21"/>
  <c r="T21"/>
  <c r="V21"/>
  <c r="S21"/>
  <c r="H21"/>
  <c r="BS20" l="1"/>
  <c r="T25"/>
  <c r="S25"/>
  <c r="H25"/>
  <c r="V25"/>
  <c r="X21"/>
  <c r="AV42"/>
  <c r="Z21" i="39" s="1"/>
  <c r="Z23" s="1"/>
  <c r="BK42" i="42"/>
  <c r="AO21" i="39" s="1"/>
  <c r="AO23" s="1"/>
  <c r="AO31" s="1"/>
  <c r="BL42" i="42"/>
  <c r="AP21" i="39" s="1"/>
  <c r="AP23" s="1"/>
  <c r="Y21" i="42"/>
  <c r="W21"/>
  <c r="Z20"/>
  <c r="V42"/>
  <c r="X20"/>
  <c r="T42"/>
  <c r="M21"/>
  <c r="BO21"/>
  <c r="W20"/>
  <c r="S42"/>
  <c r="Y20"/>
  <c r="U42"/>
  <c r="M20"/>
  <c r="M25" s="1"/>
  <c r="H42"/>
  <c r="Z21"/>
  <c r="BS21" l="1"/>
  <c r="BW21" s="1"/>
  <c r="Y25"/>
  <c r="BO25"/>
  <c r="BW20"/>
  <c r="BW25" s="1"/>
  <c r="BS25"/>
  <c r="X25"/>
  <c r="X42" s="1"/>
  <c r="W25"/>
  <c r="Z25"/>
  <c r="Y42"/>
  <c r="W42"/>
  <c r="Z42"/>
  <c r="M42" l="1"/>
  <c r="I21" i="20" s="1"/>
  <c r="BO41" i="42"/>
  <c r="BO42" s="1"/>
  <c r="I23" i="20" l="1"/>
  <c r="I30" s="1"/>
  <c r="O21"/>
  <c r="O23" s="1"/>
  <c r="BS41" i="42"/>
  <c r="BS42" s="1"/>
  <c r="BW41"/>
  <c r="BW42" s="1"/>
  <c r="D23" i="20" l="1"/>
  <c r="D23" i="39" s="1"/>
  <c r="D21" i="20"/>
  <c r="D21" i="39" s="1"/>
  <c r="AR21" s="1"/>
  <c r="AR23" l="1"/>
  <c r="AO53" i="46"/>
  <c r="AO54" s="1"/>
  <c r="AO64" s="1"/>
  <c r="V11" i="39" s="1"/>
  <c r="V12" s="1"/>
  <c r="V31" s="1"/>
  <c r="C11" i="48" s="1"/>
  <c r="AC53" i="46"/>
  <c r="AC54"/>
  <c r="AC64"/>
  <c r="J11" i="39" s="1"/>
  <c r="J12" s="1"/>
  <c r="J31" s="1"/>
  <c r="C5" i="48" s="1"/>
  <c r="BA53" i="46"/>
  <c r="BA54" s="1"/>
  <c r="BA64" s="1"/>
  <c r="AH11" i="39" s="1"/>
  <c r="AH12" s="1"/>
  <c r="AH31" s="1"/>
  <c r="C17" i="48" s="1"/>
  <c r="AM53" i="46"/>
  <c r="AM54" s="1"/>
  <c r="AM64" s="1"/>
  <c r="T11" i="39" s="1"/>
  <c r="T12" s="1"/>
  <c r="T31" s="1"/>
  <c r="C10" i="48" s="1"/>
  <c r="AQ53" i="46"/>
  <c r="AQ54" s="1"/>
  <c r="AQ64" s="1"/>
  <c r="X11" i="39" s="1"/>
  <c r="X12" s="1"/>
  <c r="X31" s="1"/>
  <c r="C12" i="48" s="1"/>
  <c r="E53" i="46"/>
  <c r="E54" s="1"/>
  <c r="E64" s="1"/>
  <c r="AG53"/>
  <c r="AG54"/>
  <c r="AG64" s="1"/>
  <c r="N11" i="39" s="1"/>
  <c r="N12" s="1"/>
  <c r="N31" s="1"/>
  <c r="C7" i="48" s="1"/>
  <c r="AA53" i="46"/>
  <c r="AA54" s="1"/>
  <c r="AA64" s="1"/>
  <c r="H11" i="39" s="1"/>
  <c r="H12" s="1"/>
  <c r="H31" s="1"/>
  <c r="C4" i="48" s="1"/>
  <c r="AS53" i="46"/>
  <c r="AS54"/>
  <c r="AS64"/>
  <c r="Z11" i="39" s="1"/>
  <c r="Z12" s="1"/>
  <c r="Z31" s="1"/>
  <c r="C13" i="48" s="1"/>
  <c r="BC53" i="46"/>
  <c r="BC54"/>
  <c r="BC64" s="1"/>
  <c r="AJ11" i="39" s="1"/>
  <c r="AJ12" s="1"/>
  <c r="AJ31" s="1"/>
  <c r="C18" i="48" s="1"/>
  <c r="AI53" i="46"/>
  <c r="AI54" s="1"/>
  <c r="AI64" s="1"/>
  <c r="P11" i="39" s="1"/>
  <c r="P12" s="1"/>
  <c r="P31" s="1"/>
  <c r="C8" i="48" s="1"/>
  <c r="AY53" i="46"/>
  <c r="AY54"/>
  <c r="AY64"/>
  <c r="AF11" i="39" s="1"/>
  <c r="AF12" s="1"/>
  <c r="AF31" s="1"/>
  <c r="C16" i="48" s="1"/>
  <c r="AK53" i="46"/>
  <c r="AK54"/>
  <c r="AK64"/>
  <c r="R11" i="39" s="1"/>
  <c r="R12" s="1"/>
  <c r="R31" s="1"/>
  <c r="C9" i="48" s="1"/>
  <c r="Y53" i="46"/>
  <c r="Y54" s="1"/>
  <c r="Y64" s="1"/>
  <c r="F11" i="39" s="1"/>
  <c r="F12" s="1"/>
  <c r="F31" s="1"/>
  <c r="C3" i="48" s="1"/>
  <c r="AW53" i="46"/>
  <c r="AW54"/>
  <c r="AW64"/>
  <c r="AD11" i="39" s="1"/>
  <c r="AD12" s="1"/>
  <c r="AD31" s="1"/>
  <c r="C15" i="48" s="1"/>
  <c r="AE53" i="46"/>
  <c r="AE54"/>
  <c r="AE64" s="1"/>
  <c r="L11" i="39" s="1"/>
  <c r="L12" s="1"/>
  <c r="L31" s="1"/>
  <c r="C6" i="48" s="1"/>
  <c r="AU53" i="46"/>
  <c r="AU54" s="1"/>
  <c r="AU64" s="1"/>
  <c r="AB11" i="39" s="1"/>
  <c r="AB12" s="1"/>
  <c r="AB31" s="1"/>
  <c r="C14" i="48" s="1"/>
  <c r="V53" i="46"/>
  <c r="U53"/>
  <c r="W53"/>
  <c r="T53"/>
  <c r="BE53"/>
  <c r="BI53" l="1"/>
  <c r="D15" i="48"/>
  <c r="E15"/>
  <c r="F15" s="1"/>
  <c r="E17"/>
  <c r="F17" s="1"/>
  <c r="D17"/>
  <c r="E7"/>
  <c r="F7" s="1"/>
  <c r="D7"/>
  <c r="E14"/>
  <c r="F14" s="1"/>
  <c r="D14"/>
  <c r="E6"/>
  <c r="F6" s="1"/>
  <c r="D6"/>
  <c r="E5"/>
  <c r="F5" s="1"/>
  <c r="D5"/>
  <c r="BI54" i="46"/>
  <c r="BI64" s="1"/>
  <c r="AP11" i="39" s="1"/>
  <c r="AP12" s="1"/>
  <c r="AP31" s="1"/>
  <c r="BM53" i="46"/>
  <c r="E8" i="48"/>
  <c r="F8" s="1"/>
  <c r="D8"/>
  <c r="D4"/>
  <c r="E4"/>
  <c r="F4" s="1"/>
  <c r="E18"/>
  <c r="F18" s="1"/>
  <c r="D18"/>
  <c r="D13"/>
  <c r="E13"/>
  <c r="F13" s="1"/>
  <c r="E9"/>
  <c r="F9" s="1"/>
  <c r="D9"/>
  <c r="E11"/>
  <c r="F11" s="1"/>
  <c r="D11"/>
  <c r="E3"/>
  <c r="D3"/>
  <c r="D16"/>
  <c r="E16"/>
  <c r="F16" s="1"/>
  <c r="E12"/>
  <c r="F12" s="1"/>
  <c r="D12"/>
  <c r="E10"/>
  <c r="F10" s="1"/>
  <c r="D10"/>
  <c r="BE54" i="46"/>
  <c r="BE64" s="1"/>
  <c r="AL11" i="39" s="1"/>
  <c r="AL12" s="1"/>
  <c r="AL31" s="1"/>
  <c r="C19" i="48" s="1"/>
  <c r="C21" s="1"/>
  <c r="D21" s="1"/>
  <c r="G53" i="46"/>
  <c r="G54" s="1"/>
  <c r="G64" s="1"/>
  <c r="F11" i="20" s="1"/>
  <c r="F12" s="1"/>
  <c r="F30" s="1"/>
  <c r="F53" i="46"/>
  <c r="F54" s="1"/>
  <c r="F64" s="1"/>
  <c r="E11" i="20" s="1"/>
  <c r="D19" i="48" l="1"/>
  <c r="E19"/>
  <c r="F19" s="1"/>
  <c r="E21"/>
  <c r="F3"/>
  <c r="E12" i="20"/>
  <c r="E30" s="1"/>
  <c r="F34" s="1"/>
  <c r="O11"/>
  <c r="BP53" i="46"/>
  <c r="BM54"/>
  <c r="BM64" s="1"/>
  <c r="BT53" l="1"/>
  <c r="BT54" s="1"/>
  <c r="BT64" s="1"/>
  <c r="BP54"/>
  <c r="BP64" s="1"/>
  <c r="G15" i="48"/>
  <c r="F21"/>
  <c r="G14"/>
  <c r="G11"/>
  <c r="G8"/>
  <c r="G18"/>
  <c r="G16"/>
  <c r="G13"/>
  <c r="G7"/>
  <c r="G12"/>
  <c r="G5"/>
  <c r="G3"/>
  <c r="G10"/>
  <c r="G19"/>
  <c r="G4"/>
  <c r="G6"/>
  <c r="G9"/>
  <c r="G17"/>
  <c r="D11" i="20"/>
  <c r="D11" i="39" s="1"/>
  <c r="AR11" s="1"/>
  <c r="O12" i="20"/>
  <c r="O30" l="1"/>
  <c r="D30" s="1"/>
  <c r="D12"/>
  <c r="D12" i="39" s="1"/>
  <c r="G21" i="48"/>
  <c r="AR12" i="39" l="1"/>
  <c r="D31"/>
  <c r="AR31" s="1"/>
</calcChain>
</file>

<file path=xl/sharedStrings.xml><?xml version="1.0" encoding="utf-8"?>
<sst xmlns="http://schemas.openxmlformats.org/spreadsheetml/2006/main" count="2838" uniqueCount="845">
  <si>
    <t>COMMUNITY EMPOWERMENT</t>
  </si>
  <si>
    <t>Acct</t>
  </si>
  <si>
    <t>Code</t>
  </si>
  <si>
    <t>Sub Total</t>
  </si>
  <si>
    <t>GRAND TOTAL</t>
  </si>
  <si>
    <t>SUMMARY</t>
  </si>
  <si>
    <t>Quarterly planned expenditure (in Rs.)</t>
  </si>
  <si>
    <t>Q1</t>
  </si>
  <si>
    <t>Q2</t>
  </si>
  <si>
    <t>Q3</t>
  </si>
  <si>
    <t>Q4</t>
  </si>
  <si>
    <t>AWP&amp;B (in Rs.)</t>
  </si>
  <si>
    <t>Activity</t>
  </si>
  <si>
    <t>Component</t>
  </si>
  <si>
    <t>Unit</t>
  </si>
  <si>
    <t>Amount</t>
  </si>
  <si>
    <t>LS</t>
  </si>
  <si>
    <t>Total</t>
  </si>
  <si>
    <t>Unit cost (in Rs.)</t>
  </si>
  <si>
    <t xml:space="preserve">No. of Unit </t>
  </si>
  <si>
    <t>Acct. Code</t>
  </si>
  <si>
    <t xml:space="preserve">   AWP&amp;B </t>
  </si>
  <si>
    <t>Unit Cost (In Rs.)</t>
  </si>
  <si>
    <t>No. of Unit</t>
  </si>
  <si>
    <t xml:space="preserve">Acct code </t>
  </si>
  <si>
    <t>Amount               (In Rs.)</t>
  </si>
  <si>
    <t>No of Unit</t>
  </si>
  <si>
    <t xml:space="preserve">Amount (In Rs) </t>
  </si>
  <si>
    <t>unit Cost (In Rs.)</t>
  </si>
  <si>
    <t>Monitoring &amp; Knoweldge Management</t>
  </si>
  <si>
    <t xml:space="preserve">No. of unit </t>
  </si>
  <si>
    <t xml:space="preserve">Amount (In Rs.) </t>
  </si>
  <si>
    <t>village</t>
  </si>
  <si>
    <t>unit cost</t>
  </si>
  <si>
    <t>Internal audit</t>
  </si>
  <si>
    <t>Unit Cost</t>
  </si>
  <si>
    <t xml:space="preserve"> </t>
  </si>
  <si>
    <t>TOTAL</t>
  </si>
  <si>
    <t>Quarterly planned expenditure (in Rs)</t>
  </si>
  <si>
    <t>year</t>
  </si>
  <si>
    <t>SPMU</t>
  </si>
  <si>
    <t>Com-
ponent</t>
  </si>
  <si>
    <t>No. of unit</t>
  </si>
  <si>
    <t>Khunti</t>
  </si>
  <si>
    <t>Gumla</t>
  </si>
  <si>
    <t>Lohardaga</t>
  </si>
  <si>
    <t>Latehar</t>
  </si>
  <si>
    <t>Simdega</t>
  </si>
  <si>
    <t>East Singhbhum</t>
  </si>
  <si>
    <t>West Singhbhum</t>
  </si>
  <si>
    <t>Saraikhela Kharsawan</t>
  </si>
  <si>
    <t>Godda</t>
  </si>
  <si>
    <t>Dumka</t>
  </si>
  <si>
    <t>Jamtara</t>
  </si>
  <si>
    <t>Pakur</t>
  </si>
  <si>
    <t>Sahibgang</t>
  </si>
  <si>
    <t>Acct Code</t>
  </si>
  <si>
    <t>Amount (In Rs.)</t>
  </si>
  <si>
    <t>Sl. No.</t>
  </si>
  <si>
    <t>Community Empowerment</t>
  </si>
  <si>
    <t>Quarterly planned unit</t>
  </si>
  <si>
    <t>Quarterly planned Unit</t>
  </si>
  <si>
    <t>Quarterly planned  Unit</t>
  </si>
  <si>
    <t>Community Institutions Development</t>
  </si>
  <si>
    <t>MPA</t>
  </si>
  <si>
    <t>pers_month</t>
  </si>
  <si>
    <t>pers_days</t>
  </si>
  <si>
    <t>persons</t>
  </si>
  <si>
    <t>Stregthening SHGs and Rural Finance</t>
  </si>
  <si>
    <t>SHG</t>
  </si>
  <si>
    <t>CRP</t>
  </si>
  <si>
    <t>person</t>
  </si>
  <si>
    <t>study</t>
  </si>
  <si>
    <t>Late marriage incentives to girls</t>
  </si>
  <si>
    <t>lumpsum</t>
  </si>
  <si>
    <t xml:space="preserve">Land treatment /g </t>
  </si>
  <si>
    <t>ha</t>
  </si>
  <si>
    <t xml:space="preserve">Irrigation structures /h </t>
  </si>
  <si>
    <t xml:space="preserve">Pulses, oilseeds, tubers development /k </t>
  </si>
  <si>
    <t>FSS</t>
  </si>
  <si>
    <t>farmers</t>
  </si>
  <si>
    <t>Nutrition needs assessment</t>
  </si>
  <si>
    <t>GP</t>
  </si>
  <si>
    <t>CSP</t>
  </si>
  <si>
    <t>pers_day</t>
  </si>
  <si>
    <t>Goat rearing unit (5+1) including shed</t>
  </si>
  <si>
    <t>Preparation of Feasibility Reports</t>
  </si>
  <si>
    <t>per MPA</t>
  </si>
  <si>
    <t>LRA for Producer collectives</t>
  </si>
  <si>
    <t>Collective</t>
  </si>
  <si>
    <t>Promotion of Livelihoods collectives</t>
  </si>
  <si>
    <t>collective</t>
  </si>
  <si>
    <t>Infrastructure and equipment</t>
  </si>
  <si>
    <t>Natural Resources Management and Livelihoods Improvement</t>
  </si>
  <si>
    <t xml:space="preserve"> Natural Resources Management and Livelihoods Improvement</t>
  </si>
  <si>
    <t>Community Infrastructure and Drudgery reduction.</t>
  </si>
  <si>
    <t>Toilets</t>
  </si>
  <si>
    <t>Water Purification pilot</t>
  </si>
  <si>
    <t>each</t>
  </si>
  <si>
    <t>Housing units</t>
  </si>
  <si>
    <t>CC road in villages /a</t>
  </si>
  <si>
    <t>km</t>
  </si>
  <si>
    <t>Multi-purpose community hall</t>
  </si>
  <si>
    <t>SHG worksheds</t>
  </si>
  <si>
    <t>set</t>
  </si>
  <si>
    <t>Drudgery Reduction</t>
  </si>
  <si>
    <t>Support to cultural festivals /c</t>
  </si>
  <si>
    <t>Sacred Fencing /e</t>
  </si>
  <si>
    <t>Studies and surveys</t>
  </si>
  <si>
    <t>Each</t>
  </si>
  <si>
    <t>Maintenance of Vehicles/Motor Cycles etc</t>
  </si>
  <si>
    <t>Air conditioners</t>
  </si>
  <si>
    <t>Genset, silent mode</t>
  </si>
  <si>
    <t>Invertors</t>
  </si>
  <si>
    <t>Furniture set</t>
  </si>
  <si>
    <t>1. Surveys and studies</t>
  </si>
  <si>
    <t>RIMS baseline, MTR and endline</t>
  </si>
  <si>
    <t>survey</t>
  </si>
  <si>
    <t>Annual outcome survey</t>
  </si>
  <si>
    <t>PCR study</t>
  </si>
  <si>
    <t>Subtotal Surveys and studies</t>
  </si>
  <si>
    <t/>
  </si>
  <si>
    <t>Statutory audits</t>
  </si>
  <si>
    <t>Subtotal Audits</t>
  </si>
  <si>
    <t>Staff recruitment expenses</t>
  </si>
  <si>
    <t>Subtotal Technical assistance</t>
  </si>
  <si>
    <t>State Programme Director</t>
  </si>
  <si>
    <t>Deputy Programme Director</t>
  </si>
  <si>
    <t>Senior Engineer</t>
  </si>
  <si>
    <t>Manager Finance</t>
  </si>
  <si>
    <t>Project Assistant MIS</t>
  </si>
  <si>
    <t>Executive Assistants</t>
  </si>
  <si>
    <t>Deputation Allowance</t>
  </si>
  <si>
    <t>House Rent Allowances(HRA)</t>
  </si>
  <si>
    <t>Medical/Health/Accident Insurance Allowances)</t>
  </si>
  <si>
    <t>Communication Allowances</t>
  </si>
  <si>
    <t>Statutory  provision(EPF)/f</t>
  </si>
  <si>
    <t>Insurance of Assets</t>
  </si>
  <si>
    <t>Arbitation Charges</t>
  </si>
  <si>
    <t>Hiring of Security Services</t>
  </si>
  <si>
    <t>Office operating expenses</t>
  </si>
  <si>
    <t>Ceiling fans</t>
  </si>
  <si>
    <t>Junior Agricultural Officer</t>
  </si>
  <si>
    <t>Travel allowance</t>
  </si>
  <si>
    <t>New Office buildings /a</t>
  </si>
  <si>
    <t>Renovation of existing buildings</t>
  </si>
  <si>
    <t>Camp offices /b</t>
  </si>
  <si>
    <t>No of units</t>
  </si>
  <si>
    <t>at state level</t>
  </si>
  <si>
    <t>meeting</t>
  </si>
  <si>
    <t>at MPA level /a</t>
  </si>
  <si>
    <t>Subtotal Monthly review meetings</t>
  </si>
  <si>
    <t>Subtotal Learning and sharing workshop</t>
  </si>
  <si>
    <t>PCR review workshop</t>
  </si>
  <si>
    <t>Subtotal Review workshop</t>
  </si>
  <si>
    <t>RIMS and M&amp;E state level training</t>
  </si>
  <si>
    <t>RIMS and M&amp;E training at MPA level</t>
  </si>
  <si>
    <t>Annual Outcome survey training</t>
  </si>
  <si>
    <t>Subtotal Training</t>
  </si>
  <si>
    <t>M&amp;E support</t>
  </si>
  <si>
    <t>PME consultants</t>
  </si>
  <si>
    <t>Participatory M&amp;E consultant</t>
  </si>
  <si>
    <t>Funding Source</t>
  </si>
  <si>
    <t>ST &amp; SC DEVELOPMENT DEPARTMENT, GOVERNMENT OF ODISHA</t>
  </si>
  <si>
    <t>ODISHA PVTG EMPOWERMENT AND LIVELIHOODS IMPROVEMENT PROGRAMME</t>
  </si>
  <si>
    <t xml:space="preserve">INDIA:      </t>
  </si>
  <si>
    <t xml:space="preserve">AWPB:  </t>
  </si>
  <si>
    <t>Component: 1</t>
  </si>
  <si>
    <t xml:space="preserve">Subcomponent:1.1 </t>
  </si>
  <si>
    <t>Department</t>
  </si>
  <si>
    <t>Programme Management</t>
  </si>
  <si>
    <t>INDIA:</t>
  </si>
  <si>
    <t>Component: 4</t>
  </si>
  <si>
    <t>Subcomponent:4.3</t>
  </si>
  <si>
    <t>Subcomponent:4.2</t>
  </si>
  <si>
    <t xml:space="preserve"> Project management Unit</t>
  </si>
  <si>
    <t xml:space="preserve">Subcomponent:4.1 </t>
  </si>
  <si>
    <t xml:space="preserve"> Drudgery Reduction</t>
  </si>
  <si>
    <t>Component: 3</t>
  </si>
  <si>
    <t xml:space="preserve">Subcomponent:3.1 </t>
  </si>
  <si>
    <t>Community Infrastructure</t>
  </si>
  <si>
    <t>Component: 2</t>
  </si>
  <si>
    <t xml:space="preserve"> Livelihoods Improvement</t>
  </si>
  <si>
    <t xml:space="preserve">Subcomponent:2.3 </t>
  </si>
  <si>
    <t>Component:2</t>
  </si>
  <si>
    <t xml:space="preserve">Subcomponent:2.2 </t>
  </si>
  <si>
    <t>Land &amp; Water Resources Development</t>
  </si>
  <si>
    <t xml:space="preserve">Subcomponent:2.1 </t>
  </si>
  <si>
    <t xml:space="preserve"> Natural Resource Management</t>
  </si>
  <si>
    <t xml:space="preserve">   Stregthening SHGs and Rural Finance</t>
  </si>
  <si>
    <t>Unit Cost 
 (In Rs.)</t>
  </si>
  <si>
    <t>Amount in INR</t>
  </si>
  <si>
    <t>BDA,Mudulipada</t>
  </si>
  <si>
    <t>CBDA,Sunabeda</t>
  </si>
  <si>
    <t>DDA,Kudumuluguma</t>
  </si>
  <si>
    <t>DKDA,Chatikona</t>
  </si>
  <si>
    <t>DKDA,parsali</t>
  </si>
  <si>
    <t>KKDA,Belghar</t>
  </si>
  <si>
    <t>KKDA,Lanjigarh</t>
  </si>
  <si>
    <t>LDA,Morada</t>
  </si>
  <si>
    <t>LSDA,Puttasing</t>
  </si>
  <si>
    <t>LSDA,Serango</t>
  </si>
  <si>
    <t>PBDA,Jamardihi</t>
  </si>
  <si>
    <t>PBDA,Khutungaon</t>
  </si>
  <si>
    <t>PBDA,Rugudakudar</t>
  </si>
  <si>
    <t>SDA,Chandragiri</t>
  </si>
  <si>
    <t>TDA,Tumba</t>
  </si>
  <si>
    <t>HKMDA,Jasipur</t>
  </si>
  <si>
    <t>JDA,Gonasika</t>
  </si>
  <si>
    <t>PMU</t>
  </si>
  <si>
    <t>AWPB</t>
  </si>
  <si>
    <t>Total : Eighty-eight  crore four lakh fifteen thousand and eight four rupees only..</t>
  </si>
  <si>
    <t>GoO %</t>
  </si>
  <si>
    <t>IFAD %</t>
  </si>
  <si>
    <t>SCA-TSP %</t>
  </si>
  <si>
    <t>Article 275 %</t>
  </si>
  <si>
    <t>CCD %</t>
  </si>
  <si>
    <t>MGNERGA%</t>
  </si>
  <si>
    <t>IAY%</t>
  </si>
  <si>
    <t>NHM%</t>
  </si>
  <si>
    <t>Benificiary%</t>
  </si>
  <si>
    <t>Other %</t>
  </si>
  <si>
    <t>Amount(INR)</t>
  </si>
  <si>
    <t>Source of Fund</t>
  </si>
  <si>
    <t>IFAD ( 80% )</t>
  </si>
  <si>
    <t>IFAD ( 100% )</t>
  </si>
  <si>
    <t>IFAD ( 50% )</t>
  </si>
  <si>
    <t>IFAD ( 80% ), BEN ( 10% )</t>
  </si>
  <si>
    <t>IFAD ( 80% ), BEN ( 20% )</t>
  </si>
  <si>
    <t>IFAD ( 80% ), BEN (10%)</t>
  </si>
  <si>
    <t>BEN ( 10% ), IFAD(80%)</t>
  </si>
  <si>
    <t>As per Cost Tab</t>
  </si>
  <si>
    <t>Operating cost to VDC</t>
  </si>
  <si>
    <t>Works</t>
  </si>
  <si>
    <t>Training &amp; Capacity Building</t>
  </si>
  <si>
    <t>Goods,Service ,Input</t>
  </si>
  <si>
    <t>Grants</t>
  </si>
  <si>
    <t>Total Investment Cost</t>
  </si>
  <si>
    <t>Salary &amp; Allowances</t>
  </si>
  <si>
    <t>Operating Cost</t>
  </si>
  <si>
    <t>Total Recurring Cost</t>
  </si>
  <si>
    <t>IFAD</t>
  </si>
  <si>
    <t xml:space="preserve"> Investment Cost</t>
  </si>
  <si>
    <t>Recurring Cost</t>
  </si>
  <si>
    <t>As Per Cost Tab</t>
  </si>
  <si>
    <t>NB:</t>
  </si>
  <si>
    <t xml:space="preserve"> 1.1. Community Institutions</t>
  </si>
  <si>
    <t>\a Cost inclusive of the service tax of 12.5%</t>
  </si>
  <si>
    <t>\b Wages at INR 4500/month for 80 MPW from April 2014 to March 2015</t>
  </si>
  <si>
    <t>\c 10 from PMU and 3 each from MPA</t>
  </si>
  <si>
    <t>\d 2 each from PMU and MPA</t>
  </si>
  <si>
    <t>\e one each from MPA and NGO</t>
  </si>
  <si>
    <t>\f 5 from each MPA and 12 from PMU</t>
  </si>
  <si>
    <t>\g 4 persons per MPA for 5 days</t>
  </si>
  <si>
    <t>\h 4 person per MPA for 2 days</t>
  </si>
  <si>
    <t>\i 4 person per MPA for one day</t>
  </si>
  <si>
    <t>\j One orientation training</t>
  </si>
  <si>
    <t>\k Two day training</t>
  </si>
  <si>
    <t>\l A two day training</t>
  </si>
  <si>
    <t>\m 4 person per village</t>
  </si>
  <si>
    <t>\n 4 person per village</t>
  </si>
  <si>
    <t xml:space="preserve"> 1.2. Stregthening SHGs and Rural Finance</t>
  </si>
  <si>
    <t>\b 3 per MPA</t>
  </si>
  <si>
    <t>\c 3 per MPA</t>
  </si>
  <si>
    <t>\d 6 staff per MPA</t>
  </si>
  <si>
    <t>\e Two women per village</t>
  </si>
  <si>
    <t>\f GP level cluster forums; 10 per GPLF and 2 from each village</t>
  </si>
  <si>
    <t>\g One GPLF for each Gram Panchayat and 30 person from each GPLF</t>
  </si>
  <si>
    <t>\h 3 persons from each GPLF</t>
  </si>
  <si>
    <t>\i vrf-vulnerability reduction fund</t>
  </si>
  <si>
    <t>\j SHG member</t>
  </si>
  <si>
    <t>\k for piloting two cooperatives</t>
  </si>
  <si>
    <t>\l 200 kg capacity bins per SHG targeted to PTG communities.</t>
  </si>
  <si>
    <t>\m 75 kg dal per SHG per year for 2 year period;</t>
  </si>
  <si>
    <t>\n Incentive to girls for marriage after 18 year</t>
  </si>
  <si>
    <t xml:space="preserve"> 2.1. Natural Resource Management</t>
  </si>
  <si>
    <t>\a A group of 15 to 20 persons from each village, for a 3 year period</t>
  </si>
  <si>
    <t>\b one event day</t>
  </si>
  <si>
    <t>\c one event day</t>
  </si>
  <si>
    <t>\d 3 events one day each</t>
  </si>
  <si>
    <t>\e Survey and demarcation of land for allotting land use rights</t>
  </si>
  <si>
    <t>\f Actual reimbursement</t>
  </si>
  <si>
    <t>\g Approx 20 ha of arable land, about 40 households per village;</t>
  </si>
  <si>
    <t>\h each irrigates about 4 ha and benefits 20 households</t>
  </si>
  <si>
    <t xml:space="preserve"> 2.2. Food and Nutrition Security</t>
  </si>
  <si>
    <t>\a Covered under Table 2.2</t>
  </si>
  <si>
    <t>\c Two demo per village for 3 year period</t>
  </si>
  <si>
    <t>\d at least 2 FFS from each village</t>
  </si>
  <si>
    <t>\e for one of three KVKs under OUAT</t>
  </si>
  <si>
    <t>\g cultivation of nutrrition-dense crops; cost for supply of seeds, tools etc</t>
  </si>
  <si>
    <t xml:space="preserve"> 2.3. Livelihoods Improvement</t>
  </si>
  <si>
    <t>\b 2 CSP per GP and training for 45 days</t>
  </si>
  <si>
    <t>\c focus on pulses, oilseeds and millets</t>
  </si>
  <si>
    <t>\d 2 per GP; cost inclusive of tools, seeds and low cost drip irrigation for a 400 sq ft area etc</t>
  </si>
  <si>
    <t>\e 2 per GP</t>
  </si>
  <si>
    <t>\f two CSP per GP; cost inclusive of shed, feed, chicks, wages</t>
  </si>
  <si>
    <t>\g Two camp per year</t>
  </si>
  <si>
    <t>\h all PTG households covered; support includes seeds, tools,training etc</t>
  </si>
  <si>
    <t>\i Unspecified units; a lumpsum provision</t>
  </si>
  <si>
    <t xml:space="preserve"> 3.1. Community Infrastructure</t>
  </si>
  <si>
    <t>\a 50% of villages</t>
  </si>
  <si>
    <t>\b to be operated by any group.</t>
  </si>
  <si>
    <t>\c to be operated by a group, CSP or SHG</t>
  </si>
  <si>
    <t xml:space="preserve"> 3.2. Drudgery Reduction</t>
  </si>
  <si>
    <t>\a 20 ha plot in each village &amp; managed by women' group; cost inclusive of wages for 2 persons for 200 days plus planting materials</t>
  </si>
  <si>
    <t>\b at each GP and to be managed by SHG or VDC; beneficiaries contribution in the form of labour</t>
  </si>
  <si>
    <t>\c Organised by youth groups in respective GP</t>
  </si>
  <si>
    <t>\d This is provided under Table 3.1, Community infrastructure</t>
  </si>
  <si>
    <t>\e Fencing the sacred area within villages</t>
  </si>
  <si>
    <t xml:space="preserve"> 4.1. Project Management Unit</t>
  </si>
  <si>
    <t>\a fax machine, broadband connection, intercom, handycam, digital cameras,mobile, TV, LCD projector etc</t>
  </si>
  <si>
    <t>\b Baseline survey using census approach;</t>
  </si>
  <si>
    <t>\c Manual preparation, training to accountants etc</t>
  </si>
  <si>
    <t>\d Services of a Deputy Secretary from the Revenue Department</t>
  </si>
  <si>
    <t>\e  Conveyance allowance, HRA, Medical Allowance, EPF- as per Govt., Communication allowance,etc</t>
  </si>
  <si>
    <t>\f such as EPF, leave salary, gratuity</t>
  </si>
  <si>
    <t>Funds already released for VDP</t>
  </si>
  <si>
    <t>Total VDA/VDP</t>
  </si>
  <si>
    <t>EPA Completed</t>
  </si>
  <si>
    <t>Field bunding</t>
  </si>
  <si>
    <t>Stone bunding</t>
  </si>
  <si>
    <t>SCT</t>
  </si>
  <si>
    <t>LBCD/LBS</t>
  </si>
  <si>
    <t>RMS/Earthen Bund</t>
  </si>
  <si>
    <t>Gully Control Structure</t>
  </si>
  <si>
    <t>ha.</t>
  </si>
  <si>
    <t>No</t>
  </si>
  <si>
    <t>rmt</t>
  </si>
  <si>
    <t>Land Levelling/development</t>
  </si>
  <si>
    <t>Mango Plantation</t>
  </si>
  <si>
    <t>Lemon Grass</t>
  </si>
  <si>
    <t>Hill Broom</t>
  </si>
  <si>
    <t>Litchi</t>
  </si>
  <si>
    <t>Orange</t>
  </si>
  <si>
    <t>Guava</t>
  </si>
  <si>
    <t>Pine Apple</t>
  </si>
  <si>
    <t>Banana</t>
  </si>
  <si>
    <t>Amla</t>
  </si>
  <si>
    <t>Ground Nut</t>
  </si>
  <si>
    <t>K Lime</t>
  </si>
  <si>
    <t>Mustard</t>
  </si>
  <si>
    <t>Sun Flower</t>
  </si>
  <si>
    <t>Arhar</t>
  </si>
  <si>
    <t>Black Gram</t>
  </si>
  <si>
    <t>Green Gram</t>
  </si>
  <si>
    <t>Yam</t>
  </si>
  <si>
    <t>Potato</t>
  </si>
  <si>
    <t>Onion</t>
  </si>
  <si>
    <t>Garlic</t>
  </si>
  <si>
    <t>Turmaric</t>
  </si>
  <si>
    <t>Ginger</t>
  </si>
  <si>
    <t>Horsegram</t>
  </si>
  <si>
    <t>Paddy (Line Sowing, Critical Intervention)</t>
  </si>
  <si>
    <t>Mushroom</t>
  </si>
  <si>
    <t>DKDA,Parsali</t>
  </si>
  <si>
    <t>Niger</t>
  </si>
  <si>
    <t>Brinjal</t>
  </si>
  <si>
    <t>Tomato</t>
  </si>
  <si>
    <t>Ivy guard</t>
  </si>
  <si>
    <t>Pointed Guard</t>
  </si>
  <si>
    <t>Spine Guard</t>
  </si>
  <si>
    <t>Soure</t>
  </si>
  <si>
    <t>Check Dam</t>
  </si>
  <si>
    <t>Sweet Corn</t>
  </si>
  <si>
    <t>Brocoli</t>
  </si>
  <si>
    <t>Marigold</t>
  </si>
  <si>
    <t>Total village</t>
  </si>
  <si>
    <t>Earthen GC</t>
  </si>
  <si>
    <t>Community Tank Rennovation</t>
  </si>
  <si>
    <t>Micro-Project Agency  Unit</t>
  </si>
  <si>
    <t>Cow Shed</t>
  </si>
  <si>
    <t>Hill Broom Binding</t>
  </si>
  <si>
    <t>mds</t>
  </si>
  <si>
    <t>Sweet Potato</t>
  </si>
  <si>
    <t>Goatery Shed</t>
  </si>
  <si>
    <t>Cabbage</t>
  </si>
  <si>
    <t>cauli flower</t>
  </si>
  <si>
    <t>Pumpkin</t>
  </si>
  <si>
    <t>Vegetables</t>
  </si>
  <si>
    <t>RMT</t>
  </si>
  <si>
    <t>Percolation Tank</t>
  </si>
  <si>
    <t xml:space="preserve">Nursery </t>
  </si>
  <si>
    <t>Other Misc.works</t>
  </si>
  <si>
    <t>Floricultutre,Mushroom &amp; Commercial Crop</t>
  </si>
  <si>
    <t>NADEP Compost Pit</t>
  </si>
  <si>
    <t>NREGS(100 %)</t>
  </si>
  <si>
    <t>April 2019 to March 2020</t>
  </si>
  <si>
    <t>Others</t>
  </si>
  <si>
    <t>Beans</t>
  </si>
  <si>
    <t>Cashew New plus Maintenance</t>
  </si>
  <si>
    <t>Sesamam</t>
  </si>
  <si>
    <t>Vermin Compost</t>
  </si>
  <si>
    <t>Sunhemp</t>
  </si>
  <si>
    <t>Rennovation of Irrigation canal</t>
  </si>
  <si>
    <t>Hiring of Vehicles including POL</t>
  </si>
  <si>
    <t>\a 7persons from  SHG by MPA</t>
  </si>
  <si>
    <t>Village</t>
  </si>
  <si>
    <t>%</t>
  </si>
  <si>
    <t>PVTG</t>
  </si>
  <si>
    <t>Okra</t>
  </si>
  <si>
    <t>cow pea/gourd</t>
  </si>
  <si>
    <t>Reappropriated Annual Work Plan and Budget- From April 2019 to March 2020</t>
  </si>
  <si>
    <t>AWP&amp;B (in Rs.) Apr 19 to March 20</t>
  </si>
  <si>
    <t>CCD ( 100% )</t>
  </si>
  <si>
    <t>IFAD ( 75% ), BEN ( 10% )</t>
  </si>
  <si>
    <t>Vermin Compost-making /c</t>
  </si>
  <si>
    <t>NB</t>
  </si>
  <si>
    <t>\o 4 person per village</t>
  </si>
  <si>
    <t xml:space="preserve">Plantation </t>
  </si>
  <si>
    <t xml:space="preserve">Cereal / millets crops development </t>
  </si>
  <si>
    <t>\f in particular for rain-fed and other  crops etc.</t>
  </si>
  <si>
    <t>\b 2 SHG/groups  per village for 3 year period</t>
  </si>
  <si>
    <t>\a 2 per GP; cost for wages foregone; 30 days training at any KVK/other state level institute</t>
  </si>
  <si>
    <t>\j one SHG/group  per GP</t>
  </si>
  <si>
    <t xml:space="preserve">\k set up near haat bazar </t>
  </si>
  <si>
    <t xml:space="preserve">\l Two month  training or duration as appicable </t>
  </si>
  <si>
    <t>Sl. No</t>
  </si>
  <si>
    <t xml:space="preserve">Name of MPA </t>
  </si>
  <si>
    <t>NREGA ( 100% )</t>
  </si>
  <si>
    <t>Mixed Plantation</t>
  </si>
  <si>
    <t>Pigeon  Pea(Chana)/pea</t>
  </si>
  <si>
    <t>BDA, Mudulipada</t>
  </si>
  <si>
    <t>CBDA, Sunabeda</t>
  </si>
  <si>
    <t>DDA, Kudumuluguma</t>
  </si>
  <si>
    <t>DKDA, Chatikona</t>
  </si>
  <si>
    <t>Tentative State Budget</t>
  </si>
  <si>
    <t xml:space="preserve">Chilly </t>
  </si>
  <si>
    <t>Maize</t>
  </si>
  <si>
    <t>Consolidt. Scheme</t>
  </si>
  <si>
    <t>GoO</t>
  </si>
  <si>
    <t>Awareness Programme at Village level /f</t>
  </si>
  <si>
    <t>Confidence Building Measures diffcult areas</t>
  </si>
  <si>
    <t>Promotion/Revival of SHG (incentives to CRP)</t>
  </si>
  <si>
    <t>Household crop development /f</t>
  </si>
  <si>
    <t>Agriculture and horticulture training /a</t>
  </si>
  <si>
    <t>Livestock  training /b</t>
  </si>
  <si>
    <t>IGA training</t>
  </si>
  <si>
    <t>Support for Crops diversification /c</t>
  </si>
  <si>
    <t>Support for horticulture /d</t>
  </si>
  <si>
    <t>300,000</t>
  </si>
  <si>
    <t>45,000</t>
  </si>
  <si>
    <t>10,000</t>
  </si>
  <si>
    <t>Goat rearing unit (5 does+1 buck)-low cost sheds /h</t>
  </si>
  <si>
    <t>household</t>
  </si>
  <si>
    <t>5,000</t>
  </si>
  <si>
    <t>Hiring of Vehicles</t>
  </si>
  <si>
    <t>Laptop computers</t>
  </si>
  <si>
    <t>Desktop computers</t>
  </si>
  <si>
    <t>Printer, scanner, photocopier</t>
  </si>
  <si>
    <t>360 degree Camera with aceesories</t>
  </si>
  <si>
    <t>Mobile Phone / tablet /a</t>
  </si>
  <si>
    <t xml:space="preserve"> I. Investment Costs</t>
  </si>
  <si>
    <t>A. Buildings</t>
  </si>
  <si>
    <t>Subtotal Buildings</t>
  </si>
  <si>
    <t>Total Investment Costs</t>
  </si>
  <si>
    <t>II. Recurrent Costs</t>
  </si>
  <si>
    <t>A. Staff salary</t>
  </si>
  <si>
    <t>1. Contractual staff</t>
  </si>
  <si>
    <t>Project Managers</t>
  </si>
  <si>
    <t>Asst Engineer (Civil/Agricultural)</t>
  </si>
  <si>
    <t>Accountants Officer</t>
  </si>
  <si>
    <t>Social Mobiliser</t>
  </si>
  <si>
    <t>Data entry operators -MIS</t>
  </si>
  <si>
    <t>Peons-cum-Watchman (daily wage basis)</t>
  </si>
  <si>
    <t>Hardship Allowances</t>
  </si>
  <si>
    <t>Subtotal Contractual staff</t>
  </si>
  <si>
    <t>B. Office operating costs</t>
  </si>
  <si>
    <t>Advertisement / Publicity/documentation/photography</t>
  </si>
  <si>
    <t>Meetings</t>
  </si>
  <si>
    <t xml:space="preserve"> B. Vehicles and Equipment</t>
  </si>
  <si>
    <t xml:space="preserve">Total </t>
  </si>
  <si>
    <t>Per month</t>
  </si>
  <si>
    <t>4,000,000</t>
  </si>
  <si>
    <t>1,000,000</t>
  </si>
  <si>
    <t>500,000</t>
  </si>
  <si>
    <t>50,000</t>
  </si>
  <si>
    <t>1,500</t>
  </si>
  <si>
    <t>40,000</t>
  </si>
  <si>
    <t>20,000</t>
  </si>
  <si>
    <t>150,000</t>
  </si>
  <si>
    <t>200,000</t>
  </si>
  <si>
    <t>160,000</t>
  </si>
  <si>
    <t>60,000</t>
  </si>
  <si>
    <t>30,000</t>
  </si>
  <si>
    <t>25,000</t>
  </si>
  <si>
    <t>14,000</t>
  </si>
  <si>
    <t>100,000</t>
  </si>
  <si>
    <t>2,500</t>
  </si>
  <si>
    <t>Sub Total Vehicles and Equipment</t>
  </si>
  <si>
    <t>sub total Office operating costs</t>
  </si>
  <si>
    <t>A. Monthly review meetings</t>
  </si>
  <si>
    <t>B. Learning and sharing workshop</t>
  </si>
  <si>
    <t>Quality workshop at MPA level /b</t>
  </si>
  <si>
    <t>Quality workshop at PMU level /c</t>
  </si>
  <si>
    <t>C. Review workshop</t>
  </si>
  <si>
    <t>Supervision Mission</t>
  </si>
  <si>
    <t>D. Training</t>
  </si>
  <si>
    <t>E. Technical assistance</t>
  </si>
  <si>
    <t>Designing  &amp; functioning of web site &amp; WEB GIS /d</t>
  </si>
  <si>
    <t>F. Concurrent monitoring /f</t>
  </si>
  <si>
    <t>UNIT</t>
  </si>
  <si>
    <t>75,000</t>
  </si>
  <si>
    <t>120,000</t>
  </si>
  <si>
    <t>5,000,000</t>
  </si>
  <si>
    <t>A. Drugery reduction interventions</t>
  </si>
  <si>
    <t>Support to SHG for refilling  mechanism RF</t>
  </si>
  <si>
    <t>Solar lanterns/Community Solar light</t>
  </si>
  <si>
    <t>Community Fuelwood reserves /a</t>
  </si>
  <si>
    <t>Household drinking Water (Only material cost) /b</t>
  </si>
  <si>
    <t>Subtotal Drugery reduction interventions</t>
  </si>
  <si>
    <t>B. Tribal culture and values</t>
  </si>
  <si>
    <t>Subtotal Tribal culture and values</t>
  </si>
  <si>
    <t>A. Vehicles and Equipment</t>
  </si>
  <si>
    <t>Subtotal Vehicles and Equipment</t>
  </si>
  <si>
    <t>B. Surveys, audits and TA</t>
  </si>
  <si>
    <t>Mid-line survey /c</t>
  </si>
  <si>
    <t>Other studies</t>
  </si>
  <si>
    <t>2. Audits</t>
  </si>
  <si>
    <t>Audits of VDC</t>
  </si>
  <si>
    <t>Preparation of Finance Manual /d</t>
  </si>
  <si>
    <t>Tally software (Renewal)</t>
  </si>
  <si>
    <t>3. Technical assistance</t>
  </si>
  <si>
    <t>National consultants</t>
  </si>
  <si>
    <t>NGO recruitment expenses</t>
  </si>
  <si>
    <t xml:space="preserve">Seminar/Conference </t>
  </si>
  <si>
    <t>Subtotal Surveys, audits and TA</t>
  </si>
  <si>
    <t>Programme Officer ( NRM)</t>
  </si>
  <si>
    <t>Manager Livelihoods &amp; convergene</t>
  </si>
  <si>
    <t>Manager (MIS and M&amp;E)</t>
  </si>
  <si>
    <t>Programme Officer(M&amp;E)</t>
  </si>
  <si>
    <t>Procurement Officer</t>
  </si>
  <si>
    <t>Programme Officer ( CI &amp; RF)</t>
  </si>
  <si>
    <t>Manager GIS</t>
  </si>
  <si>
    <t>Accounts Assistants (2)</t>
  </si>
  <si>
    <t>GIS Operator</t>
  </si>
  <si>
    <t>MPW 2</t>
  </si>
  <si>
    <t>Subtotal Staff salary</t>
  </si>
  <si>
    <t>Office rent</t>
  </si>
  <si>
    <t>2,500,000</t>
  </si>
  <si>
    <t>1,500,000</t>
  </si>
  <si>
    <t>3,000</t>
  </si>
  <si>
    <t>180,000</t>
  </si>
  <si>
    <t>15,000</t>
  </si>
  <si>
    <t>1,580,000</t>
  </si>
  <si>
    <t>A. Drinking water &amp; sanitation</t>
  </si>
  <si>
    <t>Subtotal Drinking water &amp; sanitation</t>
  </si>
  <si>
    <t>B. Housing &amp; habitat development</t>
  </si>
  <si>
    <t>Subtotal Housing &amp; habitat development</t>
  </si>
  <si>
    <t>C. Roads, electricity &amp; solar lighting</t>
  </si>
  <si>
    <t>Subtotal Roads, electricity &amp; solar lighting</t>
  </si>
  <si>
    <t>D. Social  infrastructure</t>
  </si>
  <si>
    <t>Subtotal Social  infrastructure</t>
  </si>
  <si>
    <t>E. Economic Infrastructure</t>
  </si>
  <si>
    <t>F. Agricultural machinery &amp; tools /b</t>
  </si>
  <si>
    <t>Small farm implements /d</t>
  </si>
  <si>
    <t>Seed storage bins</t>
  </si>
  <si>
    <t>Subtotal Agricultural machinery &amp; tools</t>
  </si>
  <si>
    <t>IFAD(80%), BEN ( 20% )</t>
  </si>
  <si>
    <t>PMAY/BPGY ( 100% )</t>
  </si>
  <si>
    <t>CCD (100% )</t>
  </si>
  <si>
    <t>ART275 ( 100% )</t>
  </si>
  <si>
    <t>A. Training CSP</t>
  </si>
  <si>
    <t>Subtotal Training CSP</t>
  </si>
  <si>
    <t>B. Support to CSPs in upscaling</t>
  </si>
  <si>
    <t>Subtotal Support to CSPs in upscaling</t>
  </si>
  <si>
    <t>C. Livestock demonstrations</t>
  </si>
  <si>
    <t>Poultry mother units /e</t>
  </si>
  <si>
    <t>Subtotal Livestock demonstrations</t>
  </si>
  <si>
    <t>D. Household production support</t>
  </si>
  <si>
    <t>Subtotal Household production support</t>
  </si>
  <si>
    <t>E. Setting up of Producers Collectives</t>
  </si>
  <si>
    <t>Hand-holding support</t>
  </si>
  <si>
    <t>Subtotal Setting up of Producers Collectives</t>
  </si>
  <si>
    <t>Support for Agril and allied cluster development /i</t>
  </si>
  <si>
    <t>G. Support for Other Livelihood</t>
  </si>
  <si>
    <t>High value commercial agriculture and allied</t>
  </si>
  <si>
    <t>600</t>
  </si>
  <si>
    <t>750,000</t>
  </si>
  <si>
    <t>400,000</t>
  </si>
  <si>
    <t>2,000,000</t>
  </si>
  <si>
    <t>A. Food security</t>
  </si>
  <si>
    <t>1. PTG Food production system</t>
  </si>
  <si>
    <t>Onfarm demonstrations/a /a</t>
  </si>
  <si>
    <t>Seed Production support /b /b</t>
  </si>
  <si>
    <t>Nutrition Resource Centre /d</t>
  </si>
  <si>
    <t>Subtotal PTG Food production system</t>
  </si>
  <si>
    <t>2. Farmers Field Schools, FFS</t>
  </si>
  <si>
    <t>Formation/organisation of FFS /e</t>
  </si>
  <si>
    <t>Subtotal Food security</t>
  </si>
  <si>
    <t>B. Nutrition security</t>
  </si>
  <si>
    <t>1. Nutrition-dense crop diversification</t>
  </si>
  <si>
    <t>2. Behavioural Change in Health, sanitation &amp; hygeine /h</t>
  </si>
  <si>
    <t>A. Agriculture Training /a</t>
  </si>
  <si>
    <t>Cereal crops SRI for rice, millet /b</t>
  </si>
  <si>
    <t>Pulses, oilseeds, tuber crops /c</t>
  </si>
  <si>
    <t>Horticulture /d</t>
  </si>
  <si>
    <t>Subtotal Agriculture Training</t>
  </si>
  <si>
    <t>B. Land Rights Allocation: LANDESA /e</t>
  </si>
  <si>
    <t>Training,workshop, review meetings /f</t>
  </si>
  <si>
    <t>Identification of the Landless, mapping</t>
  </si>
  <si>
    <t>Human resources costs- field level</t>
  </si>
  <si>
    <t>Subtotal Land Rights Allocation: LANDESA</t>
  </si>
  <si>
    <t>C. Natural Resource Management</t>
  </si>
  <si>
    <t>Farmers share for PVTG/STs for various items /k</t>
  </si>
  <si>
    <t>A. SHG formation &amp; strengthening</t>
  </si>
  <si>
    <t>1. SHG mapping &amp; promotion</t>
  </si>
  <si>
    <t>Thematic exposure visits of MPA &amp; NGO staff /a</t>
  </si>
  <si>
    <t>Subtotal SHG mapping &amp; promotion</t>
  </si>
  <si>
    <t>2. SHG equipment: A/c books, Safe &amp; calculators</t>
  </si>
  <si>
    <t>Subtotal SHG formation &amp; strengthening</t>
  </si>
  <si>
    <t>B. Training programme on SHG Led institutions</t>
  </si>
  <si>
    <t>1. SHG functioning</t>
  </si>
  <si>
    <t>State level Training to staff of MPA &amp; NGO for 4 days</t>
  </si>
  <si>
    <t>MPA level Training of CRPs for  4 days</t>
  </si>
  <si>
    <t>GPLF level Training to SHG members on many  subjects /b</t>
  </si>
  <si>
    <t>GPLF level Training to SHG Leaders on different themes /c</t>
  </si>
  <si>
    <t>GPLF level Training to SHG Book-keepers /d</t>
  </si>
  <si>
    <t>Subtotal SHG functioning</t>
  </si>
  <si>
    <t>State level Training to staff of MPA &amp; NGO /e</t>
  </si>
  <si>
    <t>MPA level Training of CRPs /f</t>
  </si>
  <si>
    <t>GPLF level Training to SHG members on Financial management etc /g</t>
  </si>
  <si>
    <t>GPLF level Training to Leaders on Financial management /h</t>
  </si>
  <si>
    <t>Training materials</t>
  </si>
  <si>
    <t>Subtotal Financial management with financial literacy</t>
  </si>
  <si>
    <t>3. Gender and Nutrition training</t>
  </si>
  <si>
    <t>Training CRPs for 2 days</t>
  </si>
  <si>
    <t>Subtotal Training programme on SHG Led institutions</t>
  </si>
  <si>
    <t>C. Rural Finance support to SHG led Institutions</t>
  </si>
  <si>
    <t>1. Functioning of CLF/GPLF /i</t>
  </si>
  <si>
    <t>State level Training to staff of MPA &amp; NGO</t>
  </si>
  <si>
    <t>MPA level Training to CRPs</t>
  </si>
  <si>
    <t>MPA/NGO level Accounting training to book keeper &amp; 3 office bearer of each GPLF /j</t>
  </si>
  <si>
    <t>MIS support to MPA</t>
  </si>
  <si>
    <t>Subtotal Functioning of CLF/GPLF</t>
  </si>
  <si>
    <t>2. GPLF building &amp; strenthening</t>
  </si>
  <si>
    <t xml:space="preserve">Sustainable livelihoods and its management </t>
  </si>
  <si>
    <t xml:space="preserve">  training for the leaders /l</t>
  </si>
  <si>
    <t>Training to GPLF memebrs on vision building etc /m</t>
  </si>
  <si>
    <t>Exposure visit of GPLF leaders to the best performing GPLF /n</t>
  </si>
  <si>
    <t>Exposure visit of CLF leaders to the best performing CLF /p</t>
  </si>
  <si>
    <t>Subtotal GPLF building &amp; strenthening</t>
  </si>
  <si>
    <t>3. Funding support to CLF/GPLF</t>
  </si>
  <si>
    <t>Revolving Funds at GPLF Level</t>
  </si>
  <si>
    <t>Subtotal Rural Finance support to SHG led Institutions</t>
  </si>
  <si>
    <t>D. Nutrition and social issues</t>
  </si>
  <si>
    <t>1. Dal Poshak banks</t>
  </si>
  <si>
    <t>Dal Bank equipment /q</t>
  </si>
  <si>
    <t>Supply of Dal /r</t>
  </si>
  <si>
    <t>Supply of pulses seed for multiplication /s</t>
  </si>
  <si>
    <t>Subtotal Dal Poshak banks</t>
  </si>
  <si>
    <t>2. Marriage incentives /t</t>
  </si>
  <si>
    <t>Person _days</t>
  </si>
  <si>
    <t>PL S</t>
  </si>
  <si>
    <t>Lumpsum</t>
  </si>
  <si>
    <t>500</t>
  </si>
  <si>
    <t>650</t>
  </si>
  <si>
    <t>2,000</t>
  </si>
  <si>
    <t>5,250</t>
  </si>
  <si>
    <t>A. Service provider contracts (NGO) /a</t>
  </si>
  <si>
    <t>B. PMU Level Training &amp; Exposure visit</t>
  </si>
  <si>
    <t xml:space="preserve">Exposure visit to Outside state on different themes for 5 days	</t>
  </si>
  <si>
    <t>Exposure visit to inside state on different themes for 3 days	 /b</t>
  </si>
  <si>
    <t xml:space="preserve">State level training programme on different themes for 3 days	</t>
  </si>
  <si>
    <t>Subtotal PMU Level Training &amp; Exposure visit</t>
  </si>
  <si>
    <t>C. MPA &amp; NGO staff including CRP exposure</t>
  </si>
  <si>
    <t>D. CRP training</t>
  </si>
  <si>
    <t>VDC Strengthening in several topics /c</t>
  </si>
  <si>
    <t>Various Thematic training including AWPB, VDP etc. /d</t>
  </si>
  <si>
    <t>Subtotal CRP training</t>
  </si>
  <si>
    <t>E. TOT Training module</t>
  </si>
  <si>
    <t>1. Hiring of Resource Agency</t>
  </si>
  <si>
    <t>Imparting ToT &amp; developing training Modules</t>
  </si>
  <si>
    <t>Knowledge Management &amp; IGA</t>
  </si>
  <si>
    <t>Arrangement of training &amp; other related Expd.</t>
  </si>
  <si>
    <t>Subtotal Hiring of Resource Agency</t>
  </si>
  <si>
    <t>F. Training VDA / VDC members</t>
  </si>
  <si>
    <t>VDA General body Meetings /Social Audit</t>
  </si>
  <si>
    <t>Thematic Training including AWPB, Leadership, VDP,Book Keeping, Audit etc</t>
  </si>
  <si>
    <t>Exposure visit of VDC members on different themes /e</t>
  </si>
  <si>
    <t>Subtotal Training VDA / VDC members</t>
  </si>
  <si>
    <t>G. Village development</t>
  </si>
  <si>
    <t>Subtotal Village development</t>
  </si>
  <si>
    <t>IFAD ( 80%)</t>
  </si>
  <si>
    <t xml:space="preserve">Animal health camps /f Travis </t>
  </si>
  <si>
    <t xml:space="preserve">person/Group </t>
  </si>
  <si>
    <t xml:space="preserve">Person days </t>
  </si>
  <si>
    <t xml:space="preserve">Sabai grass </t>
  </si>
  <si>
    <t>Apple ber</t>
  </si>
  <si>
    <t>water melon</t>
  </si>
  <si>
    <t>Drumstick</t>
  </si>
  <si>
    <t>Tapioca</t>
  </si>
  <si>
    <t>Mixed Plantation mentainnance</t>
  </si>
  <si>
    <t>Mango Plantation Mentainance 1ST YR</t>
  </si>
  <si>
    <t>Mango Plantation Mentainance 2ND YR</t>
  </si>
  <si>
    <t>Cashew Plantation Mentainance 1ST YR</t>
  </si>
  <si>
    <t>Cashew Plantation Mentainance 2nd YR</t>
  </si>
  <si>
    <t>Dangar Rani(Kating</t>
  </si>
  <si>
    <t>Sub Total Floricultutre</t>
  </si>
  <si>
    <t xml:space="preserve">Sub Total NRM </t>
  </si>
  <si>
    <t>Entry Point activity</t>
  </si>
  <si>
    <t>Sub Total Late marriage incentives</t>
  </si>
  <si>
    <t>CCD-(100 % )</t>
  </si>
  <si>
    <t>IFAD ( 80 % )</t>
  </si>
  <si>
    <t xml:space="preserve"> land allocation</t>
  </si>
  <si>
    <t>Assessment of use and  nutrient value  of uncultivated foods</t>
  </si>
  <si>
    <t xml:space="preserve">Study </t>
  </si>
  <si>
    <t xml:space="preserve">         </t>
  </si>
  <si>
    <t xml:space="preserve">Subtotal Nutrition Security </t>
  </si>
  <si>
    <t>Sub Total Office operating costs</t>
  </si>
  <si>
    <t xml:space="preserve">Exposure visit inside state on different themes </t>
  </si>
  <si>
    <t>GPLF level Training to Leaders on various themes /k</t>
  </si>
  <si>
    <t>person_days</t>
  </si>
  <si>
    <t>CLF level Training to Leaders on varous themes etc /o</t>
  </si>
  <si>
    <t>Programme Officer ( CB, Gender &amp; Nutrition)</t>
  </si>
  <si>
    <t>System analyst</t>
  </si>
  <si>
    <t>VDC</t>
  </si>
  <si>
    <t>Accountants- 1 Nos</t>
  </si>
  <si>
    <t>Hiring of HR agency for PMU &amp; MPA /consultant</t>
  </si>
  <si>
    <t>Obligatory provisions (Annual Cash incentive , leave encashment etc.)</t>
  </si>
  <si>
    <t>Workshop/Speciallised Meeting/Training etc. /e</t>
  </si>
  <si>
    <t>Ceiling/wall mounting  fans</t>
  </si>
  <si>
    <t>Advertisement / Publicity(IEC) /Video documentation/Tribal festival/Publication  etc /i</t>
  </si>
  <si>
    <t>Livelihoods Improvement</t>
  </si>
  <si>
    <t>Food &amp; Nutrition Security</t>
  </si>
  <si>
    <t>Programme Management Unit</t>
  </si>
  <si>
    <t>Micro Project Agency Unit</t>
  </si>
  <si>
    <t>Monitoring, Evaluation and KM</t>
  </si>
  <si>
    <t>SUMMARY OF AWPB 2020-21</t>
  </si>
  <si>
    <t>IFAD ( 80% ), BEN (20%)</t>
  </si>
  <si>
    <t>C. Policy initiatives &amp; Social Security</t>
  </si>
  <si>
    <t>Pradhan Mantri Jeeban Jyoti Bima Yojana (PMJJBY)</t>
  </si>
  <si>
    <t>Pradhan Mantri Jeeban Surakshya Bima Yojana (PMJSBY)</t>
  </si>
  <si>
    <t>Pradhan Mantri Sishu Vikash Yojana (PMSVY)</t>
  </si>
  <si>
    <t>CCD (100%)</t>
  </si>
  <si>
    <t>Backyard Poultry (10 bird unit)/g</t>
  </si>
  <si>
    <t>Backyard Poultry (10 bird unit) (CCD)</t>
  </si>
  <si>
    <t>SCA (80%), BEN (20%)</t>
  </si>
  <si>
    <t>SCA (100%)</t>
  </si>
  <si>
    <t>Tractor based costume hiring centre</t>
  </si>
  <si>
    <t xml:space="preserve">Black Rice/Sala Phula /Aromatic </t>
  </si>
  <si>
    <t xml:space="preserve">Confidence Building Measures PVTG Villages </t>
  </si>
  <si>
    <t>Subtotal Policy initiatives &amp; Social Security</t>
  </si>
  <si>
    <t>Power tillers based custom hiring /c</t>
  </si>
  <si>
    <t>Promotion of agril  production Cluster SCA</t>
  </si>
  <si>
    <t xml:space="preserve">SCA (100 %) </t>
  </si>
  <si>
    <t>Poultry Cluster (10 bird unit/HH ) 100 HH in 2 -3 village (SCA )</t>
  </si>
  <si>
    <t>Promotion of Goatery Cluster in 1 or  2 villages ( 5 goats per HH and total 50 HH  in one cluster with 6 bucks ) SCA</t>
  </si>
  <si>
    <t xml:space="preserve">Promotion of Goatery Cluster in 1 or  2 villages ( 5 goats per HH and total 50 HH  in one cluster with 6 bucks ) CCD </t>
  </si>
  <si>
    <t xml:space="preserve">No </t>
  </si>
  <si>
    <t>Promotion of Horticulture production Cluster SCA</t>
  </si>
  <si>
    <t xml:space="preserve">Large Water Harvesting Structure CCD </t>
  </si>
  <si>
    <t xml:space="preserve">Beneficiary Contribution for river lift/ micro river lift /Deep borewell/CLIP CCD </t>
  </si>
  <si>
    <t xml:space="preserve">DBI/Piped water conveyance system CCD </t>
  </si>
  <si>
    <t xml:space="preserve">Water Harvesting Structure /Irrigation structure/Irrigation conveyance CCD </t>
  </si>
  <si>
    <t xml:space="preserve">sprinkler beneficiary contribution CCD </t>
  </si>
  <si>
    <t xml:space="preserve">Drip Beneficiary contribution CCD </t>
  </si>
  <si>
    <t xml:space="preserve">MGNREGA (100 %) </t>
  </si>
  <si>
    <t xml:space="preserve">Ghat Cutting roads CCD </t>
  </si>
  <si>
    <t xml:space="preserve">Provisioning of Boat CCD </t>
  </si>
  <si>
    <t xml:space="preserve">Mobile Tower CCD </t>
  </si>
  <si>
    <t>SCA (100 %)</t>
  </si>
  <si>
    <t>Sub Total Economic Infrastructure</t>
  </si>
  <si>
    <t xml:space="preserve">Creche-cum-NRC Fixed Cost </t>
  </si>
  <si>
    <t>Creche Operational Cost</t>
  </si>
  <si>
    <t>Cooked Meal for pregnant and lactating mothers</t>
  </si>
  <si>
    <t>Cooked Meal for 0-3 and 3-6 years</t>
  </si>
  <si>
    <t>Incentives to Mothers Group /SHGs for cooking , serving , cleaning</t>
  </si>
  <si>
    <t>Utensil set for Spot Feeding Centre</t>
  </si>
  <si>
    <t>Fuelwoods/Gas othewrs'</t>
  </si>
  <si>
    <t>Engagement of temporary contractual Nutrition Cordinator in MPAs</t>
  </si>
  <si>
    <t>Other provisions /Salary Enhancement/arrear salary  etc. /h</t>
  </si>
  <si>
    <t>IFAD (80 %)</t>
  </si>
  <si>
    <t>Adult Literacy Unit</t>
  </si>
  <si>
    <t>VDP preparation /m</t>
  </si>
  <si>
    <t>vdc</t>
  </si>
  <si>
    <t>Working shed for Producer Groups and business activity centre for NTFP/MFP/SAP etc.  /k</t>
  </si>
  <si>
    <t>Information-cum-Culture  Centre IFAD</t>
  </si>
  <si>
    <t>Information-cum-Culture  Centre CCD</t>
  </si>
  <si>
    <t>PVTG population</t>
  </si>
  <si>
    <t>Budget</t>
  </si>
  <si>
    <t>Solar Grid CCD</t>
  </si>
  <si>
    <t xml:space="preserve">Pickup Van /Cold Store Van CCD </t>
  </si>
  <si>
    <t>CCD (82%), BEN (18%)</t>
  </si>
  <si>
    <t>CCD (100 %)</t>
  </si>
  <si>
    <t>Installation of Travis for Veterinary Treatment</t>
  </si>
  <si>
    <t>IFAD (80%)</t>
  </si>
  <si>
    <t>Water Harvesting Structure/Irrigation structure/DBI  SCA</t>
  </si>
  <si>
    <t>Developing Market Yard / New Haat SCA</t>
  </si>
  <si>
    <t xml:space="preserve">F. Support for NTFP marketing/Cluster Development </t>
  </si>
  <si>
    <t xml:space="preserve">Sub Total Support for NTFP marketing/Cluster Development </t>
  </si>
  <si>
    <t>Culvert/Cause Weir/Cdworks ART</t>
  </si>
  <si>
    <t>PM/BPAY%</t>
  </si>
  <si>
    <t xml:space="preserve">Ragi /smaller millets </t>
  </si>
  <si>
    <t xml:space="preserve">Lac Cultivation </t>
  </si>
  <si>
    <t>MGNRGA(100 %)</t>
  </si>
  <si>
    <t>Other Vegetables/Crops</t>
  </si>
  <si>
    <t>OLM Meetings</t>
  </si>
  <si>
    <t xml:space="preserve">Office operating expenses/printing Stationery etc </t>
  </si>
  <si>
    <t>POL for  Motor Cycles @Rs.1500/vehicle/month max.</t>
  </si>
  <si>
    <t xml:space="preserve">NB: All the incentives for farmers should be credited to the beneficiary acoount </t>
  </si>
  <si>
    <t>Traditional Costumes/Cultural Equipments CCD</t>
  </si>
  <si>
    <t>Interpretation Centre &amp; culture Complex CCD</t>
  </si>
  <si>
    <t>Additonal funding over rural housing for preservation of traditional architecture CCD</t>
  </si>
  <si>
    <t>Gravity/Borewell water supply CCD</t>
  </si>
  <si>
    <t>Small cold storage CCD</t>
  </si>
  <si>
    <t>OTH (100 %)</t>
  </si>
  <si>
    <t xml:space="preserve">Refresher Training for LI and VAW 5 days </t>
  </si>
  <si>
    <t>AWPB 2020-21</t>
  </si>
  <si>
    <t xml:space="preserve">Education infrastructure </t>
  </si>
  <si>
    <t>Office Furnishing /Renovation</t>
  </si>
  <si>
    <t>.</t>
  </si>
  <si>
    <t>Total Budget in Crore</t>
  </si>
  <si>
    <t>Total Actual  budget in cr</t>
  </si>
  <si>
    <t>Village basis GoO budget</t>
  </si>
  <si>
    <t>Village Ratio</t>
  </si>
  <si>
    <t>Village in No</t>
  </si>
  <si>
    <t xml:space="preserve">Budget GoO in Cr </t>
  </si>
  <si>
    <t>Budget to be as per PVTG Population</t>
  </si>
  <si>
    <t>N</t>
  </si>
  <si>
    <t xml:space="preserve">Printer, scanner, photocopier / Xerox </t>
  </si>
  <si>
    <t>Maintenance of computers system</t>
  </si>
  <si>
    <t>V sat with broadband connection &amp; Moneky cage</t>
  </si>
  <si>
    <t>Airconditioner (Rs.70000) &amp; Water Cooler (Rs.50000)</t>
  </si>
  <si>
    <t>Desktop / Laptop</t>
  </si>
  <si>
    <t>Earthen Canal/Field chamnnel etc.</t>
  </si>
  <si>
    <t>Rennovation/ New  WHS</t>
  </si>
  <si>
    <t>.0.0</t>
  </si>
  <si>
    <t xml:space="preserve">Dug well </t>
  </si>
  <si>
    <t xml:space="preserve">Farm Pond </t>
  </si>
  <si>
    <t xml:space="preserve">Rennovation &amp; New of diversion wire/Check dam </t>
  </si>
  <si>
    <t>Other equipment /TV/etc. b</t>
  </si>
  <si>
    <r>
      <t xml:space="preserve">2. Financial management with financial </t>
    </r>
    <r>
      <rPr>
        <b/>
        <sz val="12"/>
        <color rgb="FFFF0000"/>
        <rFont val="Calibri"/>
        <family val="2"/>
        <scheme val="minor"/>
      </rPr>
      <t>literacy/awreness on RF</t>
    </r>
  </si>
  <si>
    <t xml:space="preserve">Model Nursery/ Nursery/Nursery management </t>
  </si>
  <si>
    <t>Integrated farming</t>
  </si>
  <si>
    <t>Vocational Studies</t>
  </si>
  <si>
    <t xml:space="preserve">person </t>
  </si>
  <si>
    <t xml:space="preserve">Sub total Other Livelihood </t>
  </si>
  <si>
    <t>Diversion drain</t>
  </si>
  <si>
    <t>Ha</t>
  </si>
  <si>
    <t>RKVY(100 %)</t>
  </si>
  <si>
    <t>RKVY</t>
  </si>
  <si>
    <t>DBI/Piped water conveyance system (Rs.10000/Ha.)</t>
  </si>
  <si>
    <t>RKVY (100%)</t>
  </si>
  <si>
    <t>IGA units for poorest of poor households (Unit cost Ranging from 10,000 to 30,000 INR depending upon BDP Avg. 20,000</t>
  </si>
  <si>
    <t>MIS/GIS design, softwares, development, geo mapping,etc /e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</si>
</sst>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0.0"/>
    <numFmt numFmtId="167" formatCode="#,##0.00_ ;\-#,##0.00\ "/>
    <numFmt numFmtId="168" formatCode="#,##0.00;[Red]#,##0.00"/>
    <numFmt numFmtId="169" formatCode="#,##0.0;\-#,##0.0;\-"/>
    <numFmt numFmtId="170" formatCode="#,##0.0"/>
    <numFmt numFmtId="171" formatCode="_ * #,##0_ ;_ * \-#,##0_ ;_ * &quot;-&quot;??_ ;_ @_ "/>
    <numFmt numFmtId="172" formatCode="_(* #,##0_);_(* \(#,##0\);_(* &quot;-&quot;??_);_(@_)"/>
  </numFmts>
  <fonts count="3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8"/>
      <color rgb="FF000000"/>
      <name val="Calibri"/>
      <family val="2"/>
    </font>
    <font>
      <u/>
      <sz val="18"/>
      <color rgb="FF000000"/>
      <name val="Calibri"/>
      <family val="2"/>
    </font>
    <font>
      <b/>
      <u/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theme="1"/>
      <name val="Calibri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5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4">
    <xf numFmtId="0" fontId="0" fillId="0" borderId="0" xfId="0"/>
    <xf numFmtId="0" fontId="6" fillId="2" borderId="0" xfId="0" applyFont="1" applyFill="1"/>
    <xf numFmtId="2" fontId="6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/>
    <xf numFmtId="2" fontId="6" fillId="0" borderId="0" xfId="0" applyNumberFormat="1" applyFont="1"/>
    <xf numFmtId="0" fontId="7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10" fillId="4" borderId="0" xfId="0" applyFont="1" applyFill="1"/>
    <xf numFmtId="0" fontId="11" fillId="0" borderId="1" xfId="0" applyFont="1" applyBorder="1" applyAlignment="1">
      <alignment wrapText="1"/>
    </xf>
    <xf numFmtId="0" fontId="12" fillId="0" borderId="0" xfId="0" applyFont="1"/>
    <xf numFmtId="0" fontId="13" fillId="0" borderId="1" xfId="0" applyFont="1" applyBorder="1" applyAlignment="1">
      <alignment vertical="top" wrapText="1"/>
    </xf>
    <xf numFmtId="0" fontId="13" fillId="0" borderId="0" xfId="0" applyFont="1"/>
    <xf numFmtId="1" fontId="13" fillId="0" borderId="0" xfId="0" applyNumberFormat="1" applyFont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/>
    <xf numFmtId="1" fontId="13" fillId="0" borderId="1" xfId="0" applyNumberFormat="1" applyFont="1" applyBorder="1"/>
    <xf numFmtId="2" fontId="16" fillId="0" borderId="1" xfId="0" applyNumberFormat="1" applyFont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wrapText="1"/>
    </xf>
    <xf numFmtId="2" fontId="13" fillId="0" borderId="1" xfId="0" applyNumberFormat="1" applyFont="1" applyBorder="1" applyAlignment="1">
      <alignment horizontal="left" vertical="top"/>
    </xf>
    <xf numFmtId="4" fontId="13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right"/>
    </xf>
    <xf numFmtId="0" fontId="14" fillId="0" borderId="0" xfId="0" applyFont="1"/>
    <xf numFmtId="4" fontId="13" fillId="0" borderId="1" xfId="0" applyNumberFormat="1" applyFont="1" applyBorder="1" applyAlignment="1">
      <alignment horizontal="right" vertical="top"/>
    </xf>
    <xf numFmtId="4" fontId="13" fillId="0" borderId="1" xfId="0" applyNumberFormat="1" applyFont="1" applyBorder="1" applyAlignment="1">
      <alignment horizontal="left" vertical="top"/>
    </xf>
    <xf numFmtId="4" fontId="14" fillId="0" borderId="1" xfId="0" applyNumberFormat="1" applyFont="1" applyBorder="1" applyAlignment="1">
      <alignment horizontal="left" vertical="top"/>
    </xf>
    <xf numFmtId="43" fontId="13" fillId="0" borderId="1" xfId="0" applyNumberFormat="1" applyFont="1" applyBorder="1" applyAlignment="1">
      <alignment horizontal="left"/>
    </xf>
    <xf numFmtId="43" fontId="13" fillId="0" borderId="1" xfId="0" applyNumberFormat="1" applyFont="1" applyBorder="1" applyAlignment="1">
      <alignment horizontal="right" vertical="top"/>
    </xf>
    <xf numFmtId="4" fontId="13" fillId="0" borderId="0" xfId="0" applyNumberFormat="1" applyFont="1"/>
    <xf numFmtId="4" fontId="16" fillId="0" borderId="1" xfId="0" applyNumberFormat="1" applyFont="1" applyBorder="1" applyAlignment="1">
      <alignment horizontal="left" vertical="top"/>
    </xf>
    <xf numFmtId="4" fontId="13" fillId="0" borderId="1" xfId="0" applyNumberFormat="1" applyFont="1" applyBorder="1"/>
    <xf numFmtId="0" fontId="6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13" fillId="4" borderId="0" xfId="0" applyFont="1" applyFill="1" applyAlignment="1">
      <alignment vertical="top"/>
    </xf>
    <xf numFmtId="0" fontId="13" fillId="4" borderId="0" xfId="0" applyFont="1" applyFill="1" applyAlignment="1">
      <alignment horizontal="left" vertical="top"/>
    </xf>
    <xf numFmtId="4" fontId="12" fillId="0" borderId="0" xfId="0" applyNumberFormat="1" applyFont="1" applyAlignment="1">
      <alignment horizontal="right"/>
    </xf>
    <xf numFmtId="0" fontId="11" fillId="0" borderId="0" xfId="0" applyFont="1"/>
    <xf numFmtId="1" fontId="14" fillId="0" borderId="2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1" fontId="14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1" xfId="0" applyFont="1" applyBorder="1"/>
    <xf numFmtId="164" fontId="13" fillId="4" borderId="1" xfId="1" applyNumberFormat="1" applyFont="1" applyFill="1" applyBorder="1" applyAlignment="1">
      <alignment vertical="top"/>
    </xf>
    <xf numFmtId="164" fontId="13" fillId="0" borderId="1" xfId="1" applyNumberFormat="1" applyFont="1" applyBorder="1"/>
    <xf numFmtId="4" fontId="13" fillId="0" borderId="4" xfId="0" applyNumberFormat="1" applyFont="1" applyBorder="1"/>
    <xf numFmtId="0" fontId="14" fillId="0" borderId="1" xfId="0" applyFont="1" applyBorder="1"/>
    <xf numFmtId="0" fontId="14" fillId="0" borderId="4" xfId="0" applyFont="1" applyBorder="1" applyAlignment="1">
      <alignment horizontal="left" wrapText="1"/>
    </xf>
    <xf numFmtId="0" fontId="13" fillId="0" borderId="4" xfId="0" applyFont="1" applyBorder="1"/>
    <xf numFmtId="164" fontId="13" fillId="0" borderId="4" xfId="1" applyNumberFormat="1" applyFont="1" applyBorder="1"/>
    <xf numFmtId="4" fontId="13" fillId="4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4" fontId="13" fillId="4" borderId="1" xfId="0" applyNumberFormat="1" applyFont="1" applyFill="1" applyBorder="1"/>
    <xf numFmtId="0" fontId="13" fillId="4" borderId="1" xfId="0" applyFont="1" applyFill="1" applyBorder="1"/>
    <xf numFmtId="0" fontId="13" fillId="4" borderId="1" xfId="0" applyFont="1" applyFill="1" applyBorder="1" applyAlignment="1">
      <alignment wrapText="1"/>
    </xf>
    <xf numFmtId="3" fontId="13" fillId="4" borderId="1" xfId="0" applyNumberFormat="1" applyFont="1" applyFill="1" applyBorder="1"/>
    <xf numFmtId="4" fontId="14" fillId="0" borderId="1" xfId="0" applyNumberFormat="1" applyFont="1" applyBorder="1"/>
    <xf numFmtId="0" fontId="14" fillId="4" borderId="4" xfId="0" applyFont="1" applyFill="1" applyBorder="1" applyAlignment="1">
      <alignment horizontal="left" wrapText="1"/>
    </xf>
    <xf numFmtId="0" fontId="13" fillId="4" borderId="4" xfId="0" applyFont="1" applyFill="1" applyBorder="1"/>
    <xf numFmtId="169" fontId="14" fillId="0" borderId="9" xfId="4" applyNumberFormat="1" applyFont="1" applyBorder="1" applyAlignment="1">
      <alignment horizontal="right"/>
    </xf>
    <xf numFmtId="4" fontId="13" fillId="0" borderId="1" xfId="0" applyNumberFormat="1" applyFont="1" applyBorder="1" applyAlignment="1">
      <alignment vertical="top"/>
    </xf>
    <xf numFmtId="4" fontId="0" fillId="0" borderId="0" xfId="0" applyNumberFormat="1"/>
    <xf numFmtId="43" fontId="13" fillId="4" borderId="1" xfId="0" applyNumberFormat="1" applyFont="1" applyFill="1" applyBorder="1" applyAlignment="1">
      <alignment horizontal="left"/>
    </xf>
    <xf numFmtId="43" fontId="13" fillId="4" borderId="1" xfId="0" applyNumberFormat="1" applyFont="1" applyFill="1" applyBorder="1" applyAlignment="1">
      <alignment horizontal="right" vertical="top"/>
    </xf>
    <xf numFmtId="0" fontId="13" fillId="4" borderId="0" xfId="0" applyFont="1" applyFill="1"/>
    <xf numFmtId="164" fontId="13" fillId="4" borderId="4" xfId="1" applyNumberFormat="1" applyFont="1" applyFill="1" applyBorder="1"/>
    <xf numFmtId="1" fontId="13" fillId="4" borderId="1" xfId="0" applyNumberFormat="1" applyFont="1" applyFill="1" applyBorder="1" applyAlignment="1">
      <alignment horizontal="right" vertical="top"/>
    </xf>
    <xf numFmtId="0" fontId="13" fillId="4" borderId="1" xfId="0" applyFont="1" applyFill="1" applyBorder="1" applyAlignment="1">
      <alignment vertical="top" wrapText="1"/>
    </xf>
    <xf numFmtId="1" fontId="13" fillId="4" borderId="1" xfId="0" applyNumberFormat="1" applyFont="1" applyFill="1" applyBorder="1" applyAlignment="1">
      <alignment horizontal="right" vertical="top" wrapText="1"/>
    </xf>
    <xf numFmtId="4" fontId="13" fillId="4" borderId="1" xfId="0" applyNumberFormat="1" applyFont="1" applyFill="1" applyBorder="1" applyAlignment="1">
      <alignment vertical="top" wrapText="1"/>
    </xf>
    <xf numFmtId="4" fontId="13" fillId="4" borderId="1" xfId="0" applyNumberFormat="1" applyFont="1" applyFill="1" applyBorder="1" applyAlignment="1">
      <alignment vertical="top"/>
    </xf>
    <xf numFmtId="3" fontId="13" fillId="4" borderId="1" xfId="0" applyNumberFormat="1" applyFont="1" applyFill="1" applyBorder="1" applyAlignment="1">
      <alignment vertical="top"/>
    </xf>
    <xf numFmtId="164" fontId="13" fillId="4" borderId="1" xfId="1" applyNumberFormat="1" applyFont="1" applyFill="1" applyBorder="1"/>
    <xf numFmtId="165" fontId="13" fillId="4" borderId="1" xfId="0" applyNumberFormat="1" applyFont="1" applyFill="1" applyBorder="1"/>
    <xf numFmtId="43" fontId="13" fillId="4" borderId="1" xfId="0" applyNumberFormat="1" applyFont="1" applyFill="1" applyBorder="1" applyAlignment="1">
      <alignment vertical="top" wrapText="1"/>
    </xf>
    <xf numFmtId="164" fontId="13" fillId="0" borderId="1" xfId="0" applyNumberFormat="1" applyFont="1" applyBorder="1"/>
    <xf numFmtId="164" fontId="13" fillId="4" borderId="1" xfId="0" applyNumberFormat="1" applyFont="1" applyFill="1" applyBorder="1"/>
    <xf numFmtId="4" fontId="17" fillId="4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165" fontId="13" fillId="4" borderId="1" xfId="1" applyFont="1" applyFill="1" applyBorder="1"/>
    <xf numFmtId="0" fontId="14" fillId="0" borderId="1" xfId="0" applyFont="1" applyBorder="1" applyAlignment="1">
      <alignment vertical="top" wrapText="1"/>
    </xf>
    <xf numFmtId="165" fontId="13" fillId="0" borderId="1" xfId="0" applyNumberFormat="1" applyFont="1" applyBorder="1"/>
    <xf numFmtId="164" fontId="13" fillId="4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horizontal="center" vertical="center" textRotation="90" wrapText="1"/>
    </xf>
    <xf numFmtId="4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 vertical="center"/>
    </xf>
    <xf numFmtId="4" fontId="13" fillId="6" borderId="1" xfId="0" applyNumberFormat="1" applyFont="1" applyFill="1" applyBorder="1" applyAlignment="1">
      <alignment horizontal="right" vertical="center"/>
    </xf>
    <xf numFmtId="3" fontId="13" fillId="6" borderId="1" xfId="0" applyNumberFormat="1" applyFont="1" applyFill="1" applyBorder="1" applyAlignment="1">
      <alignment horizontal="right" vertical="center"/>
    </xf>
    <xf numFmtId="43" fontId="13" fillId="0" borderId="1" xfId="0" applyNumberFormat="1" applyFont="1" applyBorder="1" applyAlignment="1">
      <alignment horizontal="right" vertical="top" wrapText="1"/>
    </xf>
    <xf numFmtId="43" fontId="13" fillId="0" borderId="1" xfId="0" applyNumberFormat="1" applyFont="1" applyBorder="1" applyAlignment="1">
      <alignment horizontal="right" vertical="center"/>
    </xf>
    <xf numFmtId="43" fontId="13" fillId="4" borderId="1" xfId="0" applyNumberFormat="1" applyFont="1" applyFill="1" applyBorder="1" applyAlignment="1">
      <alignment horizontal="right" vertical="top" wrapText="1"/>
    </xf>
    <xf numFmtId="0" fontId="13" fillId="7" borderId="1" xfId="0" applyFont="1" applyFill="1" applyBorder="1" applyAlignment="1">
      <alignment horizontal="center" vertical="center" textRotation="90" wrapText="1"/>
    </xf>
    <xf numFmtId="0" fontId="14" fillId="7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vertical="top" wrapText="1"/>
    </xf>
    <xf numFmtId="43" fontId="13" fillId="4" borderId="1" xfId="0" applyNumberFormat="1" applyFont="1" applyFill="1" applyBorder="1" applyAlignment="1">
      <alignment horizontal="right" vertical="center"/>
    </xf>
    <xf numFmtId="0" fontId="14" fillId="7" borderId="1" xfId="0" applyFont="1" applyFill="1" applyBorder="1" applyAlignment="1">
      <alignment horizontal="center" vertical="center" textRotation="90" wrapText="1"/>
    </xf>
    <xf numFmtId="0" fontId="14" fillId="7" borderId="1" xfId="0" applyFont="1" applyFill="1" applyBorder="1" applyAlignment="1">
      <alignment vertical="top" wrapText="1"/>
    </xf>
    <xf numFmtId="0" fontId="14" fillId="7" borderId="1" xfId="0" applyFont="1" applyFill="1" applyBorder="1"/>
    <xf numFmtId="43" fontId="14" fillId="7" borderId="1" xfId="0" applyNumberFormat="1" applyFont="1" applyFill="1" applyBorder="1" applyAlignment="1">
      <alignment horizontal="right" vertical="top" wrapText="1"/>
    </xf>
    <xf numFmtId="3" fontId="14" fillId="7" borderId="1" xfId="0" applyNumberFormat="1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left" vertical="center"/>
    </xf>
    <xf numFmtId="43" fontId="14" fillId="4" borderId="1" xfId="0" applyNumberFormat="1" applyFont="1" applyFill="1" applyBorder="1" applyAlignment="1">
      <alignment horizontal="right" vertical="top" wrapText="1"/>
    </xf>
    <xf numFmtId="3" fontId="14" fillId="4" borderId="1" xfId="0" applyNumberFormat="1" applyFont="1" applyFill="1" applyBorder="1" applyAlignment="1">
      <alignment horizontal="right" vertical="top" wrapText="1"/>
    </xf>
    <xf numFmtId="4" fontId="14" fillId="6" borderId="1" xfId="0" applyNumberFormat="1" applyFont="1" applyFill="1" applyBorder="1" applyAlignment="1">
      <alignment horizontal="right" vertical="top" wrapText="1"/>
    </xf>
    <xf numFmtId="3" fontId="14" fillId="6" borderId="1" xfId="0" applyNumberFormat="1" applyFont="1" applyFill="1" applyBorder="1" applyAlignment="1">
      <alignment horizontal="right" vertical="top" wrapText="1"/>
    </xf>
    <xf numFmtId="4" fontId="13" fillId="6" borderId="1" xfId="0" applyNumberFormat="1" applyFont="1" applyFill="1" applyBorder="1" applyAlignment="1">
      <alignment horizontal="right"/>
    </xf>
    <xf numFmtId="3" fontId="13" fillId="6" borderId="1" xfId="0" applyNumberFormat="1" applyFont="1" applyFill="1" applyBorder="1" applyAlignment="1">
      <alignment horizontal="right"/>
    </xf>
    <xf numFmtId="164" fontId="14" fillId="0" borderId="1" xfId="1" applyNumberFormat="1" applyFont="1" applyBorder="1"/>
    <xf numFmtId="0" fontId="14" fillId="6" borderId="0" xfId="0" applyFont="1" applyFill="1"/>
    <xf numFmtId="0" fontId="13" fillId="7" borderId="1" xfId="0" applyFont="1" applyFill="1" applyBorder="1" applyAlignment="1">
      <alignment vertical="top" wrapText="1"/>
    </xf>
    <xf numFmtId="43" fontId="13" fillId="7" borderId="1" xfId="0" applyNumberFormat="1" applyFont="1" applyFill="1" applyBorder="1" applyAlignment="1">
      <alignment horizontal="right" vertical="top" wrapText="1"/>
    </xf>
    <xf numFmtId="0" fontId="13" fillId="7" borderId="1" xfId="0" applyFont="1" applyFill="1" applyBorder="1"/>
    <xf numFmtId="3" fontId="13" fillId="4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 vertical="top"/>
    </xf>
    <xf numFmtId="3" fontId="13" fillId="6" borderId="1" xfId="0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164" fontId="14" fillId="0" borderId="1" xfId="1" applyNumberFormat="1" applyFont="1" applyBorder="1" applyAlignment="1">
      <alignment vertical="top"/>
    </xf>
    <xf numFmtId="0" fontId="14" fillId="6" borderId="0" xfId="0" applyFont="1" applyFill="1" applyAlignment="1">
      <alignment vertical="top"/>
    </xf>
    <xf numFmtId="3" fontId="13" fillId="4" borderId="1" xfId="0" applyNumberFormat="1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4" fontId="13" fillId="4" borderId="1" xfId="0" applyNumberFormat="1" applyFont="1" applyFill="1" applyBorder="1" applyAlignment="1">
      <alignment horizontal="right" vertical="top"/>
    </xf>
    <xf numFmtId="43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vertical="top"/>
    </xf>
    <xf numFmtId="4" fontId="14" fillId="0" borderId="0" xfId="0" applyNumberFormat="1" applyFont="1" applyAlignment="1">
      <alignment vertical="top"/>
    </xf>
    <xf numFmtId="0" fontId="13" fillId="4" borderId="1" xfId="8" applyFont="1" applyFill="1" applyBorder="1" applyAlignment="1">
      <alignment horizontal="center"/>
    </xf>
    <xf numFmtId="0" fontId="3" fillId="4" borderId="1" xfId="7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169" fontId="14" fillId="0" borderId="1" xfId="4" applyNumberFormat="1" applyFont="1" applyBorder="1" applyAlignment="1">
      <alignment horizontal="right"/>
    </xf>
    <xf numFmtId="0" fontId="13" fillId="0" borderId="1" xfId="5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5" applyFont="1" applyBorder="1"/>
    <xf numFmtId="4" fontId="13" fillId="4" borderId="4" xfId="0" applyNumberFormat="1" applyFont="1" applyFill="1" applyBorder="1"/>
    <xf numFmtId="4" fontId="14" fillId="0" borderId="1" xfId="4" applyNumberFormat="1" applyFont="1" applyBorder="1" applyAlignment="1">
      <alignment horizontal="right"/>
    </xf>
    <xf numFmtId="169" fontId="14" fillId="0" borderId="0" xfId="4" applyNumberFormat="1" applyFont="1" applyAlignment="1">
      <alignment horizontal="right"/>
    </xf>
    <xf numFmtId="0" fontId="20" fillId="2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4" fillId="0" borderId="2" xfId="0" applyFont="1" applyBorder="1" applyAlignment="1">
      <alignment horizontal="right" vertical="top"/>
    </xf>
    <xf numFmtId="4" fontId="14" fillId="0" borderId="2" xfId="0" applyNumberFormat="1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wrapText="1"/>
    </xf>
    <xf numFmtId="0" fontId="14" fillId="6" borderId="4" xfId="0" applyFont="1" applyFill="1" applyBorder="1" applyAlignment="1">
      <alignment wrapText="1"/>
    </xf>
    <xf numFmtId="1" fontId="15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43" fontId="13" fillId="0" borderId="1" xfId="0" applyNumberFormat="1" applyFont="1" applyBorder="1"/>
    <xf numFmtId="0" fontId="13" fillId="0" borderId="1" xfId="0" applyFont="1" applyBorder="1" applyAlignment="1">
      <alignment vertical="top"/>
    </xf>
    <xf numFmtId="164" fontId="13" fillId="0" borderId="1" xfId="1" applyNumberFormat="1" applyFont="1" applyBorder="1" applyAlignment="1">
      <alignment vertical="top"/>
    </xf>
    <xf numFmtId="164" fontId="14" fillId="4" borderId="1" xfId="1" applyNumberFormat="1" applyFont="1" applyFill="1" applyBorder="1"/>
    <xf numFmtId="4" fontId="13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top"/>
    </xf>
    <xf numFmtId="0" fontId="14" fillId="0" borderId="1" xfId="0" applyFont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13" fillId="4" borderId="1" xfId="0" applyNumberFormat="1" applyFont="1" applyFill="1" applyBorder="1" applyAlignment="1">
      <alignment horizontal="left" vertical="top"/>
    </xf>
    <xf numFmtId="4" fontId="13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0" fontId="13" fillId="5" borderId="0" xfId="0" applyFont="1" applyFill="1"/>
    <xf numFmtId="2" fontId="13" fillId="0" borderId="0" xfId="0" applyNumberFormat="1" applyFont="1" applyAlignment="1">
      <alignment horizontal="right"/>
    </xf>
    <xf numFmtId="1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0" fontId="14" fillId="0" borderId="7" xfId="0" applyFont="1" applyBorder="1" applyAlignment="1">
      <alignment horizontal="right" vertical="top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3" fillId="0" borderId="0" xfId="0" applyFont="1" applyAlignment="1">
      <alignment vertical="top" wrapText="1"/>
    </xf>
    <xf numFmtId="0" fontId="14" fillId="0" borderId="1" xfId="0" applyFont="1" applyBorder="1" applyAlignment="1">
      <alignment horizontal="right" vertical="top"/>
    </xf>
    <xf numFmtId="0" fontId="14" fillId="4" borderId="3" xfId="0" applyFont="1" applyFill="1" applyBorder="1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4" fontId="14" fillId="0" borderId="0" xfId="0" applyNumberFormat="1" applyFont="1" applyAlignment="1">
      <alignment horizontal="right" vertical="top"/>
    </xf>
    <xf numFmtId="3" fontId="14" fillId="4" borderId="1" xfId="0" applyNumberFormat="1" applyFont="1" applyFill="1" applyBorder="1" applyAlignment="1">
      <alignment horizontal="right" vertical="top"/>
    </xf>
    <xf numFmtId="4" fontId="14" fillId="4" borderId="1" xfId="0" applyNumberFormat="1" applyFont="1" applyFill="1" applyBorder="1" applyAlignment="1">
      <alignment horizontal="right" vertical="top"/>
    </xf>
    <xf numFmtId="4" fontId="14" fillId="4" borderId="4" xfId="0" applyNumberFormat="1" applyFont="1" applyFill="1" applyBorder="1" applyAlignment="1">
      <alignment horizontal="right" vertical="top"/>
    </xf>
    <xf numFmtId="4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horizontal="right" vertical="top"/>
    </xf>
    <xf numFmtId="0" fontId="13" fillId="4" borderId="1" xfId="0" applyFont="1" applyFill="1" applyBorder="1" applyAlignment="1">
      <alignment horizontal="right" vertical="top" wrapText="1"/>
    </xf>
    <xf numFmtId="167" fontId="13" fillId="4" borderId="1" xfId="0" applyNumberFormat="1" applyFont="1" applyFill="1" applyBorder="1" applyAlignment="1">
      <alignment horizontal="right" vertical="top" wrapText="1"/>
    </xf>
    <xf numFmtId="0" fontId="16" fillId="4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right" vertical="top"/>
    </xf>
    <xf numFmtId="3" fontId="16" fillId="4" borderId="1" xfId="0" applyNumberFormat="1" applyFont="1" applyFill="1" applyBorder="1" applyAlignment="1">
      <alignment horizontal="right" vertical="top"/>
    </xf>
    <xf numFmtId="4" fontId="16" fillId="4" borderId="1" xfId="0" applyNumberFormat="1" applyFont="1" applyFill="1" applyBorder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3" fontId="13" fillId="4" borderId="1" xfId="0" applyNumberFormat="1" applyFont="1" applyFill="1" applyBorder="1" applyAlignment="1">
      <alignment horizontal="right" vertical="top" wrapText="1"/>
    </xf>
    <xf numFmtId="3" fontId="13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/>
    </xf>
    <xf numFmtId="0" fontId="14" fillId="4" borderId="0" xfId="0" applyFont="1" applyFill="1"/>
    <xf numFmtId="0" fontId="13" fillId="4" borderId="1" xfId="5" applyFont="1" applyFill="1" applyBorder="1" applyAlignment="1">
      <alignment horizontal="center"/>
    </xf>
    <xf numFmtId="164" fontId="14" fillId="4" borderId="1" xfId="1" applyNumberFormat="1" applyFont="1" applyFill="1" applyBorder="1" applyAlignment="1">
      <alignment vertical="top"/>
    </xf>
    <xf numFmtId="4" fontId="14" fillId="0" borderId="6" xfId="0" applyNumberFormat="1" applyFont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 wrapText="1"/>
    </xf>
    <xf numFmtId="4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vertical="center" wrapText="1"/>
    </xf>
    <xf numFmtId="0" fontId="13" fillId="6" borderId="0" xfId="0" applyFont="1" applyFill="1"/>
    <xf numFmtId="4" fontId="14" fillId="9" borderId="1" xfId="0" applyNumberFormat="1" applyFont="1" applyFill="1" applyBorder="1"/>
    <xf numFmtId="0" fontId="13" fillId="0" borderId="0" xfId="0" applyFont="1" applyAlignment="1">
      <alignment vertical="center"/>
    </xf>
    <xf numFmtId="43" fontId="13" fillId="0" borderId="0" xfId="0" applyNumberFormat="1" applyFont="1" applyAlignment="1">
      <alignment vertical="center"/>
    </xf>
    <xf numFmtId="4" fontId="14" fillId="0" borderId="2" xfId="0" applyNumberFormat="1" applyFont="1" applyBorder="1" applyAlignment="1">
      <alignment vertical="top" wrapText="1"/>
    </xf>
    <xf numFmtId="4" fontId="14" fillId="0" borderId="2" xfId="0" applyNumberFormat="1" applyFont="1" applyBorder="1" applyAlignment="1">
      <alignment horizontal="right" vertical="top" wrapText="1"/>
    </xf>
    <xf numFmtId="0" fontId="14" fillId="9" borderId="0" xfId="0" applyFont="1" applyFill="1"/>
    <xf numFmtId="4" fontId="14" fillId="4" borderId="1" xfId="0" applyNumberFormat="1" applyFont="1" applyFill="1" applyBorder="1"/>
    <xf numFmtId="4" fontId="14" fillId="4" borderId="1" xfId="0" applyNumberFormat="1" applyFont="1" applyFill="1" applyBorder="1" applyAlignment="1">
      <alignment vertical="top"/>
    </xf>
    <xf numFmtId="1" fontId="13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right"/>
    </xf>
    <xf numFmtId="4" fontId="13" fillId="4" borderId="0" xfId="0" applyNumberFormat="1" applyFont="1" applyFill="1"/>
    <xf numFmtId="0" fontId="13" fillId="4" borderId="12" xfId="0" applyFont="1" applyFill="1" applyBorder="1"/>
    <xf numFmtId="0" fontId="13" fillId="7" borderId="0" xfId="0" applyFont="1" applyFill="1"/>
    <xf numFmtId="1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4" fontId="13" fillId="7" borderId="0" xfId="0" applyNumberFormat="1" applyFont="1" applyFill="1"/>
    <xf numFmtId="0" fontId="14" fillId="7" borderId="0" xfId="0" applyFont="1" applyFill="1"/>
    <xf numFmtId="1" fontId="13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14" fillId="0" borderId="0" xfId="0" applyNumberFormat="1" applyFont="1"/>
    <xf numFmtId="1" fontId="14" fillId="6" borderId="0" xfId="0" applyNumberFormat="1" applyFont="1" applyFill="1" applyAlignment="1">
      <alignment horizontal="right"/>
    </xf>
    <xf numFmtId="0" fontId="14" fillId="6" borderId="0" xfId="0" applyFont="1" applyFill="1" applyAlignment="1">
      <alignment horizontal="right"/>
    </xf>
    <xf numFmtId="0" fontId="14" fillId="6" borderId="0" xfId="0" applyFont="1" applyFill="1" applyAlignment="1">
      <alignment horizontal="center"/>
    </xf>
    <xf numFmtId="1" fontId="14" fillId="6" borderId="0" xfId="0" applyNumberFormat="1" applyFont="1" applyFill="1"/>
    <xf numFmtId="0" fontId="13" fillId="8" borderId="0" xfId="0" applyFont="1" applyFill="1"/>
    <xf numFmtId="0" fontId="13" fillId="8" borderId="0" xfId="0" applyFont="1" applyFill="1" applyAlignment="1">
      <alignment horizontal="right"/>
    </xf>
    <xf numFmtId="4" fontId="13" fillId="8" borderId="0" xfId="0" applyNumberFormat="1" applyFont="1" applyFill="1"/>
    <xf numFmtId="0" fontId="14" fillId="8" borderId="0" xfId="0" applyFont="1" applyFill="1"/>
    <xf numFmtId="0" fontId="12" fillId="0" borderId="1" xfId="0" applyFont="1" applyBorder="1"/>
    <xf numFmtId="43" fontId="13" fillId="0" borderId="1" xfId="1" applyNumberFormat="1" applyFont="1" applyBorder="1"/>
    <xf numFmtId="0" fontId="12" fillId="6" borderId="0" xfId="0" applyFont="1" applyFill="1"/>
    <xf numFmtId="43" fontId="13" fillId="0" borderId="1" xfId="0" applyNumberFormat="1" applyFont="1" applyBorder="1" applyAlignment="1">
      <alignment horizontal="right"/>
    </xf>
    <xf numFmtId="0" fontId="13" fillId="0" borderId="0" xfId="0" applyFont="1" applyAlignment="1"/>
    <xf numFmtId="164" fontId="13" fillId="0" borderId="1" xfId="1" applyNumberFormat="1" applyFont="1" applyBorder="1" applyAlignment="1"/>
    <xf numFmtId="164" fontId="13" fillId="0" borderId="1" xfId="0" applyNumberFormat="1" applyFont="1" applyBorder="1" applyAlignment="1"/>
    <xf numFmtId="164" fontId="13" fillId="0" borderId="4" xfId="1" applyNumberFormat="1" applyFont="1" applyBorder="1" applyAlignment="1"/>
    <xf numFmtId="4" fontId="12" fillId="0" borderId="0" xfId="0" applyNumberFormat="1" applyFont="1"/>
    <xf numFmtId="4" fontId="13" fillId="0" borderId="0" xfId="0" applyNumberFormat="1" applyFont="1" applyAlignment="1"/>
    <xf numFmtId="4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 vertical="center" wrapText="1"/>
    </xf>
    <xf numFmtId="4" fontId="21" fillId="4" borderId="1" xfId="0" applyNumberFormat="1" applyFont="1" applyFill="1" applyBorder="1"/>
    <xf numFmtId="0" fontId="24" fillId="2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horizontal="right"/>
    </xf>
    <xf numFmtId="4" fontId="11" fillId="4" borderId="4" xfId="0" applyNumberFormat="1" applyFont="1" applyFill="1" applyBorder="1" applyAlignment="1">
      <alignment horizontal="right"/>
    </xf>
    <xf numFmtId="0" fontId="11" fillId="4" borderId="0" xfId="0" applyFont="1" applyFill="1"/>
    <xf numFmtId="0" fontId="25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24" fillId="0" borderId="0" xfId="0" applyFont="1"/>
    <xf numFmtId="2" fontId="12" fillId="0" borderId="0" xfId="0" applyNumberFormat="1" applyFont="1"/>
    <xf numFmtId="0" fontId="14" fillId="4" borderId="1" xfId="0" applyFont="1" applyFill="1" applyBorder="1" applyAlignment="1">
      <alignment wrapText="1"/>
    </xf>
    <xf numFmtId="164" fontId="13" fillId="4" borderId="1" xfId="0" applyNumberFormat="1" applyFont="1" applyFill="1" applyBorder="1" applyAlignment="1">
      <alignment horizontal="right"/>
    </xf>
    <xf numFmtId="164" fontId="12" fillId="0" borderId="1" xfId="0" applyNumberFormat="1" applyFont="1" applyBorder="1"/>
    <xf numFmtId="4" fontId="21" fillId="4" borderId="1" xfId="0" applyNumberFormat="1" applyFont="1" applyFill="1" applyBorder="1" applyAlignment="1">
      <alignment vertical="top"/>
    </xf>
    <xf numFmtId="43" fontId="13" fillId="0" borderId="0" xfId="0" applyNumberFormat="1" applyFont="1" applyAlignment="1">
      <alignment horizontal="right" vertical="top"/>
    </xf>
    <xf numFmtId="4" fontId="21" fillId="0" borderId="0" xfId="0" applyNumberFormat="1" applyFont="1" applyFill="1"/>
    <xf numFmtId="1" fontId="13" fillId="4" borderId="1" xfId="0" applyNumberFormat="1" applyFont="1" applyFill="1" applyBorder="1" applyAlignment="1">
      <alignment horizontal="right"/>
    </xf>
    <xf numFmtId="4" fontId="13" fillId="4" borderId="0" xfId="0" applyNumberFormat="1" applyFont="1" applyFill="1" applyAlignment="1">
      <alignment vertical="top"/>
    </xf>
    <xf numFmtId="3" fontId="13" fillId="4" borderId="1" xfId="0" applyNumberFormat="1" applyFont="1" applyFill="1" applyBorder="1" applyAlignment="1">
      <alignment vertical="center"/>
    </xf>
    <xf numFmtId="0" fontId="1" fillId="0" borderId="0" xfId="3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4" fontId="14" fillId="0" borderId="2" xfId="0" applyNumberFormat="1" applyFont="1" applyBorder="1" applyAlignment="1">
      <alignment horizontal="center" vertical="top"/>
    </xf>
    <xf numFmtId="4" fontId="14" fillId="0" borderId="3" xfId="0" applyNumberFormat="1" applyFont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right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3" applyFont="1" applyBorder="1"/>
    <xf numFmtId="0" fontId="13" fillId="0" borderId="1" xfId="3" applyFont="1" applyBorder="1" applyAlignment="1">
      <alignment horizontal="left"/>
    </xf>
    <xf numFmtId="0" fontId="14" fillId="0" borderId="1" xfId="3" applyFont="1" applyBorder="1"/>
    <xf numFmtId="0" fontId="14" fillId="0" borderId="1" xfId="3" applyFont="1" applyBorder="1" applyAlignment="1">
      <alignment horizontal="left"/>
    </xf>
    <xf numFmtId="0" fontId="13" fillId="4" borderId="5" xfId="0" applyFont="1" applyFill="1" applyBorder="1"/>
    <xf numFmtId="0" fontId="13" fillId="0" borderId="1" xfId="3" applyFont="1" applyBorder="1" applyAlignment="1">
      <alignment horizontal="right"/>
    </xf>
    <xf numFmtId="169" fontId="2" fillId="4" borderId="0" xfId="4" applyNumberFormat="1" applyFont="1" applyFill="1" applyAlignment="1">
      <alignment horizontal="right"/>
    </xf>
    <xf numFmtId="0" fontId="14" fillId="4" borderId="2" xfId="0" applyFont="1" applyFill="1" applyBorder="1" applyAlignment="1">
      <alignment horizontal="right" vertical="top"/>
    </xf>
    <xf numFmtId="4" fontId="14" fillId="4" borderId="2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right"/>
    </xf>
    <xf numFmtId="0" fontId="15" fillId="4" borderId="5" xfId="0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horizontal="left"/>
    </xf>
    <xf numFmtId="1" fontId="15" fillId="4" borderId="1" xfId="0" applyNumberFormat="1" applyFont="1" applyFill="1" applyBorder="1" applyAlignment="1">
      <alignment horizontal="right"/>
    </xf>
    <xf numFmtId="1" fontId="14" fillId="4" borderId="1" xfId="0" applyNumberFormat="1" applyFont="1" applyFill="1" applyBorder="1" applyAlignment="1">
      <alignment horizontal="right"/>
    </xf>
    <xf numFmtId="0" fontId="13" fillId="4" borderId="1" xfId="3" applyFont="1" applyFill="1" applyBorder="1"/>
    <xf numFmtId="0" fontId="13" fillId="4" borderId="1" xfId="3" applyFont="1" applyFill="1" applyBorder="1" applyAlignment="1">
      <alignment horizontal="left"/>
    </xf>
    <xf numFmtId="0" fontId="13" fillId="4" borderId="1" xfId="3" applyFont="1" applyFill="1" applyBorder="1" applyAlignment="1">
      <alignment horizontal="right"/>
    </xf>
    <xf numFmtId="0" fontId="13" fillId="4" borderId="5" xfId="0" applyFont="1" applyFill="1" applyBorder="1" applyAlignment="1">
      <alignment vertical="top" wrapText="1"/>
    </xf>
    <xf numFmtId="4" fontId="13" fillId="4" borderId="1" xfId="0" applyNumberFormat="1" applyFont="1" applyFill="1" applyBorder="1" applyAlignment="1"/>
    <xf numFmtId="0" fontId="13" fillId="4" borderId="1" xfId="0" applyFont="1" applyFill="1" applyBorder="1" applyAlignment="1"/>
    <xf numFmtId="43" fontId="13" fillId="4" borderId="1" xfId="0" applyNumberFormat="1" applyFont="1" applyFill="1" applyBorder="1" applyAlignment="1"/>
    <xf numFmtId="164" fontId="13" fillId="4" borderId="1" xfId="0" applyNumberFormat="1" applyFont="1" applyFill="1" applyBorder="1" applyAlignment="1"/>
    <xf numFmtId="43" fontId="13" fillId="4" borderId="1" xfId="0" applyNumberFormat="1" applyFont="1" applyFill="1" applyBorder="1"/>
    <xf numFmtId="0" fontId="14" fillId="4" borderId="1" xfId="3" applyFont="1" applyFill="1" applyBorder="1"/>
    <xf numFmtId="0" fontId="14" fillId="4" borderId="6" xfId="0" applyFont="1" applyFill="1" applyBorder="1" applyAlignment="1">
      <alignment vertical="top"/>
    </xf>
    <xf numFmtId="0" fontId="14" fillId="12" borderId="1" xfId="3" applyFont="1" applyFill="1" applyBorder="1"/>
    <xf numFmtId="0" fontId="13" fillId="9" borderId="1" xfId="0" applyFont="1" applyFill="1" applyBorder="1" applyAlignment="1">
      <alignment vertical="top" wrapText="1"/>
    </xf>
    <xf numFmtId="0" fontId="14" fillId="9" borderId="1" xfId="3" applyFont="1" applyFill="1" applyBorder="1"/>
    <xf numFmtId="0" fontId="13" fillId="9" borderId="1" xfId="3" applyFont="1" applyFill="1" applyBorder="1" applyAlignment="1">
      <alignment horizontal="left"/>
    </xf>
    <xf numFmtId="4" fontId="13" fillId="9" borderId="1" xfId="0" applyNumberFormat="1" applyFont="1" applyFill="1" applyBorder="1"/>
    <xf numFmtId="0" fontId="13" fillId="9" borderId="1" xfId="0" applyFont="1" applyFill="1" applyBorder="1"/>
    <xf numFmtId="0" fontId="13" fillId="9" borderId="0" xfId="0" applyFont="1" applyFill="1"/>
    <xf numFmtId="0" fontId="13" fillId="11" borderId="0" xfId="0" applyFont="1" applyFill="1"/>
    <xf numFmtId="164" fontId="14" fillId="11" borderId="1" xfId="1" applyNumberFormat="1" applyFont="1" applyFill="1" applyBorder="1"/>
    <xf numFmtId="0" fontId="14" fillId="9" borderId="1" xfId="3" applyFont="1" applyFill="1" applyBorder="1" applyAlignment="1">
      <alignment horizontal="left"/>
    </xf>
    <xf numFmtId="164" fontId="14" fillId="9" borderId="1" xfId="1" applyNumberFormat="1" applyFont="1" applyFill="1" applyBorder="1"/>
    <xf numFmtId="0" fontId="14" fillId="9" borderId="0" xfId="0" applyFont="1" applyFill="1" applyBorder="1" applyAlignment="1">
      <alignment horizontal="left" vertical="center" wrapText="1"/>
    </xf>
    <xf numFmtId="0" fontId="13" fillId="9" borderId="1" xfId="3" applyFont="1" applyFill="1" applyBorder="1"/>
    <xf numFmtId="0" fontId="13" fillId="9" borderId="1" xfId="3" applyFont="1" applyFill="1" applyBorder="1" applyAlignment="1">
      <alignment horizontal="right"/>
    </xf>
    <xf numFmtId="0" fontId="14" fillId="11" borderId="1" xfId="0" applyFont="1" applyFill="1" applyBorder="1" applyAlignment="1">
      <alignment vertical="top" wrapText="1"/>
    </xf>
    <xf numFmtId="3" fontId="13" fillId="4" borderId="0" xfId="0" applyNumberFormat="1" applyFont="1" applyFill="1" applyAlignment="1">
      <alignment vertical="top"/>
    </xf>
    <xf numFmtId="3" fontId="14" fillId="4" borderId="0" xfId="0" applyNumberFormat="1" applyFont="1" applyFill="1" applyAlignment="1">
      <alignment vertical="top"/>
    </xf>
    <xf numFmtId="4" fontId="14" fillId="4" borderId="0" xfId="0" applyNumberFormat="1" applyFont="1" applyFill="1" applyAlignment="1">
      <alignment vertical="top"/>
    </xf>
    <xf numFmtId="0" fontId="14" fillId="4" borderId="7" xfId="0" applyFont="1" applyFill="1" applyBorder="1" applyAlignment="1">
      <alignment horizontal="center" vertical="top"/>
    </xf>
    <xf numFmtId="169" fontId="14" fillId="4" borderId="9" xfId="4" applyNumberFormat="1" applyFont="1" applyFill="1" applyBorder="1" applyAlignment="1">
      <alignment horizontal="right"/>
    </xf>
    <xf numFmtId="3" fontId="14" fillId="4" borderId="1" xfId="0" applyNumberFormat="1" applyFont="1" applyFill="1" applyBorder="1" applyAlignment="1">
      <alignment horizontal="center" vertical="top"/>
    </xf>
    <xf numFmtId="4" fontId="14" fillId="4" borderId="1" xfId="0" applyNumberFormat="1" applyFont="1" applyFill="1" applyBorder="1" applyAlignment="1">
      <alignment horizontal="center" vertical="top"/>
    </xf>
    <xf numFmtId="3" fontId="14" fillId="4" borderId="1" xfId="0" applyNumberFormat="1" applyFont="1" applyFill="1" applyBorder="1" applyAlignment="1">
      <alignment vertical="top"/>
    </xf>
    <xf numFmtId="4" fontId="13" fillId="4" borderId="1" xfId="0" applyNumberFormat="1" applyFont="1" applyFill="1" applyBorder="1" applyAlignment="1">
      <alignment horizontal="left" vertical="top"/>
    </xf>
    <xf numFmtId="2" fontId="13" fillId="4" borderId="1" xfId="0" applyNumberFormat="1" applyFont="1" applyFill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4" fontId="13" fillId="4" borderId="0" xfId="0" applyNumberFormat="1" applyFont="1" applyFill="1" applyAlignment="1">
      <alignment horizontal="left" vertical="top"/>
    </xf>
    <xf numFmtId="3" fontId="13" fillId="4" borderId="0" xfId="0" applyNumberFormat="1" applyFont="1" applyFill="1" applyAlignment="1">
      <alignment horizontal="left" vertical="top"/>
    </xf>
    <xf numFmtId="0" fontId="13" fillId="0" borderId="1" xfId="3" applyFont="1" applyBorder="1" applyAlignment="1">
      <alignment horizontal="center"/>
    </xf>
    <xf numFmtId="0" fontId="14" fillId="9" borderId="1" xfId="0" applyFont="1" applyFill="1" applyBorder="1" applyAlignment="1">
      <alignment vertical="top" wrapText="1"/>
    </xf>
    <xf numFmtId="0" fontId="13" fillId="9" borderId="1" xfId="3" applyFont="1" applyFill="1" applyBorder="1" applyAlignment="1">
      <alignment horizontal="center"/>
    </xf>
    <xf numFmtId="0" fontId="14" fillId="9" borderId="1" xfId="0" applyFont="1" applyFill="1" applyBorder="1" applyAlignment="1">
      <alignment horizontal="right" vertical="top"/>
    </xf>
    <xf numFmtId="4" fontId="14" fillId="9" borderId="1" xfId="0" applyNumberFormat="1" applyFont="1" applyFill="1" applyBorder="1" applyAlignment="1">
      <alignment vertical="top"/>
    </xf>
    <xf numFmtId="3" fontId="14" fillId="9" borderId="1" xfId="0" applyNumberFormat="1" applyFont="1" applyFill="1" applyBorder="1" applyAlignment="1">
      <alignment vertical="top"/>
    </xf>
    <xf numFmtId="0" fontId="14" fillId="9" borderId="1" xfId="0" applyFont="1" applyFill="1" applyBorder="1" applyAlignment="1">
      <alignment vertical="top"/>
    </xf>
    <xf numFmtId="0" fontId="14" fillId="9" borderId="0" xfId="0" applyFont="1" applyFill="1" applyAlignment="1">
      <alignment vertical="top"/>
    </xf>
    <xf numFmtId="3" fontId="13" fillId="9" borderId="1" xfId="0" applyNumberFormat="1" applyFont="1" applyFill="1" applyBorder="1" applyAlignment="1">
      <alignment vertical="top"/>
    </xf>
    <xf numFmtId="0" fontId="13" fillId="9" borderId="0" xfId="0" applyFont="1" applyFill="1" applyAlignment="1">
      <alignment vertical="top"/>
    </xf>
    <xf numFmtId="0" fontId="14" fillId="11" borderId="1" xfId="3" applyFont="1" applyFill="1" applyBorder="1" applyAlignment="1">
      <alignment horizontal="left"/>
    </xf>
    <xf numFmtId="166" fontId="13" fillId="4" borderId="1" xfId="0" applyNumberFormat="1" applyFont="1" applyFill="1" applyBorder="1" applyAlignment="1">
      <alignment horizontal="left" vertical="top" wrapText="1"/>
    </xf>
    <xf numFmtId="0" fontId="14" fillId="9" borderId="4" xfId="0" applyFont="1" applyFill="1" applyBorder="1" applyAlignment="1">
      <alignment horizontal="left" wrapText="1"/>
    </xf>
    <xf numFmtId="0" fontId="14" fillId="11" borderId="4" xfId="0" applyFont="1" applyFill="1" applyBorder="1" applyAlignment="1">
      <alignment horizontal="left" wrapText="1"/>
    </xf>
    <xf numFmtId="0" fontId="13" fillId="11" borderId="1" xfId="3" applyFont="1" applyFill="1" applyBorder="1" applyAlignment="1">
      <alignment horizontal="center"/>
    </xf>
    <xf numFmtId="0" fontId="13" fillId="4" borderId="1" xfId="3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vertical="top" wrapText="1"/>
    </xf>
    <xf numFmtId="4" fontId="14" fillId="4" borderId="4" xfId="0" applyNumberFormat="1" applyFont="1" applyFill="1" applyBorder="1" applyAlignment="1">
      <alignment vertical="top" wrapText="1"/>
    </xf>
    <xf numFmtId="164" fontId="14" fillId="4" borderId="1" xfId="0" applyNumberFormat="1" applyFont="1" applyFill="1" applyBorder="1"/>
    <xf numFmtId="0" fontId="13" fillId="5" borderId="1" xfId="0" applyFont="1" applyFill="1" applyBorder="1" applyAlignment="1">
      <alignment vertical="top" wrapText="1"/>
    </xf>
    <xf numFmtId="0" fontId="14" fillId="11" borderId="1" xfId="3" applyFont="1" applyFill="1" applyBorder="1"/>
    <xf numFmtId="0" fontId="13" fillId="11" borderId="1" xfId="3" applyFont="1" applyFill="1" applyBorder="1" applyAlignment="1">
      <alignment horizontal="right"/>
    </xf>
    <xf numFmtId="0" fontId="14" fillId="4" borderId="2" xfId="0" applyFont="1" applyFill="1" applyBorder="1" applyAlignment="1">
      <alignment horizontal="left" vertical="top" wrapText="1"/>
    </xf>
    <xf numFmtId="0" fontId="14" fillId="4" borderId="3" xfId="0" applyFont="1" applyFill="1" applyBorder="1"/>
    <xf numFmtId="0" fontId="14" fillId="4" borderId="12" xfId="0" applyFont="1" applyFill="1" applyBorder="1" applyAlignment="1">
      <alignment horizontal="left" vertical="top" wrapText="1"/>
    </xf>
    <xf numFmtId="3" fontId="14" fillId="4" borderId="1" xfId="0" applyNumberFormat="1" applyFont="1" applyFill="1" applyBorder="1"/>
    <xf numFmtId="164" fontId="14" fillId="4" borderId="1" xfId="1" applyNumberFormat="1" applyFont="1" applyFill="1" applyBorder="1" applyAlignment="1">
      <alignment horizontal="right" vertical="top"/>
    </xf>
    <xf numFmtId="164" fontId="14" fillId="4" borderId="1" xfId="0" applyNumberFormat="1" applyFont="1" applyFill="1" applyBorder="1" applyAlignment="1">
      <alignment vertical="top"/>
    </xf>
    <xf numFmtId="0" fontId="13" fillId="4" borderId="3" xfId="0" applyFont="1" applyFill="1" applyBorder="1"/>
    <xf numFmtId="0" fontId="14" fillId="4" borderId="11" xfId="0" applyFont="1" applyFill="1" applyBorder="1" applyAlignment="1">
      <alignment horizontal="left" vertical="top" wrapText="1"/>
    </xf>
    <xf numFmtId="169" fontId="14" fillId="0" borderId="2" xfId="4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left" vertical="top"/>
    </xf>
    <xf numFmtId="4" fontId="14" fillId="0" borderId="2" xfId="0" applyNumberFormat="1" applyFont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/>
    </xf>
    <xf numFmtId="43" fontId="13" fillId="4" borderId="1" xfId="0" applyNumberFormat="1" applyFont="1" applyFill="1" applyBorder="1" applyAlignment="1">
      <alignment horizontal="left" vertical="top"/>
    </xf>
    <xf numFmtId="1" fontId="13" fillId="4" borderId="1" xfId="0" applyNumberFormat="1" applyFont="1" applyFill="1" applyBorder="1" applyAlignment="1">
      <alignment horizontal="left" vertical="top"/>
    </xf>
    <xf numFmtId="43" fontId="14" fillId="4" borderId="1" xfId="0" applyNumberFormat="1" applyFont="1" applyFill="1" applyBorder="1" applyAlignment="1">
      <alignment horizontal="right" vertical="top"/>
    </xf>
    <xf numFmtId="4" fontId="14" fillId="4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textRotation="90" wrapText="1"/>
    </xf>
    <xf numFmtId="43" fontId="13" fillId="4" borderId="1" xfId="0" applyNumberFormat="1" applyFont="1" applyFill="1" applyBorder="1" applyAlignment="1">
      <alignment horizontal="right"/>
    </xf>
    <xf numFmtId="4" fontId="13" fillId="4" borderId="0" xfId="0" applyNumberFormat="1" applyFont="1" applyFill="1" applyAlignment="1"/>
    <xf numFmtId="164" fontId="13" fillId="4" borderId="1" xfId="1" applyNumberFormat="1" applyFont="1" applyFill="1" applyBorder="1" applyAlignment="1"/>
    <xf numFmtId="165" fontId="13" fillId="4" borderId="1" xfId="0" applyNumberFormat="1" applyFont="1" applyFill="1" applyBorder="1" applyAlignment="1"/>
    <xf numFmtId="0" fontId="13" fillId="4" borderId="0" xfId="0" applyFont="1" applyFill="1" applyAlignment="1"/>
    <xf numFmtId="3" fontId="14" fillId="4" borderId="1" xfId="0" applyNumberFormat="1" applyFont="1" applyFill="1" applyBorder="1" applyAlignment="1">
      <alignment horizontal="right" vertical="center"/>
    </xf>
    <xf numFmtId="165" fontId="14" fillId="4" borderId="1" xfId="0" applyNumberFormat="1" applyFont="1" applyFill="1" applyBorder="1"/>
    <xf numFmtId="0" fontId="13" fillId="9" borderId="1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3" fillId="5" borderId="1" xfId="3" applyFont="1" applyFill="1" applyBorder="1"/>
    <xf numFmtId="1" fontId="14" fillId="4" borderId="1" xfId="0" applyNumberFormat="1" applyFont="1" applyFill="1" applyBorder="1" applyAlignment="1">
      <alignment horizontal="right" vertical="top" wrapText="1"/>
    </xf>
    <xf numFmtId="4" fontId="14" fillId="4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4" fontId="14" fillId="4" borderId="0" xfId="0" applyNumberFormat="1" applyFont="1" applyFill="1"/>
    <xf numFmtId="4" fontId="14" fillId="4" borderId="1" xfId="4" applyNumberFormat="1" applyFont="1" applyFill="1" applyBorder="1" applyAlignment="1">
      <alignment vertical="top"/>
    </xf>
    <xf numFmtId="168" fontId="14" fillId="4" borderId="1" xfId="0" applyNumberFormat="1" applyFont="1" applyFill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0" fontId="14" fillId="0" borderId="1" xfId="3" applyFont="1" applyBorder="1" applyAlignment="1">
      <alignment wrapText="1"/>
    </xf>
    <xf numFmtId="0" fontId="13" fillId="0" borderId="1" xfId="3" applyFont="1" applyBorder="1" applyAlignment="1">
      <alignment wrapText="1"/>
    </xf>
    <xf numFmtId="0" fontId="14" fillId="9" borderId="1" xfId="3" applyFont="1" applyFill="1" applyBorder="1" applyAlignment="1">
      <alignment wrapText="1"/>
    </xf>
    <xf numFmtId="0" fontId="14" fillId="9" borderId="12" xfId="0" applyFont="1" applyFill="1" applyBorder="1" applyAlignment="1">
      <alignment horizontal="left" vertical="top" wrapText="1"/>
    </xf>
    <xf numFmtId="3" fontId="13" fillId="9" borderId="1" xfId="0" applyNumberFormat="1" applyFont="1" applyFill="1" applyBorder="1"/>
    <xf numFmtId="0" fontId="14" fillId="9" borderId="11" xfId="0" applyFont="1" applyFill="1" applyBorder="1" applyAlignment="1">
      <alignment horizontal="left" vertical="top" wrapText="1"/>
    </xf>
    <xf numFmtId="0" fontId="14" fillId="9" borderId="3" xfId="0" applyFont="1" applyFill="1" applyBorder="1"/>
    <xf numFmtId="3" fontId="14" fillId="9" borderId="1" xfId="0" applyNumberFormat="1" applyFont="1" applyFill="1" applyBorder="1"/>
    <xf numFmtId="0" fontId="14" fillId="9" borderId="0" xfId="0" applyFont="1" applyFill="1" applyAlignment="1">
      <alignment horizontal="left" vertical="top"/>
    </xf>
    <xf numFmtId="0" fontId="14" fillId="9" borderId="1" xfId="0" applyFont="1" applyFill="1" applyBorder="1"/>
    <xf numFmtId="4" fontId="13" fillId="9" borderId="1" xfId="0" applyNumberFormat="1" applyFont="1" applyFill="1" applyBorder="1" applyAlignment="1">
      <alignment vertical="center"/>
    </xf>
    <xf numFmtId="3" fontId="13" fillId="9" borderId="1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vertical="top" textRotation="90" wrapText="1"/>
    </xf>
    <xf numFmtId="0" fontId="13" fillId="4" borderId="12" xfId="0" applyFont="1" applyFill="1" applyBorder="1" applyAlignment="1">
      <alignment vertical="top" textRotation="90" wrapText="1"/>
    </xf>
    <xf numFmtId="0" fontId="13" fillId="9" borderId="12" xfId="0" applyFont="1" applyFill="1" applyBorder="1" applyAlignment="1">
      <alignment vertical="top" textRotation="90" wrapText="1"/>
    </xf>
    <xf numFmtId="0" fontId="14" fillId="4" borderId="12" xfId="0" applyFont="1" applyFill="1" applyBorder="1" applyAlignment="1">
      <alignment vertical="top" textRotation="90" wrapText="1"/>
    </xf>
    <xf numFmtId="0" fontId="14" fillId="4" borderId="1" xfId="3" applyFont="1" applyFill="1" applyBorder="1" applyAlignment="1">
      <alignment horizontal="center"/>
    </xf>
    <xf numFmtId="0" fontId="14" fillId="4" borderId="1" xfId="3" applyFont="1" applyFill="1" applyBorder="1" applyAlignment="1">
      <alignment horizontal="right"/>
    </xf>
    <xf numFmtId="4" fontId="14" fillId="4" borderId="1" xfId="3" applyNumberFormat="1" applyFont="1" applyFill="1" applyBorder="1" applyAlignment="1">
      <alignment horizontal="left"/>
    </xf>
    <xf numFmtId="0" fontId="14" fillId="9" borderId="1" xfId="3" applyFont="1" applyFill="1" applyBorder="1" applyAlignment="1">
      <alignment horizontal="center"/>
    </xf>
    <xf numFmtId="0" fontId="14" fillId="9" borderId="1" xfId="3" applyFont="1" applyFill="1" applyBorder="1" applyAlignment="1">
      <alignment horizontal="right"/>
    </xf>
    <xf numFmtId="0" fontId="14" fillId="13" borderId="1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vertical="top" wrapText="1"/>
    </xf>
    <xf numFmtId="43" fontId="14" fillId="13" borderId="1" xfId="0" applyNumberFormat="1" applyFont="1" applyFill="1" applyBorder="1" applyAlignment="1">
      <alignment horizontal="right" vertical="top" wrapText="1"/>
    </xf>
    <xf numFmtId="165" fontId="14" fillId="13" borderId="1" xfId="1" applyFont="1" applyFill="1" applyBorder="1" applyAlignment="1">
      <alignment horizontal="center" vertical="top" wrapText="1"/>
    </xf>
    <xf numFmtId="3" fontId="14" fillId="13" borderId="1" xfId="0" applyNumberFormat="1" applyFont="1" applyFill="1" applyBorder="1" applyAlignment="1">
      <alignment horizontal="right" vertical="top" wrapText="1"/>
    </xf>
    <xf numFmtId="0" fontId="14" fillId="13" borderId="1" xfId="3" applyFont="1" applyFill="1" applyBorder="1"/>
    <xf numFmtId="0" fontId="14" fillId="14" borderId="1" xfId="3" applyFont="1" applyFill="1" applyBorder="1"/>
    <xf numFmtId="0" fontId="13" fillId="14" borderId="1" xfId="3" applyFont="1" applyFill="1" applyBorder="1" applyAlignment="1">
      <alignment horizontal="center"/>
    </xf>
    <xf numFmtId="0" fontId="13" fillId="14" borderId="1" xfId="3" applyFont="1" applyFill="1" applyBorder="1" applyAlignment="1">
      <alignment horizontal="right"/>
    </xf>
    <xf numFmtId="0" fontId="13" fillId="14" borderId="1" xfId="3" applyFont="1" applyFill="1" applyBorder="1" applyAlignment="1">
      <alignment horizontal="left"/>
    </xf>
    <xf numFmtId="3" fontId="14" fillId="14" borderId="1" xfId="0" applyNumberFormat="1" applyFont="1" applyFill="1" applyBorder="1" applyAlignment="1">
      <alignment vertical="top"/>
    </xf>
    <xf numFmtId="4" fontId="13" fillId="14" borderId="1" xfId="0" applyNumberFormat="1" applyFont="1" applyFill="1" applyBorder="1" applyAlignment="1">
      <alignment vertical="top"/>
    </xf>
    <xf numFmtId="0" fontId="13" fillId="14" borderId="1" xfId="0" applyFont="1" applyFill="1" applyBorder="1" applyAlignment="1">
      <alignment vertical="top"/>
    </xf>
    <xf numFmtId="43" fontId="13" fillId="14" borderId="1" xfId="0" applyNumberFormat="1" applyFont="1" applyFill="1" applyBorder="1" applyAlignment="1">
      <alignment horizontal="right" vertical="top" wrapText="1"/>
    </xf>
    <xf numFmtId="167" fontId="13" fillId="14" borderId="1" xfId="0" applyNumberFormat="1" applyFont="1" applyFill="1" applyBorder="1" applyAlignment="1">
      <alignment horizontal="right" vertical="top" wrapText="1"/>
    </xf>
    <xf numFmtId="3" fontId="13" fillId="14" borderId="1" xfId="0" applyNumberFormat="1" applyFont="1" applyFill="1" applyBorder="1" applyAlignment="1">
      <alignment horizontal="right" vertical="top"/>
    </xf>
    <xf numFmtId="4" fontId="13" fillId="14" borderId="1" xfId="0" applyNumberFormat="1" applyFont="1" applyFill="1" applyBorder="1" applyAlignment="1">
      <alignment horizontal="right" vertical="top"/>
    </xf>
    <xf numFmtId="1" fontId="13" fillId="14" borderId="1" xfId="0" applyNumberFormat="1" applyFont="1" applyFill="1" applyBorder="1" applyAlignment="1">
      <alignment horizontal="right" vertical="top"/>
    </xf>
    <xf numFmtId="0" fontId="13" fillId="14" borderId="1" xfId="0" applyFont="1" applyFill="1" applyBorder="1" applyAlignment="1">
      <alignment horizontal="right" vertical="top"/>
    </xf>
    <xf numFmtId="4" fontId="13" fillId="14" borderId="1" xfId="0" applyNumberFormat="1" applyFont="1" applyFill="1" applyBorder="1" applyAlignment="1">
      <alignment horizontal="right"/>
    </xf>
    <xf numFmtId="0" fontId="14" fillId="11" borderId="1" xfId="3" applyFont="1" applyFill="1" applyBorder="1" applyAlignment="1">
      <alignment horizontal="center"/>
    </xf>
    <xf numFmtId="4" fontId="14" fillId="11" borderId="1" xfId="3" applyNumberFormat="1" applyFont="1" applyFill="1" applyBorder="1" applyAlignment="1">
      <alignment horizontal="left"/>
    </xf>
    <xf numFmtId="0" fontId="14" fillId="13" borderId="1" xfId="3" applyFont="1" applyFill="1" applyBorder="1" applyAlignment="1">
      <alignment horizontal="center"/>
    </xf>
    <xf numFmtId="0" fontId="14" fillId="13" borderId="1" xfId="3" applyFont="1" applyFill="1" applyBorder="1" applyAlignment="1">
      <alignment horizontal="right"/>
    </xf>
    <xf numFmtId="0" fontId="14" fillId="13" borderId="1" xfId="0" applyFont="1" applyFill="1" applyBorder="1" applyAlignment="1">
      <alignment vertical="top"/>
    </xf>
    <xf numFmtId="3" fontId="13" fillId="4" borderId="1" xfId="3" applyNumberFormat="1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 vertical="center" textRotation="90" wrapText="1"/>
    </xf>
    <xf numFmtId="0" fontId="14" fillId="9" borderId="1" xfId="0" applyFont="1" applyFill="1" applyBorder="1" applyAlignment="1">
      <alignment horizontal="left"/>
    </xf>
    <xf numFmtId="3" fontId="14" fillId="9" borderId="1" xfId="0" applyNumberFormat="1" applyFont="1" applyFill="1" applyBorder="1" applyAlignment="1">
      <alignment horizontal="right" vertical="top" wrapText="1"/>
    </xf>
    <xf numFmtId="4" fontId="14" fillId="9" borderId="0" xfId="0" applyNumberFormat="1" applyFont="1" applyFill="1" applyAlignment="1"/>
    <xf numFmtId="165" fontId="14" fillId="9" borderId="1" xfId="0" applyNumberFormat="1" applyFont="1" applyFill="1" applyBorder="1"/>
    <xf numFmtId="3" fontId="14" fillId="5" borderId="1" xfId="0" applyNumberFormat="1" applyFont="1" applyFill="1" applyBorder="1" applyAlignment="1">
      <alignment horizontal="right" vertical="top" wrapText="1"/>
    </xf>
    <xf numFmtId="0" fontId="13" fillId="4" borderId="11" xfId="0" applyFont="1" applyFill="1" applyBorder="1" applyAlignment="1">
      <alignment horizontal="left" vertical="top" wrapText="1"/>
    </xf>
    <xf numFmtId="0" fontId="14" fillId="9" borderId="1" xfId="0" applyFont="1" applyFill="1" applyBorder="1" applyAlignment="1">
      <alignment horizontal="left" wrapText="1"/>
    </xf>
    <xf numFmtId="43" fontId="14" fillId="9" borderId="1" xfId="0" applyNumberFormat="1" applyFont="1" applyFill="1" applyBorder="1" applyAlignment="1">
      <alignment vertical="top" wrapText="1"/>
    </xf>
    <xf numFmtId="164" fontId="14" fillId="9" borderId="4" xfId="1" applyNumberFormat="1" applyFont="1" applyFill="1" applyBorder="1"/>
    <xf numFmtId="164" fontId="14" fillId="9" borderId="1" xfId="0" applyNumberFormat="1" applyFont="1" applyFill="1" applyBorder="1"/>
    <xf numFmtId="0" fontId="14" fillId="12" borderId="1" xfId="0" applyFont="1" applyFill="1" applyBorder="1" applyAlignment="1">
      <alignment vertical="top" wrapText="1"/>
    </xf>
    <xf numFmtId="0" fontId="14" fillId="12" borderId="1" xfId="3" applyFont="1" applyFill="1" applyBorder="1" applyAlignment="1">
      <alignment horizontal="left"/>
    </xf>
    <xf numFmtId="43" fontId="14" fillId="12" borderId="1" xfId="0" applyNumberFormat="1" applyFont="1" applyFill="1" applyBorder="1" applyAlignment="1">
      <alignment vertical="top" wrapText="1"/>
    </xf>
    <xf numFmtId="0" fontId="14" fillId="12" borderId="5" xfId="0" applyFont="1" applyFill="1" applyBorder="1" applyAlignment="1">
      <alignment vertical="top" wrapText="1"/>
    </xf>
    <xf numFmtId="0" fontId="14" fillId="12" borderId="0" xfId="0" applyFont="1" applyFill="1"/>
    <xf numFmtId="0" fontId="14" fillId="12" borderId="1" xfId="3" applyFont="1" applyFill="1" applyBorder="1" applyAlignment="1">
      <alignment horizontal="right"/>
    </xf>
    <xf numFmtId="0" fontId="14" fillId="12" borderId="5" xfId="0" applyFont="1" applyFill="1" applyBorder="1"/>
    <xf numFmtId="0" fontId="14" fillId="0" borderId="0" xfId="0" applyFont="1" applyBorder="1" applyAlignment="1">
      <alignment horizontal="left" vertical="center" wrapText="1"/>
    </xf>
    <xf numFmtId="0" fontId="13" fillId="11" borderId="0" xfId="0" applyFont="1" applyFill="1" applyBorder="1" applyAlignment="1">
      <alignment vertical="top" wrapText="1"/>
    </xf>
    <xf numFmtId="0" fontId="14" fillId="12" borderId="1" xfId="3" applyFont="1" applyFill="1" applyBorder="1" applyAlignment="1">
      <alignment horizontal="center"/>
    </xf>
    <xf numFmtId="0" fontId="14" fillId="12" borderId="1" xfId="0" applyFont="1" applyFill="1" applyBorder="1"/>
    <xf numFmtId="0" fontId="14" fillId="11" borderId="0" xfId="0" applyFont="1" applyFill="1"/>
    <xf numFmtId="0" fontId="14" fillId="11" borderId="1" xfId="0" applyFont="1" applyFill="1" applyBorder="1"/>
    <xf numFmtId="0" fontId="28" fillId="11" borderId="1" xfId="3" applyFont="1" applyFill="1" applyBorder="1"/>
    <xf numFmtId="0" fontId="28" fillId="11" borderId="1" xfId="3" applyFont="1" applyFill="1" applyBorder="1" applyAlignment="1">
      <alignment horizontal="center"/>
    </xf>
    <xf numFmtId="43" fontId="14" fillId="11" borderId="1" xfId="0" applyNumberFormat="1" applyFont="1" applyFill="1" applyBorder="1" applyAlignment="1">
      <alignment vertical="top" wrapText="1"/>
    </xf>
    <xf numFmtId="4" fontId="14" fillId="11" borderId="1" xfId="0" applyNumberFormat="1" applyFont="1" applyFill="1" applyBorder="1" applyAlignment="1">
      <alignment vertical="top"/>
    </xf>
    <xf numFmtId="0" fontId="14" fillId="11" borderId="0" xfId="0" applyFont="1" applyFill="1" applyAlignment="1">
      <alignment vertical="top"/>
    </xf>
    <xf numFmtId="4" fontId="14" fillId="9" borderId="1" xfId="0" applyNumberFormat="1" applyFont="1" applyFill="1" applyBorder="1" applyAlignment="1">
      <alignment horizontal="left" vertical="top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3" fillId="0" borderId="1" xfId="3" applyNumberFormat="1" applyFont="1" applyBorder="1" applyAlignment="1">
      <alignment horizontal="left"/>
    </xf>
    <xf numFmtId="4" fontId="30" fillId="2" borderId="1" xfId="0" applyNumberFormat="1" applyFont="1" applyFill="1" applyBorder="1" applyAlignment="1">
      <alignment vertical="center"/>
    </xf>
    <xf numFmtId="0" fontId="13" fillId="4" borderId="1" xfId="3" applyFont="1" applyFill="1" applyBorder="1" applyAlignment="1">
      <alignment wrapText="1"/>
    </xf>
    <xf numFmtId="3" fontId="13" fillId="0" borderId="1" xfId="3" applyNumberFormat="1" applyFont="1" applyBorder="1" applyAlignment="1">
      <alignment horizontal="right"/>
    </xf>
    <xf numFmtId="4" fontId="6" fillId="0" borderId="0" xfId="0" applyNumberFormat="1" applyFont="1"/>
    <xf numFmtId="0" fontId="11" fillId="3" borderId="0" xfId="0" applyFont="1" applyFill="1" applyBorder="1" applyAlignment="1">
      <alignment horizontal="center" vertical="center" wrapText="1"/>
    </xf>
    <xf numFmtId="0" fontId="14" fillId="6" borderId="1" xfId="0" applyFont="1" applyFill="1" applyBorder="1"/>
    <xf numFmtId="4" fontId="12" fillId="4" borderId="4" xfId="0" applyNumberFormat="1" applyFont="1" applyFill="1" applyBorder="1" applyAlignment="1">
      <alignment horizontal="right"/>
    </xf>
    <xf numFmtId="4" fontId="13" fillId="4" borderId="4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left"/>
    </xf>
    <xf numFmtId="4" fontId="14" fillId="4" borderId="4" xfId="0" applyNumberFormat="1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25" fillId="2" borderId="1" xfId="0" applyFont="1" applyFill="1" applyBorder="1" applyAlignment="1">
      <alignment horizontal="right" wrapText="1"/>
    </xf>
    <xf numFmtId="4" fontId="25" fillId="2" borderId="1" xfId="0" applyNumberFormat="1" applyFont="1" applyFill="1" applyBorder="1" applyAlignment="1">
      <alignment horizontal="right"/>
    </xf>
    <xf numFmtId="0" fontId="24" fillId="2" borderId="0" xfId="0" applyFont="1" applyFill="1" applyAlignment="1">
      <alignment horizontal="right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24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4" fillId="4" borderId="3" xfId="0" applyFont="1" applyFill="1" applyBorder="1" applyAlignment="1">
      <alignment wrapText="1"/>
    </xf>
    <xf numFmtId="4" fontId="13" fillId="4" borderId="5" xfId="0" applyNumberFormat="1" applyFont="1" applyFill="1" applyBorder="1" applyAlignment="1">
      <alignment vertical="top"/>
    </xf>
    <xf numFmtId="0" fontId="14" fillId="11" borderId="1" xfId="3" applyFont="1" applyFill="1" applyBorder="1" applyAlignment="1">
      <alignment horizontal="right"/>
    </xf>
    <xf numFmtId="4" fontId="14" fillId="11" borderId="1" xfId="0" applyNumberFormat="1" applyFont="1" applyFill="1" applyBorder="1"/>
    <xf numFmtId="0" fontId="13" fillId="13" borderId="1" xfId="3" applyFont="1" applyFill="1" applyBorder="1" applyAlignment="1">
      <alignment horizontal="right"/>
    </xf>
    <xf numFmtId="171" fontId="13" fillId="4" borderId="1" xfId="0" applyNumberFormat="1" applyFont="1" applyFill="1" applyBorder="1" applyAlignment="1">
      <alignment horizontal="right" vertical="top" wrapText="1"/>
    </xf>
    <xf numFmtId="4" fontId="13" fillId="4" borderId="0" xfId="0" applyNumberFormat="1" applyFont="1" applyFill="1" applyBorder="1" applyAlignment="1">
      <alignment vertical="top"/>
    </xf>
    <xf numFmtId="4" fontId="13" fillId="0" borderId="1" xfId="0" applyNumberFormat="1" applyFont="1" applyBorder="1" applyAlignment="1">
      <alignment vertical="top" wrapText="1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2" fontId="14" fillId="9" borderId="1" xfId="3" applyNumberFormat="1" applyFont="1" applyFill="1" applyBorder="1" applyAlignment="1">
      <alignment horizontal="right"/>
    </xf>
    <xf numFmtId="43" fontId="14" fillId="11" borderId="1" xfId="0" applyNumberFormat="1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right"/>
    </xf>
    <xf numFmtId="0" fontId="14" fillId="13" borderId="1" xfId="0" applyFont="1" applyFill="1" applyBorder="1" applyAlignment="1">
      <alignment horizontal="right" vertical="top"/>
    </xf>
    <xf numFmtId="0" fontId="13" fillId="4" borderId="0" xfId="0" applyFont="1" applyFill="1" applyAlignment="1">
      <alignment horizontal="right" vertical="top"/>
    </xf>
    <xf numFmtId="0" fontId="14" fillId="4" borderId="0" xfId="0" applyFont="1" applyFill="1" applyAlignment="1">
      <alignment horizontal="right" vertical="top"/>
    </xf>
    <xf numFmtId="0" fontId="31" fillId="0" borderId="1" xfId="3" applyFont="1" applyBorder="1" applyAlignment="1">
      <alignment horizontal="right"/>
    </xf>
    <xf numFmtId="4" fontId="13" fillId="0" borderId="1" xfId="3" applyNumberFormat="1" applyFont="1" applyBorder="1" applyAlignment="1">
      <alignment horizontal="left" vertical="center"/>
    </xf>
    <xf numFmtId="4" fontId="13" fillId="0" borderId="1" xfId="3" applyNumberFormat="1" applyFont="1" applyBorder="1" applyAlignment="1">
      <alignment horizontal="right"/>
    </xf>
    <xf numFmtId="3" fontId="14" fillId="9" borderId="1" xfId="3" applyNumberFormat="1" applyFont="1" applyFill="1" applyBorder="1" applyAlignment="1">
      <alignment horizontal="right"/>
    </xf>
    <xf numFmtId="3" fontId="14" fillId="9" borderId="1" xfId="3" applyNumberFormat="1" applyFont="1" applyFill="1" applyBorder="1" applyAlignment="1">
      <alignment horizontal="left"/>
    </xf>
    <xf numFmtId="0" fontId="14" fillId="0" borderId="1" xfId="3" applyFont="1" applyBorder="1" applyAlignment="1">
      <alignment horizontal="center"/>
    </xf>
    <xf numFmtId="1" fontId="14" fillId="9" borderId="1" xfId="0" applyNumberFormat="1" applyFont="1" applyFill="1" applyBorder="1" applyAlignment="1">
      <alignment horizontal="right" wrapText="1"/>
    </xf>
    <xf numFmtId="4" fontId="14" fillId="9" borderId="1" xfId="0" applyNumberFormat="1" applyFont="1" applyFill="1" applyBorder="1" applyAlignment="1"/>
    <xf numFmtId="3" fontId="14" fillId="9" borderId="1" xfId="0" applyNumberFormat="1" applyFont="1" applyFill="1" applyBorder="1" applyAlignment="1"/>
    <xf numFmtId="4" fontId="14" fillId="4" borderId="1" xfId="0" applyNumberFormat="1" applyFont="1" applyFill="1" applyBorder="1" applyAlignment="1"/>
    <xf numFmtId="0" fontId="14" fillId="4" borderId="0" xfId="0" applyFont="1" applyFill="1" applyAlignment="1"/>
    <xf numFmtId="164" fontId="14" fillId="4" borderId="1" xfId="1" applyNumberFormat="1" applyFont="1" applyFill="1" applyBorder="1" applyAlignment="1"/>
    <xf numFmtId="0" fontId="14" fillId="9" borderId="0" xfId="0" applyFont="1" applyFill="1" applyAlignment="1"/>
    <xf numFmtId="1" fontId="14" fillId="9" borderId="1" xfId="0" applyNumberFormat="1" applyFont="1" applyFill="1" applyBorder="1" applyAlignment="1">
      <alignment horizontal="right"/>
    </xf>
    <xf numFmtId="1" fontId="14" fillId="11" borderId="1" xfId="0" applyNumberFormat="1" applyFont="1" applyFill="1" applyBorder="1" applyAlignment="1">
      <alignment horizontal="right" wrapText="1"/>
    </xf>
    <xf numFmtId="4" fontId="14" fillId="11" borderId="1" xfId="0" applyNumberFormat="1" applyFont="1" applyFill="1" applyBorder="1" applyAlignment="1"/>
    <xf numFmtId="0" fontId="14" fillId="11" borderId="0" xfId="0" applyFont="1" applyFill="1" applyAlignment="1"/>
    <xf numFmtId="0" fontId="31" fillId="6" borderId="1" xfId="3" applyFont="1" applyFill="1" applyBorder="1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right" vertical="top"/>
    </xf>
    <xf numFmtId="171" fontId="13" fillId="4" borderId="1" xfId="0" applyNumberFormat="1" applyFont="1" applyFill="1" applyBorder="1" applyAlignment="1">
      <alignment horizontal="right" vertical="center"/>
    </xf>
    <xf numFmtId="171" fontId="13" fillId="4" borderId="1" xfId="0" applyNumberFormat="1" applyFont="1" applyFill="1" applyBorder="1" applyAlignment="1">
      <alignment horizontal="right"/>
    </xf>
    <xf numFmtId="171" fontId="13" fillId="0" borderId="1" xfId="0" applyNumberFormat="1" applyFont="1" applyBorder="1" applyAlignment="1">
      <alignment horizontal="right" vertical="center"/>
    </xf>
    <xf numFmtId="171" fontId="14" fillId="7" borderId="1" xfId="0" applyNumberFormat="1" applyFont="1" applyFill="1" applyBorder="1" applyAlignment="1">
      <alignment horizontal="right" vertical="top" wrapText="1"/>
    </xf>
    <xf numFmtId="0" fontId="14" fillId="11" borderId="1" xfId="0" applyFont="1" applyFill="1" applyBorder="1" applyAlignment="1">
      <alignment horizontal="right"/>
    </xf>
    <xf numFmtId="4" fontId="14" fillId="4" borderId="4" xfId="0" applyNumberFormat="1" applyFont="1" applyFill="1" applyBorder="1"/>
    <xf numFmtId="4" fontId="13" fillId="4" borderId="4" xfId="0" applyNumberFormat="1" applyFont="1" applyFill="1" applyBorder="1" applyAlignment="1">
      <alignment vertical="top" wrapText="1"/>
    </xf>
    <xf numFmtId="4" fontId="13" fillId="4" borderId="4" xfId="0" applyNumberFormat="1" applyFont="1" applyFill="1" applyBorder="1" applyAlignment="1">
      <alignment horizontal="right" vertical="top"/>
    </xf>
    <xf numFmtId="4" fontId="14" fillId="9" borderId="1" xfId="0" applyNumberFormat="1" applyFont="1" applyFill="1" applyBorder="1" applyAlignment="1">
      <alignment horizontal="right" vertical="top"/>
    </xf>
    <xf numFmtId="4" fontId="13" fillId="4" borderId="1" xfId="0" applyNumberFormat="1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right"/>
    </xf>
    <xf numFmtId="3" fontId="16" fillId="4" borderId="1" xfId="0" applyNumberFormat="1" applyFont="1" applyFill="1" applyBorder="1" applyAlignment="1">
      <alignment horizontal="right"/>
    </xf>
    <xf numFmtId="3" fontId="14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right"/>
    </xf>
    <xf numFmtId="170" fontId="13" fillId="4" borderId="1" xfId="0" applyNumberFormat="1" applyFont="1" applyFill="1" applyBorder="1" applyAlignment="1">
      <alignment horizontal="right"/>
    </xf>
    <xf numFmtId="3" fontId="14" fillId="4" borderId="1" xfId="0" applyNumberFormat="1" applyFont="1" applyFill="1" applyBorder="1" applyAlignment="1">
      <alignment horizontal="right"/>
    </xf>
    <xf numFmtId="1" fontId="14" fillId="9" borderId="1" xfId="0" applyNumberFormat="1" applyFont="1" applyFill="1" applyBorder="1" applyAlignment="1">
      <alignment horizontal="right" vertical="top"/>
    </xf>
    <xf numFmtId="0" fontId="14" fillId="9" borderId="1" xfId="0" applyFont="1" applyFill="1" applyBorder="1" applyAlignment="1">
      <alignment wrapText="1"/>
    </xf>
    <xf numFmtId="0" fontId="14" fillId="12" borderId="12" xfId="0" applyFont="1" applyFill="1" applyBorder="1" applyAlignment="1">
      <alignment vertical="top" textRotation="90" wrapText="1"/>
    </xf>
    <xf numFmtId="0" fontId="14" fillId="12" borderId="1" xfId="0" applyFont="1" applyFill="1" applyBorder="1" applyAlignment="1">
      <alignment vertical="top"/>
    </xf>
    <xf numFmtId="4" fontId="14" fillId="12" borderId="1" xfId="3" applyNumberFormat="1" applyFont="1" applyFill="1" applyBorder="1" applyAlignment="1">
      <alignment horizontal="left"/>
    </xf>
    <xf numFmtId="0" fontId="14" fillId="12" borderId="0" xfId="0" applyFont="1" applyFill="1" applyAlignment="1">
      <alignment vertical="top"/>
    </xf>
    <xf numFmtId="0" fontId="13" fillId="0" borderId="12" xfId="0" applyFont="1" applyBorder="1" applyAlignment="1">
      <alignment vertical="center" textRotation="90" wrapText="1"/>
    </xf>
    <xf numFmtId="4" fontId="13" fillId="4" borderId="1" xfId="3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right" wrapText="1"/>
    </xf>
    <xf numFmtId="0" fontId="27" fillId="2" borderId="4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 wrapText="1"/>
    </xf>
    <xf numFmtId="4" fontId="24" fillId="2" borderId="4" xfId="0" applyNumberFormat="1" applyFont="1" applyFill="1" applyBorder="1" applyAlignment="1">
      <alignment horizontal="left" wrapText="1"/>
    </xf>
    <xf numFmtId="4" fontId="24" fillId="2" borderId="4" xfId="0" applyNumberFormat="1" applyFont="1" applyFill="1" applyBorder="1" applyAlignment="1">
      <alignment horizontal="left"/>
    </xf>
    <xf numFmtId="4" fontId="21" fillId="4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4" fillId="0" borderId="4" xfId="0" applyNumberFormat="1" applyFont="1" applyBorder="1" applyAlignment="1">
      <alignment horizontal="center" vertical="top"/>
    </xf>
    <xf numFmtId="4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right" vertical="top" wrapText="1"/>
    </xf>
    <xf numFmtId="0" fontId="14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0" xfId="0" applyFont="1" applyFill="1" applyAlignment="1">
      <alignment horizontal="left" vertical="top"/>
    </xf>
    <xf numFmtId="164" fontId="12" fillId="0" borderId="0" xfId="0" applyNumberFormat="1" applyFont="1" applyBorder="1"/>
    <xf numFmtId="0" fontId="11" fillId="0" borderId="0" xfId="0" applyFont="1" applyBorder="1" applyAlignment="1">
      <alignment wrapText="1"/>
    </xf>
    <xf numFmtId="172" fontId="12" fillId="0" borderId="1" xfId="0" applyNumberFormat="1" applyFont="1" applyBorder="1"/>
    <xf numFmtId="172" fontId="14" fillId="4" borderId="1" xfId="0" applyNumberFormat="1" applyFont="1" applyFill="1" applyBorder="1"/>
    <xf numFmtId="1" fontId="12" fillId="0" borderId="1" xfId="0" applyNumberFormat="1" applyFont="1" applyBorder="1"/>
    <xf numFmtId="1" fontId="12" fillId="0" borderId="0" xfId="0" applyNumberFormat="1" applyFont="1"/>
    <xf numFmtId="1" fontId="21" fillId="0" borderId="1" xfId="0" applyNumberFormat="1" applyFont="1" applyBorder="1"/>
    <xf numFmtId="1" fontId="14" fillId="4" borderId="1" xfId="0" applyNumberFormat="1" applyFont="1" applyFill="1" applyBorder="1"/>
    <xf numFmtId="0" fontId="13" fillId="4" borderId="1" xfId="5" applyFont="1" applyFill="1" applyBorder="1"/>
    <xf numFmtId="0" fontId="13" fillId="4" borderId="12" xfId="0" applyFont="1" applyFill="1" applyBorder="1" applyAlignment="1">
      <alignment vertical="center" textRotation="90" wrapText="1"/>
    </xf>
    <xf numFmtId="0" fontId="14" fillId="0" borderId="12" xfId="0" applyFont="1" applyBorder="1" applyAlignment="1">
      <alignment vertical="center" textRotation="90" wrapText="1"/>
    </xf>
    <xf numFmtId="0" fontId="14" fillId="13" borderId="12" xfId="0" applyFont="1" applyFill="1" applyBorder="1" applyAlignment="1">
      <alignment vertical="center" textRotation="90" wrapText="1"/>
    </xf>
    <xf numFmtId="0" fontId="13" fillId="0" borderId="1" xfId="3" applyFont="1" applyBorder="1" applyAlignment="1"/>
    <xf numFmtId="0" fontId="13" fillId="4" borderId="1" xfId="3" applyFont="1" applyFill="1" applyBorder="1" applyAlignment="1"/>
    <xf numFmtId="3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3" fillId="0" borderId="11" xfId="0" applyFont="1" applyBorder="1" applyAlignment="1">
      <alignment vertical="top"/>
    </xf>
    <xf numFmtId="3" fontId="14" fillId="0" borderId="1" xfId="0" applyNumberFormat="1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vertical="center" textRotation="90" wrapText="1"/>
    </xf>
    <xf numFmtId="0" fontId="15" fillId="4" borderId="1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/>
    </xf>
    <xf numFmtId="0" fontId="14" fillId="9" borderId="1" xfId="0" applyFont="1" applyFill="1" applyBorder="1" applyAlignment="1">
      <alignment horizontal="left" vertical="top"/>
    </xf>
    <xf numFmtId="4" fontId="14" fillId="9" borderId="0" xfId="0" applyNumberFormat="1" applyFont="1" applyFill="1"/>
    <xf numFmtId="4" fontId="14" fillId="9" borderId="1" xfId="0" applyNumberFormat="1" applyFont="1" applyFill="1" applyBorder="1" applyAlignment="1">
      <alignment horizontal="right" vertical="center"/>
    </xf>
    <xf numFmtId="0" fontId="1" fillId="5" borderId="1" xfId="3" applyFont="1" applyFill="1" applyBorder="1" applyAlignment="1">
      <alignment horizontal="left"/>
    </xf>
    <xf numFmtId="0" fontId="13" fillId="6" borderId="0" xfId="0" applyFont="1" applyFill="1" applyAlignment="1">
      <alignment horizontal="right"/>
    </xf>
    <xf numFmtId="43" fontId="13" fillId="0" borderId="0" xfId="0" applyNumberFormat="1" applyFont="1" applyAlignment="1">
      <alignment horizontal="right"/>
    </xf>
    <xf numFmtId="0" fontId="13" fillId="4" borderId="1" xfId="3" applyFont="1" applyFill="1" applyBorder="1" applyAlignment="1">
      <alignment horizontal="center" wrapText="1"/>
    </xf>
    <xf numFmtId="0" fontId="21" fillId="6" borderId="1" xfId="3" applyFont="1" applyFill="1" applyBorder="1"/>
    <xf numFmtId="0" fontId="13" fillId="6" borderId="1" xfId="3" applyFont="1" applyFill="1" applyBorder="1" applyAlignment="1">
      <alignment horizontal="center"/>
    </xf>
    <xf numFmtId="0" fontId="13" fillId="6" borderId="1" xfId="3" applyFont="1" applyFill="1" applyBorder="1" applyAlignment="1">
      <alignment horizontal="right"/>
    </xf>
    <xf numFmtId="0" fontId="13" fillId="6" borderId="1" xfId="0" applyFont="1" applyFill="1" applyBorder="1"/>
    <xf numFmtId="4" fontId="13" fillId="6" borderId="1" xfId="0" applyNumberFormat="1" applyFont="1" applyFill="1" applyBorder="1" applyAlignment="1">
      <alignment vertical="center"/>
    </xf>
    <xf numFmtId="3" fontId="13" fillId="6" borderId="1" xfId="0" applyNumberFormat="1" applyFont="1" applyFill="1" applyBorder="1"/>
    <xf numFmtId="4" fontId="13" fillId="6" borderId="1" xfId="0" applyNumberFormat="1" applyFont="1" applyFill="1" applyBorder="1"/>
    <xf numFmtId="164" fontId="13" fillId="6" borderId="1" xfId="1" applyNumberFormat="1" applyFont="1" applyFill="1" applyBorder="1"/>
    <xf numFmtId="164" fontId="13" fillId="6" borderId="1" xfId="0" applyNumberFormat="1" applyFont="1" applyFill="1" applyBorder="1"/>
    <xf numFmtId="0" fontId="13" fillId="6" borderId="1" xfId="3" applyFont="1" applyFill="1" applyBorder="1"/>
    <xf numFmtId="4" fontId="13" fillId="6" borderId="1" xfId="0" applyNumberFormat="1" applyFont="1" applyFill="1" applyBorder="1" applyAlignment="1">
      <alignment vertical="top"/>
    </xf>
    <xf numFmtId="3" fontId="21" fillId="0" borderId="1" xfId="0" applyNumberFormat="1" applyFont="1" applyBorder="1" applyAlignment="1">
      <alignment horizontal="right" vertical="center"/>
    </xf>
    <xf numFmtId="0" fontId="21" fillId="0" borderId="4" xfId="0" applyFont="1" applyBorder="1"/>
    <xf numFmtId="0" fontId="21" fillId="4" borderId="4" xfId="0" applyFont="1" applyFill="1" applyBorder="1"/>
    <xf numFmtId="0" fontId="13" fillId="6" borderId="1" xfId="0" applyFont="1" applyFill="1" applyBorder="1" applyAlignment="1">
      <alignment vertical="top"/>
    </xf>
    <xf numFmtId="0" fontId="13" fillId="6" borderId="4" xfId="0" applyFont="1" applyFill="1" applyBorder="1"/>
    <xf numFmtId="0" fontId="21" fillId="4" borderId="1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right" vertical="top"/>
    </xf>
    <xf numFmtId="0" fontId="21" fillId="0" borderId="1" xfId="3" applyFont="1" applyBorder="1" applyAlignment="1">
      <alignment wrapText="1"/>
    </xf>
    <xf numFmtId="0" fontId="13" fillId="6" borderId="1" xfId="0" applyFont="1" applyFill="1" applyBorder="1" applyAlignment="1">
      <alignment horizontal="right"/>
    </xf>
    <xf numFmtId="3" fontId="21" fillId="4" borderId="1" xfId="0" applyNumberFormat="1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right" vertical="top"/>
    </xf>
    <xf numFmtId="0" fontId="13" fillId="6" borderId="1" xfId="3" applyFont="1" applyFill="1" applyBorder="1" applyAlignment="1">
      <alignment wrapText="1"/>
    </xf>
    <xf numFmtId="0" fontId="13" fillId="4" borderId="1" xfId="6" applyFont="1" applyFill="1" applyBorder="1" applyAlignment="1">
      <alignment horizontal="center"/>
    </xf>
    <xf numFmtId="43" fontId="21" fillId="0" borderId="1" xfId="0" applyNumberFormat="1" applyFont="1" applyBorder="1" applyAlignment="1">
      <alignment horizontal="right" vertical="center"/>
    </xf>
    <xf numFmtId="0" fontId="21" fillId="4" borderId="1" xfId="0" applyFont="1" applyFill="1" applyBorder="1" applyAlignment="1">
      <alignment vertical="top" wrapText="1"/>
    </xf>
    <xf numFmtId="0" fontId="14" fillId="13" borderId="1" xfId="3" applyFont="1" applyFill="1" applyBorder="1" applyAlignment="1">
      <alignment horizontal="left"/>
    </xf>
    <xf numFmtId="43" fontId="14" fillId="9" borderId="1" xfId="0" applyNumberFormat="1" applyFont="1" applyFill="1" applyBorder="1" applyAlignment="1">
      <alignment horizontal="right" vertical="center"/>
    </xf>
    <xf numFmtId="1" fontId="14" fillId="9" borderId="1" xfId="0" applyNumberFormat="1" applyFont="1" applyFill="1" applyBorder="1" applyAlignment="1">
      <alignment vertical="top" wrapText="1"/>
    </xf>
    <xf numFmtId="0" fontId="14" fillId="9" borderId="5" xfId="0" applyFont="1" applyFill="1" applyBorder="1"/>
    <xf numFmtId="0" fontId="32" fillId="4" borderId="1" xfId="0" applyFont="1" applyFill="1" applyBorder="1" applyAlignment="1">
      <alignment vertical="top"/>
    </xf>
    <xf numFmtId="0" fontId="13" fillId="4" borderId="1" xfId="0" applyFont="1" applyFill="1" applyBorder="1" applyAlignment="1">
      <alignment horizontal="right" vertical="center"/>
    </xf>
    <xf numFmtId="0" fontId="13" fillId="0" borderId="1" xfId="3" applyFont="1" applyBorder="1" applyAlignment="1">
      <alignment horizontal="center" vertical="center"/>
    </xf>
    <xf numFmtId="0" fontId="13" fillId="6" borderId="1" xfId="3" applyFont="1" applyFill="1" applyBorder="1" applyAlignment="1">
      <alignment horizontal="right" vertical="center"/>
    </xf>
    <xf numFmtId="43" fontId="13" fillId="4" borderId="1" xfId="0" applyNumberFormat="1" applyFont="1" applyFill="1" applyBorder="1" applyAlignment="1">
      <alignment horizontal="right" vertical="center" wrapText="1"/>
    </xf>
    <xf numFmtId="1" fontId="13" fillId="4" borderId="1" xfId="0" applyNumberFormat="1" applyFont="1" applyFill="1" applyBorder="1" applyAlignment="1">
      <alignment horizontal="right" vertical="center"/>
    </xf>
    <xf numFmtId="43" fontId="13" fillId="4" borderId="1" xfId="0" applyNumberFormat="1" applyFont="1" applyFill="1" applyBorder="1" applyAlignment="1">
      <alignment horizontal="left" vertical="center"/>
    </xf>
    <xf numFmtId="0" fontId="21" fillId="4" borderId="1" xfId="0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164" fontId="13" fillId="4" borderId="1" xfId="1" applyNumberFormat="1" applyFont="1" applyFill="1" applyBorder="1" applyAlignment="1">
      <alignment vertical="center"/>
    </xf>
    <xf numFmtId="0" fontId="21" fillId="0" borderId="1" xfId="3" applyFont="1" applyBorder="1" applyAlignment="1">
      <alignment vertical="center" wrapText="1"/>
    </xf>
    <xf numFmtId="0" fontId="13" fillId="14" borderId="1" xfId="3" applyFont="1" applyFill="1" applyBorder="1" applyAlignment="1">
      <alignment wrapText="1"/>
    </xf>
    <xf numFmtId="1" fontId="14" fillId="11" borderId="1" xfId="0" applyNumberFormat="1" applyFont="1" applyFill="1" applyBorder="1" applyAlignment="1">
      <alignment vertical="top" wrapText="1"/>
    </xf>
    <xf numFmtId="0" fontId="14" fillId="11" borderId="1" xfId="6" applyFont="1" applyFill="1" applyBorder="1" applyAlignment="1">
      <alignment horizontal="center"/>
    </xf>
    <xf numFmtId="4" fontId="12" fillId="6" borderId="4" xfId="0" applyNumberFormat="1" applyFont="1" applyFill="1" applyBorder="1" applyAlignment="1">
      <alignment horizontal="right"/>
    </xf>
    <xf numFmtId="164" fontId="13" fillId="4" borderId="1" xfId="0" applyNumberFormat="1" applyFont="1" applyFill="1" applyBorder="1" applyAlignment="1">
      <alignment horizontal="right" vertical="top"/>
    </xf>
    <xf numFmtId="2" fontId="13" fillId="0" borderId="1" xfId="0" applyNumberFormat="1" applyFont="1" applyBorder="1" applyAlignment="1">
      <alignment horizontal="righ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right"/>
    </xf>
    <xf numFmtId="0" fontId="25" fillId="2" borderId="12" xfId="0" applyFont="1" applyFill="1" applyBorder="1" applyAlignment="1">
      <alignment horizontal="right"/>
    </xf>
    <xf numFmtId="0" fontId="25" fillId="2" borderId="3" xfId="0" applyFont="1" applyFill="1" applyBorder="1" applyAlignment="1">
      <alignment horizontal="right"/>
    </xf>
    <xf numFmtId="0" fontId="25" fillId="2" borderId="4" xfId="0" applyFont="1" applyFill="1" applyBorder="1" applyAlignment="1">
      <alignment horizontal="right"/>
    </xf>
    <xf numFmtId="0" fontId="25" fillId="2" borderId="7" xfId="0" applyFont="1" applyFill="1" applyBorder="1" applyAlignment="1">
      <alignment horizontal="right"/>
    </xf>
    <xf numFmtId="0" fontId="25" fillId="2" borderId="5" xfId="0" applyFont="1" applyFill="1" applyBorder="1" applyAlignment="1">
      <alignment horizontal="right"/>
    </xf>
    <xf numFmtId="4" fontId="14" fillId="10" borderId="4" xfId="0" applyNumberFormat="1" applyFont="1" applyFill="1" applyBorder="1" applyAlignment="1">
      <alignment horizontal="center" vertical="center" wrapText="1"/>
    </xf>
    <xf numFmtId="4" fontId="14" fillId="10" borderId="5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top" wrapText="1"/>
    </xf>
    <xf numFmtId="4" fontId="14" fillId="0" borderId="5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13" fillId="4" borderId="2" xfId="0" applyNumberFormat="1" applyFont="1" applyFill="1" applyBorder="1" applyAlignment="1">
      <alignment horizontal="center" vertical="center" textRotation="90"/>
    </xf>
    <xf numFmtId="4" fontId="13" fillId="4" borderId="12" xfId="0" applyNumberFormat="1" applyFont="1" applyFill="1" applyBorder="1" applyAlignment="1">
      <alignment horizontal="center" vertical="center" textRotation="90"/>
    </xf>
    <xf numFmtId="0" fontId="13" fillId="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" fontId="14" fillId="6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top"/>
    </xf>
    <xf numFmtId="4" fontId="14" fillId="6" borderId="4" xfId="0" applyNumberFormat="1" applyFont="1" applyFill="1" applyBorder="1" applyAlignment="1">
      <alignment horizontal="center" vertical="center" wrapText="1"/>
    </xf>
    <xf numFmtId="4" fontId="14" fillId="6" borderId="5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top"/>
    </xf>
    <xf numFmtId="4" fontId="14" fillId="0" borderId="7" xfId="0" applyNumberFormat="1" applyFont="1" applyBorder="1" applyAlignment="1">
      <alignment horizontal="center" vertical="top"/>
    </xf>
    <xf numFmtId="4" fontId="14" fillId="0" borderId="5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" fontId="14" fillId="10" borderId="6" xfId="0" applyNumberFormat="1" applyFont="1" applyFill="1" applyBorder="1" applyAlignment="1">
      <alignment horizontal="center" vertical="center" wrapText="1"/>
    </xf>
    <xf numFmtId="4" fontId="14" fillId="10" borderId="14" xfId="0" applyNumberFormat="1" applyFont="1" applyFill="1" applyBorder="1" applyAlignment="1">
      <alignment horizontal="center" vertical="center" wrapText="1"/>
    </xf>
    <xf numFmtId="4" fontId="14" fillId="10" borderId="8" xfId="0" applyNumberFormat="1" applyFont="1" applyFill="1" applyBorder="1" applyAlignment="1">
      <alignment horizontal="center" vertical="center" wrapText="1"/>
    </xf>
    <xf numFmtId="4" fontId="14" fillId="10" borderId="10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6" borderId="6" xfId="0" applyNumberFormat="1" applyFont="1" applyFill="1" applyBorder="1" applyAlignment="1">
      <alignment horizontal="center" vertical="center" wrapText="1"/>
    </xf>
    <xf numFmtId="4" fontId="14" fillId="6" borderId="14" xfId="0" applyNumberFormat="1" applyFont="1" applyFill="1" applyBorder="1" applyAlignment="1">
      <alignment horizontal="center" vertical="center" wrapText="1"/>
    </xf>
    <xf numFmtId="4" fontId="14" fillId="6" borderId="8" xfId="0" applyNumberFormat="1" applyFont="1" applyFill="1" applyBorder="1" applyAlignment="1">
      <alignment horizontal="center" vertical="center" wrapText="1"/>
    </xf>
    <xf numFmtId="4" fontId="14" fillId="6" borderId="10" xfId="0" applyNumberFormat="1" applyFont="1" applyFill="1" applyBorder="1" applyAlignment="1">
      <alignment horizontal="center" vertical="center" wrapText="1"/>
    </xf>
    <xf numFmtId="4" fontId="14" fillId="10" borderId="1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vertical="center" wrapText="1"/>
    </xf>
    <xf numFmtId="4" fontId="14" fillId="0" borderId="5" xfId="0" applyNumberFormat="1" applyFont="1" applyBorder="1" applyAlignment="1">
      <alignment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top" wrapText="1"/>
    </xf>
    <xf numFmtId="4" fontId="14" fillId="6" borderId="1" xfId="0" applyNumberFormat="1" applyFont="1" applyFill="1" applyBorder="1" applyAlignment="1">
      <alignment horizontal="right" vertical="center" wrapText="1"/>
    </xf>
    <xf numFmtId="4" fontId="14" fillId="1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10" fontId="14" fillId="0" borderId="4" xfId="0" applyNumberFormat="1" applyFont="1" applyBorder="1" applyAlignment="1">
      <alignment horizontal="center" vertical="top"/>
    </xf>
    <xf numFmtId="10" fontId="14" fillId="0" borderId="7" xfId="0" applyNumberFormat="1" applyFont="1" applyBorder="1" applyAlignment="1">
      <alignment horizontal="center" vertical="top"/>
    </xf>
    <xf numFmtId="10" fontId="14" fillId="0" borderId="5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10" borderId="1" xfId="0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right" vertical="top" wrapText="1"/>
    </xf>
    <xf numFmtId="3" fontId="14" fillId="4" borderId="6" xfId="0" applyNumberFormat="1" applyFont="1" applyFill="1" applyBorder="1" applyAlignment="1">
      <alignment horizontal="right" vertical="top"/>
    </xf>
    <xf numFmtId="3" fontId="14" fillId="4" borderId="13" xfId="0" applyNumberFormat="1" applyFont="1" applyFill="1" applyBorder="1" applyAlignment="1">
      <alignment horizontal="right" vertical="top"/>
    </xf>
    <xf numFmtId="3" fontId="14" fillId="4" borderId="14" xfId="0" applyNumberFormat="1" applyFont="1" applyFill="1" applyBorder="1" applyAlignment="1">
      <alignment horizontal="right" vertical="top"/>
    </xf>
    <xf numFmtId="3" fontId="14" fillId="4" borderId="8" xfId="0" applyNumberFormat="1" applyFont="1" applyFill="1" applyBorder="1" applyAlignment="1">
      <alignment horizontal="right" vertical="top"/>
    </xf>
    <xf numFmtId="3" fontId="14" fillId="4" borderId="9" xfId="0" applyNumberFormat="1" applyFont="1" applyFill="1" applyBorder="1" applyAlignment="1">
      <alignment horizontal="right" vertical="top"/>
    </xf>
    <xf numFmtId="3" fontId="14" fillId="4" borderId="10" xfId="0" applyNumberFormat="1" applyFont="1" applyFill="1" applyBorder="1" applyAlignment="1">
      <alignment horizontal="right" vertical="top"/>
    </xf>
    <xf numFmtId="4" fontId="14" fillId="4" borderId="6" xfId="0" applyNumberFormat="1" applyFont="1" applyFill="1" applyBorder="1" applyAlignment="1">
      <alignment horizontal="right" vertical="top"/>
    </xf>
    <xf numFmtId="4" fontId="14" fillId="4" borderId="13" xfId="0" applyNumberFormat="1" applyFont="1" applyFill="1" applyBorder="1" applyAlignment="1">
      <alignment horizontal="right" vertical="top"/>
    </xf>
    <xf numFmtId="4" fontId="14" fillId="4" borderId="8" xfId="0" applyNumberFormat="1" applyFont="1" applyFill="1" applyBorder="1" applyAlignment="1">
      <alignment horizontal="right" vertical="top"/>
    </xf>
    <xf numFmtId="4" fontId="14" fillId="4" borderId="9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right" vertical="top"/>
    </xf>
    <xf numFmtId="0" fontId="14" fillId="4" borderId="2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4" fillId="10" borderId="1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right" vertical="top" wrapText="1"/>
    </xf>
    <xf numFmtId="0" fontId="14" fillId="6" borderId="1" xfId="0" applyFont="1" applyFill="1" applyBorder="1" applyAlignment="1">
      <alignment horizontal="center" vertical="top" wrapText="1"/>
    </xf>
    <xf numFmtId="0" fontId="32" fillId="10" borderId="1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right" vertical="top" wrapText="1"/>
    </xf>
    <xf numFmtId="4" fontId="13" fillId="0" borderId="2" xfId="0" applyNumberFormat="1" applyFont="1" applyBorder="1" applyAlignment="1">
      <alignment horizontal="right" vertical="top" wrapText="1"/>
    </xf>
    <xf numFmtId="4" fontId="13" fillId="0" borderId="12" xfId="0" applyNumberFormat="1" applyFont="1" applyBorder="1" applyAlignment="1">
      <alignment horizontal="right" vertical="top" wrapText="1"/>
    </xf>
    <xf numFmtId="3" fontId="14" fillId="0" borderId="6" xfId="0" applyNumberFormat="1" applyFont="1" applyBorder="1" applyAlignment="1">
      <alignment horizontal="center" vertical="top" wrapText="1"/>
    </xf>
    <xf numFmtId="3" fontId="14" fillId="0" borderId="13" xfId="0" applyNumberFormat="1" applyFont="1" applyBorder="1" applyAlignment="1">
      <alignment horizontal="center" vertical="top" wrapText="1"/>
    </xf>
    <xf numFmtId="3" fontId="14" fillId="0" borderId="14" xfId="0" applyNumberFormat="1" applyFont="1" applyBorder="1" applyAlignment="1">
      <alignment horizontal="center" vertical="top" wrapText="1"/>
    </xf>
    <xf numFmtId="3" fontId="14" fillId="0" borderId="8" xfId="0" applyNumberFormat="1" applyFont="1" applyBorder="1" applyAlignment="1">
      <alignment horizontal="center" vertical="top" wrapText="1"/>
    </xf>
    <xf numFmtId="3" fontId="14" fillId="0" borderId="9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 wrapText="1"/>
    </xf>
    <xf numFmtId="4" fontId="14" fillId="0" borderId="6" xfId="0" applyNumberFormat="1" applyFont="1" applyBorder="1" applyAlignment="1">
      <alignment horizontal="left" vertical="top" wrapText="1"/>
    </xf>
    <xf numFmtId="4" fontId="14" fillId="0" borderId="13" xfId="0" applyNumberFormat="1" applyFont="1" applyBorder="1" applyAlignment="1">
      <alignment horizontal="left" vertical="top" wrapText="1"/>
    </xf>
    <xf numFmtId="4" fontId="14" fillId="0" borderId="14" xfId="0" applyNumberFormat="1" applyFont="1" applyBorder="1" applyAlignment="1">
      <alignment horizontal="left" vertical="top" wrapText="1"/>
    </xf>
    <xf numFmtId="4" fontId="14" fillId="0" borderId="8" xfId="0" applyNumberFormat="1" applyFont="1" applyBorder="1" applyAlignment="1">
      <alignment horizontal="left" vertical="top" wrapText="1"/>
    </xf>
    <xf numFmtId="4" fontId="14" fillId="0" borderId="9" xfId="0" applyNumberFormat="1" applyFont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4" xfId="0" applyFont="1" applyBorder="1" applyAlignment="1">
      <alignment horizontal="right" vertical="top"/>
    </xf>
    <xf numFmtId="0" fontId="14" fillId="0" borderId="5" xfId="0" applyFont="1" applyBorder="1" applyAlignment="1">
      <alignment horizontal="right" vertical="top"/>
    </xf>
    <xf numFmtId="0" fontId="14" fillId="10" borderId="6" xfId="0" applyFont="1" applyFill="1" applyBorder="1" applyAlignment="1">
      <alignment horizontal="center" vertical="top" wrapText="1"/>
    </xf>
    <xf numFmtId="0" fontId="14" fillId="10" borderId="14" xfId="0" applyFont="1" applyFill="1" applyBorder="1" applyAlignment="1">
      <alignment horizontal="center" vertical="top" wrapText="1"/>
    </xf>
    <xf numFmtId="0" fontId="14" fillId="10" borderId="8" xfId="0" applyFont="1" applyFill="1" applyBorder="1" applyAlignment="1">
      <alignment horizontal="center" vertical="top" wrapText="1"/>
    </xf>
    <xf numFmtId="0" fontId="14" fillId="10" borderId="10" xfId="0" applyFont="1" applyFill="1" applyBorder="1" applyAlignment="1">
      <alignment horizontal="center" vertical="top" wrapText="1"/>
    </xf>
    <xf numFmtId="0" fontId="14" fillId="10" borderId="4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/>
    </xf>
    <xf numFmtId="10" fontId="14" fillId="4" borderId="4" xfId="0" applyNumberFormat="1" applyFont="1" applyFill="1" applyBorder="1" applyAlignment="1">
      <alignment horizontal="center" vertical="top"/>
    </xf>
    <xf numFmtId="10" fontId="14" fillId="4" borderId="7" xfId="0" applyNumberFormat="1" applyFont="1" applyFill="1" applyBorder="1" applyAlignment="1">
      <alignment horizontal="center" vertical="top"/>
    </xf>
    <xf numFmtId="10" fontId="14" fillId="4" borderId="5" xfId="0" applyNumberFormat="1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4" fontId="14" fillId="4" borderId="2" xfId="0" applyNumberFormat="1" applyFont="1" applyFill="1" applyBorder="1" applyAlignment="1">
      <alignment horizontal="left" vertical="top" wrapText="1"/>
    </xf>
    <xf numFmtId="4" fontId="14" fillId="4" borderId="3" xfId="0" applyNumberFormat="1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top"/>
    </xf>
    <xf numFmtId="0" fontId="14" fillId="4" borderId="4" xfId="0" applyFont="1" applyFill="1" applyBorder="1" applyAlignment="1">
      <alignment horizontal="center" vertical="top"/>
    </xf>
    <xf numFmtId="0" fontId="14" fillId="4" borderId="7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4" fontId="14" fillId="4" borderId="2" xfId="0" applyNumberFormat="1" applyFont="1" applyFill="1" applyBorder="1" applyAlignment="1">
      <alignment horizontal="center" vertical="top" wrapText="1"/>
    </xf>
    <xf numFmtId="4" fontId="14" fillId="4" borderId="3" xfId="0" applyNumberFormat="1" applyFont="1" applyFill="1" applyBorder="1" applyAlignment="1">
      <alignment horizontal="center" vertical="top" wrapText="1"/>
    </xf>
    <xf numFmtId="4" fontId="14" fillId="4" borderId="6" xfId="0" applyNumberFormat="1" applyFont="1" applyFill="1" applyBorder="1" applyAlignment="1">
      <alignment horizontal="center" vertical="top"/>
    </xf>
    <xf numFmtId="4" fontId="14" fillId="4" borderId="13" xfId="0" applyNumberFormat="1" applyFont="1" applyFill="1" applyBorder="1" applyAlignment="1">
      <alignment horizontal="center" vertical="top"/>
    </xf>
    <xf numFmtId="4" fontId="14" fillId="4" borderId="14" xfId="0" applyNumberFormat="1" applyFont="1" applyFill="1" applyBorder="1" applyAlignment="1">
      <alignment horizontal="center" vertical="top"/>
    </xf>
    <xf numFmtId="4" fontId="14" fillId="4" borderId="8" xfId="0" applyNumberFormat="1" applyFont="1" applyFill="1" applyBorder="1" applyAlignment="1">
      <alignment horizontal="center" vertical="top"/>
    </xf>
    <xf numFmtId="4" fontId="14" fillId="4" borderId="9" xfId="0" applyNumberFormat="1" applyFont="1" applyFill="1" applyBorder="1" applyAlignment="1">
      <alignment horizontal="center" vertical="top"/>
    </xf>
    <xf numFmtId="4" fontId="14" fillId="4" borderId="10" xfId="0" applyNumberFormat="1" applyFont="1" applyFill="1" applyBorder="1" applyAlignment="1">
      <alignment horizontal="center" vertical="top"/>
    </xf>
    <xf numFmtId="3" fontId="14" fillId="4" borderId="6" xfId="0" applyNumberFormat="1" applyFont="1" applyFill="1" applyBorder="1" applyAlignment="1">
      <alignment horizontal="center" vertical="top"/>
    </xf>
    <xf numFmtId="3" fontId="14" fillId="4" borderId="13" xfId="0" applyNumberFormat="1" applyFont="1" applyFill="1" applyBorder="1" applyAlignment="1">
      <alignment horizontal="center" vertical="top"/>
    </xf>
    <xf numFmtId="3" fontId="14" fillId="4" borderId="14" xfId="0" applyNumberFormat="1" applyFont="1" applyFill="1" applyBorder="1" applyAlignment="1">
      <alignment horizontal="center" vertical="top"/>
    </xf>
    <xf numFmtId="3" fontId="14" fillId="4" borderId="8" xfId="0" applyNumberFormat="1" applyFont="1" applyFill="1" applyBorder="1" applyAlignment="1">
      <alignment horizontal="center" vertical="top"/>
    </xf>
    <xf numFmtId="3" fontId="14" fillId="4" borderId="9" xfId="0" applyNumberFormat="1" applyFont="1" applyFill="1" applyBorder="1" applyAlignment="1">
      <alignment horizontal="center" vertical="top"/>
    </xf>
    <xf numFmtId="3" fontId="14" fillId="4" borderId="10" xfId="0" applyNumberFormat="1" applyFont="1" applyFill="1" applyBorder="1" applyAlignment="1">
      <alignment horizontal="center" vertical="top"/>
    </xf>
    <xf numFmtId="4" fontId="14" fillId="6" borderId="1" xfId="0" applyNumberFormat="1" applyFont="1" applyFill="1" applyBorder="1" applyAlignment="1"/>
  </cellXfs>
  <cellStyles count="9">
    <cellStyle name="Comma" xfId="1" builtinId="3"/>
    <cellStyle name="Comma 2" xfId="2"/>
    <cellStyle name="Normal" xfId="0" builtinId="0"/>
    <cellStyle name="Normal 2" xfId="3"/>
    <cellStyle name="Normal_COMFIN" xfId="4"/>
    <cellStyle name="Normal_DT_2_1" xfId="5"/>
    <cellStyle name="Normal_DT_3_2" xfId="6"/>
    <cellStyle name="Normal_DT_4_2" xfId="7"/>
    <cellStyle name="Normal_DT_4_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4"/>
  <sheetViews>
    <sheetView topLeftCell="B1" zoomScale="70" zoomScaleNormal="70" workbookViewId="0">
      <pane ySplit="8" topLeftCell="A9" activePane="bottomLeft" state="frozen"/>
      <selection activeCell="B1" sqref="B1"/>
      <selection pane="bottomLeft" activeCell="G35" sqref="G35"/>
    </sheetView>
  </sheetViews>
  <sheetFormatPr defaultRowHeight="15"/>
  <cols>
    <col min="1" max="1" width="5.7109375" customWidth="1"/>
    <col min="2" max="2" width="9.5703125" customWidth="1"/>
    <col min="3" max="3" width="45.140625" customWidth="1"/>
    <col min="4" max="4" width="23.5703125" customWidth="1"/>
    <col min="5" max="5" width="20" customWidth="1"/>
    <col min="6" max="7" width="23.5703125" customWidth="1"/>
    <col min="8" max="8" width="24.42578125" customWidth="1"/>
    <col min="9" max="9" width="24" customWidth="1"/>
    <col min="10" max="10" width="23.5703125" customWidth="1"/>
    <col min="11" max="11" width="22.5703125" customWidth="1"/>
    <col min="12" max="12" width="8.85546875" customWidth="1"/>
    <col min="13" max="13" width="26.28515625" customWidth="1"/>
    <col min="14" max="14" width="21.28515625" customWidth="1"/>
    <col min="15" max="15" width="24.42578125" customWidth="1"/>
    <col min="16" max="16" width="13.140625" bestFit="1" customWidth="1"/>
  </cols>
  <sheetData>
    <row r="1" spans="1:16" ht="13.5" customHeight="1">
      <c r="A1" s="710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</row>
    <row r="2" spans="1:16" ht="23.25">
      <c r="A2" s="710" t="s">
        <v>164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</row>
    <row r="3" spans="1:16" ht="23.25">
      <c r="A3" s="710" t="s">
        <v>401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</row>
    <row r="4" spans="1:16" ht="23.25">
      <c r="A4" s="711" t="s">
        <v>5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</row>
    <row r="5" spans="1:16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2"/>
      <c r="O5" s="1"/>
    </row>
    <row r="6" spans="1:16" s="10" customFormat="1" ht="22.9" customHeight="1">
      <c r="A6" s="704" t="s">
        <v>58</v>
      </c>
      <c r="B6" s="704" t="s">
        <v>56</v>
      </c>
      <c r="C6" s="720" t="s">
        <v>13</v>
      </c>
      <c r="D6" s="704" t="s">
        <v>402</v>
      </c>
      <c r="E6" s="706" t="s">
        <v>223</v>
      </c>
      <c r="F6" s="707"/>
      <c r="G6" s="707"/>
      <c r="H6" s="707"/>
      <c r="I6" s="707"/>
      <c r="J6" s="707"/>
      <c r="K6" s="707"/>
      <c r="L6" s="707"/>
      <c r="M6" s="707"/>
      <c r="N6" s="707"/>
      <c r="O6" s="708"/>
    </row>
    <row r="7" spans="1:16" s="10" customFormat="1" ht="33.75" customHeight="1">
      <c r="A7" s="705"/>
      <c r="B7" s="705"/>
      <c r="C7" s="721"/>
      <c r="D7" s="705"/>
      <c r="E7" s="68" t="s">
        <v>212</v>
      </c>
      <c r="F7" s="68" t="s">
        <v>213</v>
      </c>
      <c r="G7" s="68" t="s">
        <v>214</v>
      </c>
      <c r="H7" s="68" t="s">
        <v>215</v>
      </c>
      <c r="I7" s="68" t="s">
        <v>216</v>
      </c>
      <c r="J7" s="68" t="s">
        <v>217</v>
      </c>
      <c r="K7" s="68" t="s">
        <v>218</v>
      </c>
      <c r="L7" s="68" t="s">
        <v>219</v>
      </c>
      <c r="M7" s="68" t="s">
        <v>220</v>
      </c>
      <c r="N7" s="68" t="s">
        <v>221</v>
      </c>
      <c r="O7" s="9" t="s">
        <v>37</v>
      </c>
    </row>
    <row r="8" spans="1:16" ht="9.75" customHeight="1">
      <c r="A8" s="712"/>
      <c r="B8" s="713"/>
      <c r="C8" s="71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6" ht="18" customHeight="1">
      <c r="A9" s="714">
        <v>1</v>
      </c>
      <c r="B9" s="11">
        <v>10000</v>
      </c>
      <c r="C9" s="12" t="s">
        <v>0</v>
      </c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</row>
    <row r="10" spans="1:16">
      <c r="A10" s="715"/>
      <c r="B10" s="15">
        <v>11000</v>
      </c>
      <c r="C10" s="16" t="s">
        <v>63</v>
      </c>
      <c r="D10" s="21">
        <f>O10</f>
        <v>233006000</v>
      </c>
      <c r="E10" s="21">
        <f>'1.1'!H41</f>
        <v>61561200</v>
      </c>
      <c r="F10" s="21">
        <f>'1.1'!I41</f>
        <v>171444800</v>
      </c>
      <c r="G10" s="21">
        <f>'1.1'!J41</f>
        <v>0</v>
      </c>
      <c r="H10" s="21">
        <f>'1.1'!K41</f>
        <v>0</v>
      </c>
      <c r="I10" s="21">
        <f>'1.1'!L41</f>
        <v>0</v>
      </c>
      <c r="J10" s="21">
        <f>'1.1'!M41</f>
        <v>0</v>
      </c>
      <c r="K10" s="21">
        <f>'1.1'!N41</f>
        <v>0</v>
      </c>
      <c r="L10" s="21">
        <f>'1.1'!O41</f>
        <v>0</v>
      </c>
      <c r="M10" s="21">
        <f>'1.1'!P41</f>
        <v>0</v>
      </c>
      <c r="N10" s="21">
        <f>'1.1'!Q41</f>
        <v>0</v>
      </c>
      <c r="O10" s="22">
        <f>SUM(E10:N10)</f>
        <v>233006000</v>
      </c>
    </row>
    <row r="11" spans="1:16" ht="18" customHeight="1">
      <c r="A11" s="715"/>
      <c r="B11" s="15">
        <v>12000</v>
      </c>
      <c r="C11" s="16" t="s">
        <v>68</v>
      </c>
      <c r="D11" s="21">
        <f>O11</f>
        <v>38442800</v>
      </c>
      <c r="E11" s="21">
        <f>'1.2'!F64</f>
        <v>1688560</v>
      </c>
      <c r="F11" s="21">
        <f>'1.2'!G64</f>
        <v>36754240</v>
      </c>
      <c r="G11" s="21">
        <f>'1.2'!H64</f>
        <v>0</v>
      </c>
      <c r="H11" s="21">
        <f>'1.2'!I64</f>
        <v>0</v>
      </c>
      <c r="I11" s="21">
        <f>'1.2'!J64</f>
        <v>0</v>
      </c>
      <c r="J11" s="21">
        <f>'1.2'!K64</f>
        <v>0</v>
      </c>
      <c r="K11" s="21">
        <f>'1.2'!L64</f>
        <v>0</v>
      </c>
      <c r="L11" s="21">
        <f>'1.2'!M64</f>
        <v>0</v>
      </c>
      <c r="M11" s="21">
        <f>'1.2'!N64</f>
        <v>0</v>
      </c>
      <c r="N11" s="21">
        <f>'1.2'!O64</f>
        <v>0</v>
      </c>
      <c r="O11" s="22">
        <f>SUM(E11:N11)</f>
        <v>38442800</v>
      </c>
    </row>
    <row r="12" spans="1:16" ht="14.25" customHeight="1">
      <c r="A12" s="716"/>
      <c r="B12" s="17"/>
      <c r="C12" s="18" t="s">
        <v>3</v>
      </c>
      <c r="D12" s="502">
        <f>O12</f>
        <v>271448800</v>
      </c>
      <c r="E12" s="23">
        <f>SUM(E10:E11)</f>
        <v>63249760</v>
      </c>
      <c r="F12" s="23">
        <f t="shared" ref="F12:O12" si="0">SUM(F10:F11)</f>
        <v>208199040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271448800</v>
      </c>
    </row>
    <row r="13" spans="1:16">
      <c r="A13" s="1"/>
      <c r="B13" s="19"/>
      <c r="C13" s="20"/>
      <c r="D13" s="25"/>
      <c r="E13" s="25"/>
      <c r="F13" s="25"/>
      <c r="G13" s="25"/>
      <c r="H13" s="25"/>
      <c r="I13" s="25"/>
      <c r="J13" s="25"/>
      <c r="K13" s="25"/>
      <c r="L13" s="22"/>
      <c r="M13" s="22"/>
      <c r="N13" s="22"/>
      <c r="O13" s="22"/>
    </row>
    <row r="14" spans="1:16">
      <c r="A14" s="714">
        <v>2</v>
      </c>
      <c r="B14" s="11">
        <v>20000</v>
      </c>
      <c r="C14" s="165" t="s">
        <v>93</v>
      </c>
      <c r="D14" s="26"/>
      <c r="E14" s="26"/>
      <c r="F14" s="26"/>
      <c r="G14" s="26"/>
      <c r="H14" s="26"/>
      <c r="I14" s="26"/>
      <c r="J14" s="26"/>
      <c r="K14" s="26"/>
      <c r="L14" s="22"/>
      <c r="M14" s="22"/>
      <c r="N14" s="22"/>
      <c r="O14" s="22"/>
    </row>
    <row r="15" spans="1:16" ht="15.75">
      <c r="A15" s="715"/>
      <c r="B15" s="511">
        <v>21000</v>
      </c>
      <c r="C15" s="57" t="s">
        <v>188</v>
      </c>
      <c r="D15" s="21">
        <f>O15</f>
        <v>618595192</v>
      </c>
      <c r="E15" s="21">
        <f>'2.1'!I85</f>
        <v>15531720</v>
      </c>
      <c r="F15" s="21">
        <f>'2.1'!J85</f>
        <v>68636880</v>
      </c>
      <c r="G15" s="21">
        <f>'2.1'!K85</f>
        <v>60000000</v>
      </c>
      <c r="H15" s="21">
        <f>'2.1'!L85</f>
        <v>0</v>
      </c>
      <c r="I15" s="21">
        <f>'2.1'!M85</f>
        <v>71750000</v>
      </c>
      <c r="J15" s="21">
        <f>'2.1'!N85</f>
        <v>358328592</v>
      </c>
      <c r="K15" s="21">
        <f>'2.1'!O85</f>
        <v>0</v>
      </c>
      <c r="L15" s="21">
        <f>'2.1'!P85</f>
        <v>0</v>
      </c>
      <c r="M15" s="21">
        <f>'2.1'!Q85</f>
        <v>4340000</v>
      </c>
      <c r="N15" s="21">
        <f>'2.1'!R85</f>
        <v>40008000</v>
      </c>
      <c r="O15" s="22">
        <f>SUM(E15:N15)</f>
        <v>618595192</v>
      </c>
      <c r="P15" s="87"/>
    </row>
    <row r="16" spans="1:16" ht="15.75">
      <c r="A16" s="715"/>
      <c r="B16" s="511">
        <v>22000</v>
      </c>
      <c r="C16" s="57" t="s">
        <v>723</v>
      </c>
      <c r="D16" s="21">
        <f>O16</f>
        <v>350311900</v>
      </c>
      <c r="E16" s="21">
        <f>'2.2'!H89</f>
        <v>28457690</v>
      </c>
      <c r="F16" s="21">
        <f>'2.2'!I89</f>
        <v>190949520</v>
      </c>
      <c r="G16" s="21">
        <f>'2.2'!J89</f>
        <v>0</v>
      </c>
      <c r="H16" s="21">
        <f>'2.2'!K89</f>
        <v>0</v>
      </c>
      <c r="I16" s="21">
        <f>'2.2'!L89</f>
        <v>109925000</v>
      </c>
      <c r="J16" s="21">
        <f>'2.2'!M89</f>
        <v>1700000</v>
      </c>
      <c r="K16" s="21">
        <f>'2.2'!N89</f>
        <v>0</v>
      </c>
      <c r="L16" s="21">
        <f>'2.2'!O89</f>
        <v>0</v>
      </c>
      <c r="M16" s="21">
        <f>'2.2'!P89</f>
        <v>19279690</v>
      </c>
      <c r="N16" s="21">
        <f>'2.2'!Q89</f>
        <v>0</v>
      </c>
      <c r="O16" s="22">
        <f>SUM(E16:N16)</f>
        <v>350311900</v>
      </c>
    </row>
    <row r="17" spans="1:15" ht="15.75">
      <c r="A17" s="715"/>
      <c r="B17" s="511">
        <v>23000</v>
      </c>
      <c r="C17" s="57" t="s">
        <v>722</v>
      </c>
      <c r="D17" s="21">
        <f>O17</f>
        <v>311021000</v>
      </c>
      <c r="E17" s="21">
        <f>'2.3'!H56</f>
        <v>12134200</v>
      </c>
      <c r="F17" s="21">
        <f>'2.3'!I56</f>
        <v>138296800</v>
      </c>
      <c r="G17" s="21">
        <f>'2.3'!J56</f>
        <v>75376000</v>
      </c>
      <c r="H17" s="21">
        <f>'2.3'!K56</f>
        <v>0</v>
      </c>
      <c r="I17" s="21">
        <f>'2.3'!L56</f>
        <v>54032000</v>
      </c>
      <c r="J17" s="21">
        <f>'2.3'!M56</f>
        <v>0</v>
      </c>
      <c r="K17" s="21">
        <f>'2.3'!N56</f>
        <v>0</v>
      </c>
      <c r="L17" s="21">
        <f>'2.3'!O56</f>
        <v>0</v>
      </c>
      <c r="M17" s="21">
        <f>'2.3'!P56</f>
        <v>31182000</v>
      </c>
      <c r="N17" s="21">
        <f>'2.3'!Q56</f>
        <v>0</v>
      </c>
      <c r="O17" s="22">
        <f>SUM(E17:N17)</f>
        <v>311021000</v>
      </c>
    </row>
    <row r="18" spans="1:15">
      <c r="A18" s="716"/>
      <c r="B18" s="17"/>
      <c r="C18" s="18" t="s">
        <v>3</v>
      </c>
      <c r="D18" s="502">
        <f>O18</f>
        <v>1279928092</v>
      </c>
      <c r="E18" s="23">
        <f>SUM(E15:E17)</f>
        <v>56123610</v>
      </c>
      <c r="F18" s="23">
        <f t="shared" ref="F18:O18" si="1">SUM(F15:F17)</f>
        <v>397883200</v>
      </c>
      <c r="G18" s="23">
        <f t="shared" si="1"/>
        <v>135376000</v>
      </c>
      <c r="H18" s="23">
        <f t="shared" si="1"/>
        <v>0</v>
      </c>
      <c r="I18" s="23">
        <f t="shared" si="1"/>
        <v>235707000</v>
      </c>
      <c r="J18" s="23">
        <f t="shared" si="1"/>
        <v>360028592</v>
      </c>
      <c r="K18" s="23">
        <f t="shared" si="1"/>
        <v>0</v>
      </c>
      <c r="L18" s="23">
        <f t="shared" si="1"/>
        <v>0</v>
      </c>
      <c r="M18" s="23">
        <f t="shared" si="1"/>
        <v>54801690</v>
      </c>
      <c r="N18" s="23">
        <f t="shared" si="1"/>
        <v>40008000</v>
      </c>
      <c r="O18" s="23">
        <f t="shared" si="1"/>
        <v>1279928092</v>
      </c>
    </row>
    <row r="19" spans="1:15" ht="13.5" customHeight="1">
      <c r="A19" s="1"/>
      <c r="B19" s="19"/>
      <c r="C19" s="20"/>
      <c r="D19" s="25"/>
      <c r="E19" s="25"/>
      <c r="F19" s="25"/>
      <c r="G19" s="25"/>
      <c r="H19" s="25"/>
      <c r="I19" s="25"/>
      <c r="J19" s="25"/>
      <c r="K19" s="25"/>
      <c r="L19" s="22"/>
      <c r="M19" s="22"/>
      <c r="N19" s="22"/>
      <c r="O19" s="22"/>
    </row>
    <row r="20" spans="1:15" ht="30">
      <c r="A20" s="714">
        <v>3</v>
      </c>
      <c r="B20" s="11">
        <v>30000</v>
      </c>
      <c r="C20" s="12" t="s">
        <v>95</v>
      </c>
      <c r="D20" s="26"/>
      <c r="E20" s="26"/>
      <c r="F20" s="26"/>
      <c r="G20" s="26"/>
      <c r="H20" s="26"/>
      <c r="I20" s="26"/>
      <c r="J20" s="26"/>
      <c r="K20" s="26"/>
      <c r="L20" s="22"/>
      <c r="M20" s="22"/>
      <c r="N20" s="22"/>
      <c r="O20" s="22"/>
    </row>
    <row r="21" spans="1:15" ht="15.75">
      <c r="A21" s="715"/>
      <c r="B21" s="511">
        <v>31000</v>
      </c>
      <c r="C21" s="57" t="s">
        <v>180</v>
      </c>
      <c r="D21" s="21">
        <f>O21</f>
        <v>550850000</v>
      </c>
      <c r="E21" s="21">
        <f>'3.1'!I42</f>
        <v>2140000</v>
      </c>
      <c r="F21" s="21">
        <f>'3.1'!J42</f>
        <v>22680000</v>
      </c>
      <c r="G21" s="21">
        <f>'3.1'!K42</f>
        <v>48000000</v>
      </c>
      <c r="H21" s="21">
        <f>'3.1'!L42</f>
        <v>61000000</v>
      </c>
      <c r="I21" s="21">
        <f>'3.1'!M42</f>
        <v>190900000</v>
      </c>
      <c r="J21" s="21">
        <f>'3.1'!N42</f>
        <v>0</v>
      </c>
      <c r="K21" s="21">
        <f>'3.1'!O42</f>
        <v>222600000</v>
      </c>
      <c r="L21" s="21">
        <f>'3.1'!P42</f>
        <v>0</v>
      </c>
      <c r="M21" s="21">
        <f>'3.1'!Q42</f>
        <v>3530000</v>
      </c>
      <c r="N21" s="21">
        <f>'3.1'!R42</f>
        <v>0</v>
      </c>
      <c r="O21" s="22">
        <f>SUM(E21:N21)</f>
        <v>550850000</v>
      </c>
    </row>
    <row r="22" spans="1:15" ht="15.75">
      <c r="A22" s="715"/>
      <c r="B22" s="511">
        <v>32000</v>
      </c>
      <c r="C22" s="57" t="s">
        <v>105</v>
      </c>
      <c r="D22" s="21">
        <f>O22</f>
        <v>173920000</v>
      </c>
      <c r="E22" s="21">
        <f>'3.2'!G32</f>
        <v>2526000</v>
      </c>
      <c r="F22" s="21">
        <f>'3.2'!H32</f>
        <v>46000000</v>
      </c>
      <c r="G22" s="21">
        <f>'3.2'!I32</f>
        <v>0</v>
      </c>
      <c r="H22" s="21">
        <f>'3.2'!J32</f>
        <v>0</v>
      </c>
      <c r="I22" s="21">
        <f>'3.2'!K32</f>
        <v>116420000</v>
      </c>
      <c r="J22" s="21">
        <f>'3.2'!L32</f>
        <v>0</v>
      </c>
      <c r="K22" s="21">
        <f>'3.2'!M32</f>
        <v>0</v>
      </c>
      <c r="L22" s="21">
        <f>'3.2'!N32</f>
        <v>0</v>
      </c>
      <c r="M22" s="21">
        <f>'3.2'!O32</f>
        <v>8974000</v>
      </c>
      <c r="N22" s="21">
        <f>'3.2'!P32</f>
        <v>0</v>
      </c>
      <c r="O22" s="22">
        <f>SUM(E22:N22)</f>
        <v>173920000</v>
      </c>
    </row>
    <row r="23" spans="1:15">
      <c r="A23" s="716"/>
      <c r="B23" s="17"/>
      <c r="C23" s="18" t="s">
        <v>3</v>
      </c>
      <c r="D23" s="502">
        <f>O23</f>
        <v>724770000</v>
      </c>
      <c r="E23" s="23">
        <f>SUM(E21:E22)</f>
        <v>4666000</v>
      </c>
      <c r="F23" s="23">
        <f t="shared" ref="F23:O23" si="2">SUM(F21:F22)</f>
        <v>68680000</v>
      </c>
      <c r="G23" s="23">
        <f t="shared" si="2"/>
        <v>48000000</v>
      </c>
      <c r="H23" s="23">
        <f t="shared" si="2"/>
        <v>61000000</v>
      </c>
      <c r="I23" s="23">
        <f t="shared" si="2"/>
        <v>307320000</v>
      </c>
      <c r="J23" s="23">
        <f t="shared" si="2"/>
        <v>0</v>
      </c>
      <c r="K23" s="23">
        <f t="shared" si="2"/>
        <v>222600000</v>
      </c>
      <c r="L23" s="23">
        <f t="shared" si="2"/>
        <v>0</v>
      </c>
      <c r="M23" s="23">
        <f t="shared" si="2"/>
        <v>12504000</v>
      </c>
      <c r="N23" s="23">
        <f t="shared" si="2"/>
        <v>0</v>
      </c>
      <c r="O23" s="23">
        <f t="shared" si="2"/>
        <v>724770000</v>
      </c>
    </row>
    <row r="24" spans="1:15">
      <c r="A24" s="1"/>
      <c r="B24" s="19"/>
      <c r="C24" s="20"/>
      <c r="D24" s="25"/>
      <c r="E24" s="25"/>
      <c r="F24" s="25"/>
      <c r="G24" s="25"/>
      <c r="H24" s="25"/>
      <c r="I24" s="25"/>
      <c r="J24" s="25"/>
      <c r="K24" s="25"/>
      <c r="L24" s="22"/>
      <c r="M24" s="22"/>
      <c r="N24" s="22"/>
      <c r="O24" s="22"/>
    </row>
    <row r="25" spans="1:15">
      <c r="A25" s="714">
        <v>4</v>
      </c>
      <c r="B25" s="11">
        <v>40000</v>
      </c>
      <c r="C25" s="12" t="str">
        <f>'4.1 '!C5:Q5</f>
        <v>Programme Management</v>
      </c>
      <c r="D25" s="26"/>
      <c r="E25" s="26"/>
      <c r="F25" s="26"/>
      <c r="G25" s="26"/>
      <c r="H25" s="26"/>
      <c r="I25" s="26"/>
      <c r="J25" s="26"/>
      <c r="K25" s="26"/>
      <c r="L25" s="24"/>
      <c r="M25" s="24"/>
      <c r="N25" s="24"/>
      <c r="O25" s="103"/>
    </row>
    <row r="26" spans="1:15" ht="15.75" customHeight="1">
      <c r="A26" s="715"/>
      <c r="B26" s="511">
        <v>41000</v>
      </c>
      <c r="C26" s="282" t="s">
        <v>724</v>
      </c>
      <c r="D26" s="22">
        <f>O26</f>
        <v>62066000</v>
      </c>
      <c r="E26" s="22">
        <f>'4.1 '!H87</f>
        <v>24769000</v>
      </c>
      <c r="F26" s="22">
        <f>'4.1 '!I87</f>
        <v>37297000</v>
      </c>
      <c r="G26" s="22">
        <f>'4.1 '!J87</f>
        <v>0</v>
      </c>
      <c r="H26" s="22">
        <f>'4.1 '!K87</f>
        <v>0</v>
      </c>
      <c r="I26" s="22">
        <f>'4.1 '!L87</f>
        <v>0</v>
      </c>
      <c r="J26" s="22">
        <f>'4.1 '!M87</f>
        <v>0</v>
      </c>
      <c r="K26" s="22">
        <f>'4.1 '!N87</f>
        <v>0</v>
      </c>
      <c r="L26" s="22">
        <f>'4.1 '!O87</f>
        <v>0</v>
      </c>
      <c r="M26" s="22">
        <f>'4.1 '!P87</f>
        <v>0</v>
      </c>
      <c r="N26" s="22">
        <f>'4.1 '!Q87</f>
        <v>0</v>
      </c>
      <c r="O26" s="22">
        <f>SUM(E26:N26)</f>
        <v>62066000</v>
      </c>
    </row>
    <row r="27" spans="1:15" ht="15.75" customHeight="1">
      <c r="A27" s="715"/>
      <c r="B27" s="511">
        <v>42000</v>
      </c>
      <c r="C27" s="282" t="s">
        <v>725</v>
      </c>
      <c r="D27" s="22">
        <f>O27</f>
        <v>95668000</v>
      </c>
      <c r="E27" s="22">
        <f>'4.2'!H55</f>
        <v>42037700</v>
      </c>
      <c r="F27" s="22">
        <f>'4.2'!I55</f>
        <v>53630300</v>
      </c>
      <c r="G27" s="22">
        <f>'4.2'!J55</f>
        <v>0</v>
      </c>
      <c r="H27" s="22">
        <f>'4.2'!K55</f>
        <v>0</v>
      </c>
      <c r="I27" s="22">
        <f>'4.2'!L55</f>
        <v>0</v>
      </c>
      <c r="J27" s="22">
        <f>'4.2'!M55</f>
        <v>0</v>
      </c>
      <c r="K27" s="22">
        <f>'4.2'!N55</f>
        <v>0</v>
      </c>
      <c r="L27" s="22">
        <f>'4.2'!O55</f>
        <v>0</v>
      </c>
      <c r="M27" s="22">
        <f>'4.2'!P55</f>
        <v>0</v>
      </c>
      <c r="N27" s="22">
        <f>'4.2'!Q55</f>
        <v>0</v>
      </c>
      <c r="O27" s="22">
        <f>SUM(E27:N27)</f>
        <v>95668000</v>
      </c>
    </row>
    <row r="28" spans="1:15" ht="15.75">
      <c r="A28" s="715"/>
      <c r="B28" s="511">
        <v>43000</v>
      </c>
      <c r="C28" s="282" t="s">
        <v>726</v>
      </c>
      <c r="D28" s="22">
        <f>O28</f>
        <v>5233000</v>
      </c>
      <c r="E28" s="22">
        <f>'4.3 '!I35</f>
        <v>1046600</v>
      </c>
      <c r="F28" s="22">
        <f>'4.3 '!J35</f>
        <v>4186400</v>
      </c>
      <c r="G28" s="22">
        <f>'4.3 '!K35</f>
        <v>0</v>
      </c>
      <c r="H28" s="22">
        <f>'4.3 '!L35</f>
        <v>0</v>
      </c>
      <c r="I28" s="22">
        <f>'4.3 '!M35</f>
        <v>0</v>
      </c>
      <c r="J28" s="22">
        <f>'4.3 '!N35</f>
        <v>0</v>
      </c>
      <c r="K28" s="22">
        <f>'4.3 '!O35</f>
        <v>0</v>
      </c>
      <c r="L28" s="22">
        <f>'4.3 '!P35</f>
        <v>0</v>
      </c>
      <c r="M28" s="22">
        <f>'4.3 '!Q35</f>
        <v>0</v>
      </c>
      <c r="N28" s="22">
        <f>'4.3 '!R35</f>
        <v>0</v>
      </c>
      <c r="O28" s="22">
        <f>SUM(E28:N28)</f>
        <v>5233000</v>
      </c>
    </row>
    <row r="29" spans="1:15">
      <c r="A29" s="716"/>
      <c r="B29" s="17"/>
      <c r="C29" s="18" t="s">
        <v>3</v>
      </c>
      <c r="D29" s="22">
        <f>O29</f>
        <v>162967000</v>
      </c>
      <c r="E29" s="24">
        <f>SUM(E26:E28)</f>
        <v>67853300</v>
      </c>
      <c r="F29" s="24">
        <f t="shared" ref="F29:N29" si="3">SUM(F26:F28)</f>
        <v>95113700</v>
      </c>
      <c r="G29" s="24">
        <f t="shared" si="3"/>
        <v>0</v>
      </c>
      <c r="H29" s="24">
        <f t="shared" si="3"/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24">
        <f t="shared" si="3"/>
        <v>0</v>
      </c>
      <c r="O29" s="22">
        <f>SUM(E29:N29)</f>
        <v>162967000</v>
      </c>
    </row>
    <row r="30" spans="1:15">
      <c r="A30" s="717" t="s">
        <v>4</v>
      </c>
      <c r="B30" s="718"/>
      <c r="C30" s="719"/>
      <c r="D30" s="24">
        <f>O30</f>
        <v>2439113892</v>
      </c>
      <c r="E30" s="24">
        <f>E29+E23+E18+E12</f>
        <v>191892670</v>
      </c>
      <c r="F30" s="24">
        <f t="shared" ref="F30:O30" si="4">F29+F23+F18+F12</f>
        <v>769875940</v>
      </c>
      <c r="G30" s="24">
        <f t="shared" si="4"/>
        <v>183376000</v>
      </c>
      <c r="H30" s="24">
        <f t="shared" si="4"/>
        <v>61000000</v>
      </c>
      <c r="I30" s="24">
        <f t="shared" si="4"/>
        <v>543027000</v>
      </c>
      <c r="J30" s="24">
        <f t="shared" si="4"/>
        <v>360028592</v>
      </c>
      <c r="K30" s="24">
        <f t="shared" si="4"/>
        <v>222600000</v>
      </c>
      <c r="L30" s="24">
        <f t="shared" si="4"/>
        <v>0</v>
      </c>
      <c r="M30" s="24">
        <f t="shared" si="4"/>
        <v>67305690</v>
      </c>
      <c r="N30" s="24">
        <f t="shared" si="4"/>
        <v>40008000</v>
      </c>
      <c r="O30" s="24">
        <f t="shared" si="4"/>
        <v>2439113892</v>
      </c>
    </row>
    <row r="31" spans="1:15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</row>
    <row r="32" spans="1:15" ht="18.75" hidden="1">
      <c r="A32" s="27" t="s">
        <v>211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4"/>
      <c r="M32" s="8"/>
      <c r="N32" s="4"/>
      <c r="O32" s="4"/>
    </row>
    <row r="33" spans="1:15">
      <c r="A33" s="5"/>
      <c r="B33" s="709"/>
      <c r="C33" s="709"/>
      <c r="D33" s="709"/>
      <c r="E33" s="67"/>
      <c r="F33" s="67"/>
      <c r="G33" s="67"/>
      <c r="H33" s="67"/>
      <c r="I33" s="67"/>
      <c r="J33" s="67"/>
      <c r="K33" s="67"/>
      <c r="L33" s="5"/>
      <c r="M33" s="5"/>
      <c r="N33" s="5"/>
      <c r="O33" s="5"/>
    </row>
    <row r="34" spans="1:15">
      <c r="A34" s="5"/>
      <c r="B34" s="5"/>
      <c r="C34" s="5"/>
      <c r="D34" s="5"/>
      <c r="E34" s="5"/>
      <c r="F34" s="505">
        <f>E30+F30</f>
        <v>961768610</v>
      </c>
      <c r="G34" s="5"/>
      <c r="H34" s="5"/>
      <c r="I34" s="5"/>
      <c r="J34" s="5"/>
      <c r="K34" s="5"/>
      <c r="L34" s="5"/>
      <c r="M34" s="5"/>
      <c r="N34" s="6"/>
      <c r="O34" s="5"/>
    </row>
  </sheetData>
  <mergeCells count="16">
    <mergeCell ref="D6:D7"/>
    <mergeCell ref="E6:O6"/>
    <mergeCell ref="B33:D33"/>
    <mergeCell ref="A1:O1"/>
    <mergeCell ref="A2:O2"/>
    <mergeCell ref="A3:O3"/>
    <mergeCell ref="A4:O4"/>
    <mergeCell ref="A8:C8"/>
    <mergeCell ref="A9:A12"/>
    <mergeCell ref="A14:A18"/>
    <mergeCell ref="A20:A23"/>
    <mergeCell ref="A25:A29"/>
    <mergeCell ref="A30:C30"/>
    <mergeCell ref="A6:A7"/>
    <mergeCell ref="C6:C7"/>
    <mergeCell ref="B6:B7"/>
  </mergeCells>
  <pageMargins left="0.26" right="0.3" top="0.53" bottom="0.18" header="0.17" footer="0.16"/>
  <pageSetup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tabColor rgb="FF00B0F0"/>
    <pageSetUpPr fitToPage="1"/>
  </sheetPr>
  <dimension ref="A1:FC40"/>
  <sheetViews>
    <sheetView zoomScale="70" zoomScaleNormal="70" workbookViewId="0">
      <pane xSplit="6" ySplit="9" topLeftCell="BL10" activePane="bottomRight" state="frozen"/>
      <selection pane="topRight" activeCell="H1" sqref="H1"/>
      <selection pane="bottomLeft" activeCell="A10" sqref="A10"/>
      <selection pane="bottomRight" activeCell="AZ35" sqref="AZ35"/>
    </sheetView>
  </sheetViews>
  <sheetFormatPr defaultColWidth="9.140625" defaultRowHeight="15.75"/>
  <cols>
    <col min="1" max="1" width="10.28515625" style="31" hidden="1" customWidth="1"/>
    <col min="2" max="2" width="48.140625" style="104" customWidth="1"/>
    <col min="3" max="3" width="13.28515625" style="31" customWidth="1"/>
    <col min="4" max="4" width="15.28515625" style="31" customWidth="1"/>
    <col min="5" max="5" width="14.5703125" style="32" customWidth="1"/>
    <col min="6" max="6" width="16.85546875" style="31" customWidth="1"/>
    <col min="7" max="7" width="15.140625" style="31" customWidth="1"/>
    <col min="8" max="8" width="16.85546875" style="31" customWidth="1"/>
    <col min="9" max="9" width="14.140625" style="31" customWidth="1"/>
    <col min="10" max="10" width="10.5703125" style="31" customWidth="1"/>
    <col min="11" max="11" width="17.85546875" style="31" customWidth="1"/>
    <col min="12" max="12" width="12.140625" style="31" customWidth="1"/>
    <col min="13" max="13" width="5.5703125" style="31" customWidth="1"/>
    <col min="14" max="14" width="7.140625" style="31" customWidth="1"/>
    <col min="15" max="15" width="15.140625" style="31" customWidth="1"/>
    <col min="16" max="16" width="8.140625" style="31" customWidth="1"/>
    <col min="17" max="17" width="8" style="31" customWidth="1"/>
    <col min="18" max="19" width="8.5703125" style="31" customWidth="1"/>
    <col min="20" max="20" width="9.85546875" style="31" customWidth="1"/>
    <col min="21" max="21" width="17" style="54" customWidth="1"/>
    <col min="22" max="22" width="16.85546875" style="54" customWidth="1"/>
    <col min="23" max="24" width="17" style="54" customWidth="1"/>
    <col min="25" max="25" width="5.5703125" style="31" customWidth="1"/>
    <col min="26" max="26" width="15.85546875" style="54" customWidth="1"/>
    <col min="27" max="27" width="5.140625" style="31" customWidth="1"/>
    <col min="28" max="28" width="15.7109375" style="31" customWidth="1"/>
    <col min="29" max="29" width="7.140625" style="31" customWidth="1"/>
    <col min="30" max="30" width="14" style="31" customWidth="1"/>
    <col min="31" max="31" width="5.140625" style="31" customWidth="1"/>
    <col min="32" max="32" width="16.140625" style="31" customWidth="1"/>
    <col min="33" max="33" width="5.140625" style="31" customWidth="1"/>
    <col min="34" max="34" width="19.140625" style="31" customWidth="1"/>
    <col min="35" max="35" width="5.140625" style="31" customWidth="1"/>
    <col min="36" max="36" width="13.85546875" style="31" customWidth="1"/>
    <col min="37" max="37" width="7.85546875" style="31" customWidth="1"/>
    <col min="38" max="38" width="15.28515625" style="31" customWidth="1"/>
    <col min="39" max="39" width="5.140625" style="31" customWidth="1"/>
    <col min="40" max="40" width="14.140625" style="31" customWidth="1"/>
    <col min="41" max="41" width="9" style="31" customWidth="1"/>
    <col min="42" max="42" width="15.28515625" style="31" customWidth="1"/>
    <col min="43" max="43" width="13.140625" style="31" customWidth="1"/>
    <col min="44" max="44" width="14.140625" style="31" customWidth="1"/>
    <col min="45" max="45" width="6.7109375" style="31" customWidth="1"/>
    <col min="46" max="46" width="16.7109375" style="31" customWidth="1"/>
    <col min="47" max="47" width="7.28515625" style="31" customWidth="1"/>
    <col min="48" max="48" width="17.42578125" style="31" customWidth="1"/>
    <col min="49" max="49" width="8.7109375" style="31" customWidth="1"/>
    <col min="50" max="50" width="19.42578125" style="31" customWidth="1"/>
    <col min="51" max="51" width="5.140625" style="31" customWidth="1"/>
    <col min="52" max="52" width="15.140625" style="31" customWidth="1"/>
    <col min="53" max="53" width="5.140625" style="31" customWidth="1"/>
    <col min="54" max="54" width="16.5703125" style="31" customWidth="1"/>
    <col min="55" max="55" width="5.140625" style="31" customWidth="1"/>
    <col min="56" max="56" width="16.42578125" style="31" customWidth="1"/>
    <col min="57" max="57" width="5.5703125" style="31" customWidth="1"/>
    <col min="58" max="58" width="14.42578125" style="31" customWidth="1"/>
    <col min="59" max="59" width="5.140625" style="31" customWidth="1"/>
    <col min="60" max="60" width="13" style="31" customWidth="1"/>
    <col min="61" max="61" width="6.7109375" style="31" customWidth="1"/>
    <col min="62" max="62" width="18.85546875" style="31" customWidth="1"/>
    <col min="63" max="63" width="27.5703125" style="31" customWidth="1"/>
    <col min="64" max="64" width="9.140625" style="31" customWidth="1"/>
    <col min="65" max="65" width="17.28515625" style="31" bestFit="1" customWidth="1"/>
    <col min="66" max="66" width="12.85546875" style="31" customWidth="1"/>
    <col min="67" max="67" width="15.7109375" style="31" customWidth="1"/>
    <col min="68" max="68" width="9.140625" style="31" customWidth="1"/>
    <col min="69" max="69" width="18.7109375" style="31" customWidth="1"/>
    <col min="70" max="72" width="9.140625" style="31" customWidth="1"/>
    <col min="73" max="73" width="20.42578125" style="31" customWidth="1"/>
    <col min="74" max="75" width="9.140625" style="31" customWidth="1"/>
    <col min="76" max="16384" width="9.140625" style="31"/>
  </cols>
  <sheetData>
    <row r="1" spans="1:73" ht="15.75" hidden="1" customHeight="1">
      <c r="A1" s="608"/>
      <c r="B1" s="757" t="s">
        <v>163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48"/>
      <c r="R1" s="48"/>
      <c r="S1" s="48"/>
      <c r="T1" s="48"/>
    </row>
    <row r="2" spans="1:73" ht="20.100000000000001" hidden="1" customHeight="1">
      <c r="A2" s="608"/>
      <c r="B2" s="757" t="s">
        <v>164</v>
      </c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48"/>
      <c r="R2" s="48"/>
      <c r="S2" s="48"/>
      <c r="T2" s="48"/>
    </row>
    <row r="3" spans="1:73" ht="20.100000000000001" hidden="1" customHeight="1">
      <c r="A3" s="608"/>
      <c r="B3" s="757" t="s">
        <v>386</v>
      </c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48"/>
      <c r="R3" s="48"/>
      <c r="S3" s="48"/>
      <c r="T3" s="48"/>
      <c r="Y3" s="166" t="s">
        <v>398</v>
      </c>
      <c r="Z3" s="166">
        <v>8.34</v>
      </c>
      <c r="AA3" s="166"/>
      <c r="AB3" s="166">
        <v>2.85</v>
      </c>
      <c r="AC3" s="166"/>
      <c r="AD3" s="166">
        <v>8.3800000000000008</v>
      </c>
      <c r="AE3" s="166"/>
      <c r="AF3" s="166">
        <v>7.49</v>
      </c>
      <c r="AG3" s="166"/>
      <c r="AH3" s="166">
        <v>3.33</v>
      </c>
      <c r="AI3" s="166"/>
      <c r="AJ3" s="166">
        <v>6.64</v>
      </c>
      <c r="AK3" s="166"/>
      <c r="AL3" s="166">
        <v>3.67</v>
      </c>
      <c r="AM3" s="166"/>
      <c r="AN3" s="166">
        <v>5.0599999999999996</v>
      </c>
      <c r="AO3" s="166"/>
      <c r="AP3" s="166">
        <v>5.94</v>
      </c>
      <c r="AQ3" s="166"/>
      <c r="AR3" s="166">
        <v>6.85</v>
      </c>
      <c r="AS3" s="166"/>
      <c r="AT3" s="166">
        <v>7.45</v>
      </c>
      <c r="AU3" s="166"/>
      <c r="AV3" s="166">
        <v>5.13</v>
      </c>
      <c r="AW3" s="166"/>
      <c r="AX3" s="166">
        <v>4.8600000000000003</v>
      </c>
      <c r="AY3" s="166"/>
      <c r="AZ3" s="166">
        <v>5.79</v>
      </c>
      <c r="BA3" s="166"/>
      <c r="BB3" s="166">
        <v>5.3</v>
      </c>
      <c r="BC3" s="166"/>
      <c r="BD3" s="166">
        <v>3.47</v>
      </c>
      <c r="BE3" s="166"/>
      <c r="BF3" s="166">
        <v>9.42</v>
      </c>
      <c r="BG3" s="166"/>
      <c r="BH3" s="166"/>
      <c r="BI3" s="166"/>
      <c r="BJ3" s="166"/>
    </row>
    <row r="4" spans="1:73" ht="45" hidden="1" customHeight="1">
      <c r="A4" s="608"/>
      <c r="B4" s="757" t="s">
        <v>95</v>
      </c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48"/>
      <c r="R4" s="48"/>
      <c r="S4" s="48"/>
      <c r="T4" s="48"/>
      <c r="Y4" s="166" t="s">
        <v>396</v>
      </c>
      <c r="Z4" s="166">
        <v>48</v>
      </c>
      <c r="AA4" s="166"/>
      <c r="AB4" s="166">
        <v>23</v>
      </c>
      <c r="AC4" s="166"/>
      <c r="AD4" s="166">
        <v>80</v>
      </c>
      <c r="AE4" s="166"/>
      <c r="AF4" s="166">
        <v>105</v>
      </c>
      <c r="AG4" s="166"/>
      <c r="AH4" s="166">
        <v>43</v>
      </c>
      <c r="AI4" s="166"/>
      <c r="AJ4" s="166">
        <v>75</v>
      </c>
      <c r="AK4" s="166"/>
      <c r="AL4" s="166">
        <v>41</v>
      </c>
      <c r="AM4" s="166"/>
      <c r="AN4" s="166">
        <v>101</v>
      </c>
      <c r="AO4" s="166"/>
      <c r="AP4" s="166">
        <v>8</v>
      </c>
      <c r="AQ4" s="166"/>
      <c r="AR4" s="166">
        <v>33</v>
      </c>
      <c r="AS4" s="166"/>
      <c r="AT4" s="166">
        <v>53</v>
      </c>
      <c r="AU4" s="166"/>
      <c r="AV4" s="166">
        <v>52</v>
      </c>
      <c r="AW4" s="166"/>
      <c r="AX4" s="166">
        <v>76</v>
      </c>
      <c r="AY4" s="166"/>
      <c r="AZ4" s="166">
        <v>82</v>
      </c>
      <c r="BA4" s="166"/>
      <c r="BB4" s="166">
        <v>104</v>
      </c>
      <c r="BC4" s="166"/>
      <c r="BD4" s="166">
        <v>147</v>
      </c>
      <c r="BE4" s="166"/>
      <c r="BF4" s="166">
        <v>54</v>
      </c>
      <c r="BG4" s="166"/>
      <c r="BH4" s="166"/>
      <c r="BI4" s="166"/>
      <c r="BJ4" s="166"/>
    </row>
    <row r="5" spans="1:73" ht="57.6" hidden="1" customHeight="1">
      <c r="A5" s="608"/>
      <c r="B5" s="757" t="s">
        <v>177</v>
      </c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48"/>
      <c r="R5" s="48"/>
      <c r="S5" s="48"/>
      <c r="T5" s="48"/>
      <c r="Y5" s="166" t="s">
        <v>397</v>
      </c>
      <c r="Z5" s="190">
        <f>Z4/1125*100</f>
        <v>4.2666666666666666</v>
      </c>
      <c r="AA5" s="190">
        <f t="shared" ref="AA5:BF5" si="0">AA4/1125*100</f>
        <v>0</v>
      </c>
      <c r="AB5" s="190">
        <f t="shared" si="0"/>
        <v>2.0444444444444447</v>
      </c>
      <c r="AC5" s="190">
        <f t="shared" si="0"/>
        <v>0</v>
      </c>
      <c r="AD5" s="190">
        <f t="shared" si="0"/>
        <v>7.1111111111111107</v>
      </c>
      <c r="AE5" s="190">
        <f t="shared" si="0"/>
        <v>0</v>
      </c>
      <c r="AF5" s="190">
        <f t="shared" si="0"/>
        <v>9.3333333333333339</v>
      </c>
      <c r="AG5" s="190">
        <f t="shared" si="0"/>
        <v>0</v>
      </c>
      <c r="AH5" s="190">
        <f t="shared" si="0"/>
        <v>3.822222222222222</v>
      </c>
      <c r="AI5" s="190">
        <f t="shared" si="0"/>
        <v>0</v>
      </c>
      <c r="AJ5" s="190">
        <f t="shared" si="0"/>
        <v>6.666666666666667</v>
      </c>
      <c r="AK5" s="190">
        <f t="shared" si="0"/>
        <v>0</v>
      </c>
      <c r="AL5" s="190">
        <f t="shared" si="0"/>
        <v>3.6444444444444448</v>
      </c>
      <c r="AM5" s="190">
        <f t="shared" si="0"/>
        <v>0</v>
      </c>
      <c r="AN5" s="190">
        <f t="shared" si="0"/>
        <v>8.9777777777777779</v>
      </c>
      <c r="AO5" s="190">
        <f t="shared" si="0"/>
        <v>0</v>
      </c>
      <c r="AP5" s="190">
        <f t="shared" si="0"/>
        <v>0.71111111111111114</v>
      </c>
      <c r="AQ5" s="190">
        <f t="shared" si="0"/>
        <v>0</v>
      </c>
      <c r="AR5" s="190">
        <f t="shared" si="0"/>
        <v>2.9333333333333331</v>
      </c>
      <c r="AS5" s="190">
        <f t="shared" si="0"/>
        <v>0</v>
      </c>
      <c r="AT5" s="190">
        <f t="shared" si="0"/>
        <v>4.7111111111111112</v>
      </c>
      <c r="AU5" s="190">
        <f t="shared" si="0"/>
        <v>0</v>
      </c>
      <c r="AV5" s="190">
        <f t="shared" si="0"/>
        <v>4.6222222222222218</v>
      </c>
      <c r="AW5" s="190">
        <f t="shared" si="0"/>
        <v>0</v>
      </c>
      <c r="AX5" s="190">
        <f t="shared" si="0"/>
        <v>6.7555555555555546</v>
      </c>
      <c r="AY5" s="190">
        <f t="shared" si="0"/>
        <v>0</v>
      </c>
      <c r="AZ5" s="190">
        <f t="shared" si="0"/>
        <v>7.2888888888888896</v>
      </c>
      <c r="BA5" s="190">
        <f t="shared" si="0"/>
        <v>0</v>
      </c>
      <c r="BB5" s="190">
        <f t="shared" si="0"/>
        <v>9.2444444444444436</v>
      </c>
      <c r="BC5" s="190">
        <f t="shared" si="0"/>
        <v>0</v>
      </c>
      <c r="BD5" s="190">
        <f t="shared" si="0"/>
        <v>13.066666666666665</v>
      </c>
      <c r="BE5" s="190">
        <f t="shared" si="0"/>
        <v>0</v>
      </c>
      <c r="BF5" s="190">
        <f t="shared" si="0"/>
        <v>4.8</v>
      </c>
      <c r="BG5" s="166"/>
      <c r="BH5" s="166"/>
      <c r="BI5" s="166"/>
      <c r="BJ5" s="166"/>
    </row>
    <row r="6" spans="1:73" ht="39.75" hidden="1" customHeight="1"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</row>
    <row r="7" spans="1:73" ht="15.75" customHeight="1">
      <c r="A7" s="870"/>
      <c r="B7" s="870"/>
      <c r="C7" s="871"/>
      <c r="D7" s="872" t="s">
        <v>21</v>
      </c>
      <c r="E7" s="873"/>
      <c r="F7" s="874"/>
      <c r="G7" s="790" t="s">
        <v>162</v>
      </c>
      <c r="H7" s="791"/>
      <c r="I7" s="791"/>
      <c r="J7" s="791"/>
      <c r="K7" s="791"/>
      <c r="L7" s="791"/>
      <c r="M7" s="791"/>
      <c r="N7" s="791"/>
      <c r="O7" s="791"/>
      <c r="P7" s="792"/>
      <c r="Q7" s="875" t="s">
        <v>60</v>
      </c>
      <c r="R7" s="876"/>
      <c r="S7" s="876"/>
      <c r="T7" s="877"/>
      <c r="U7" s="778" t="s">
        <v>6</v>
      </c>
      <c r="V7" s="881"/>
      <c r="W7" s="881"/>
      <c r="X7" s="882"/>
      <c r="Y7" s="865" t="s">
        <v>192</v>
      </c>
      <c r="Z7" s="866"/>
      <c r="AA7" s="865" t="s">
        <v>193</v>
      </c>
      <c r="AB7" s="866"/>
      <c r="AC7" s="816" t="s">
        <v>194</v>
      </c>
      <c r="AD7" s="816"/>
      <c r="AE7" s="816" t="s">
        <v>195</v>
      </c>
      <c r="AF7" s="816"/>
      <c r="AG7" s="816" t="s">
        <v>354</v>
      </c>
      <c r="AH7" s="816"/>
      <c r="AI7" s="816" t="s">
        <v>197</v>
      </c>
      <c r="AJ7" s="816"/>
      <c r="AK7" s="823" t="s">
        <v>198</v>
      </c>
      <c r="AL7" s="823"/>
      <c r="AM7" s="816" t="s">
        <v>199</v>
      </c>
      <c r="AN7" s="816"/>
      <c r="AO7" s="816" t="s">
        <v>200</v>
      </c>
      <c r="AP7" s="816"/>
      <c r="AQ7" s="816" t="s">
        <v>201</v>
      </c>
      <c r="AR7" s="816"/>
      <c r="AS7" s="816" t="s">
        <v>202</v>
      </c>
      <c r="AT7" s="816"/>
      <c r="AU7" s="816" t="s">
        <v>203</v>
      </c>
      <c r="AV7" s="816"/>
      <c r="AW7" s="816" t="s">
        <v>204</v>
      </c>
      <c r="AX7" s="816"/>
      <c r="AY7" s="816" t="s">
        <v>205</v>
      </c>
      <c r="AZ7" s="816"/>
      <c r="BA7" s="816" t="s">
        <v>206</v>
      </c>
      <c r="BB7" s="816"/>
      <c r="BC7" s="816" t="s">
        <v>207</v>
      </c>
      <c r="BD7" s="816"/>
      <c r="BE7" s="816" t="s">
        <v>208</v>
      </c>
      <c r="BF7" s="816"/>
      <c r="BG7" s="816" t="s">
        <v>209</v>
      </c>
      <c r="BH7" s="816"/>
      <c r="BI7" s="816" t="s">
        <v>17</v>
      </c>
      <c r="BJ7" s="869"/>
      <c r="BK7" s="756" t="s">
        <v>244</v>
      </c>
    </row>
    <row r="8" spans="1:73" s="64" customFormat="1" ht="29.25" customHeight="1">
      <c r="A8" s="840" t="s">
        <v>24</v>
      </c>
      <c r="B8" s="819" t="s">
        <v>12</v>
      </c>
      <c r="C8" s="819" t="s">
        <v>14</v>
      </c>
      <c r="D8" s="617" t="s">
        <v>22</v>
      </c>
      <c r="E8" s="63" t="s">
        <v>23</v>
      </c>
      <c r="F8" s="819" t="s">
        <v>57</v>
      </c>
      <c r="G8" s="72" t="s">
        <v>212</v>
      </c>
      <c r="H8" s="72" t="s">
        <v>213</v>
      </c>
      <c r="I8" s="72" t="s">
        <v>214</v>
      </c>
      <c r="J8" s="72" t="s">
        <v>215</v>
      </c>
      <c r="K8" s="72" t="s">
        <v>216</v>
      </c>
      <c r="L8" s="72" t="s">
        <v>217</v>
      </c>
      <c r="M8" s="72" t="s">
        <v>218</v>
      </c>
      <c r="N8" s="72" t="s">
        <v>219</v>
      </c>
      <c r="O8" s="72" t="s">
        <v>220</v>
      </c>
      <c r="P8" s="72" t="s">
        <v>221</v>
      </c>
      <c r="Q8" s="878"/>
      <c r="R8" s="879"/>
      <c r="S8" s="879"/>
      <c r="T8" s="880"/>
      <c r="U8" s="883"/>
      <c r="V8" s="884"/>
      <c r="W8" s="884"/>
      <c r="X8" s="885"/>
      <c r="Y8" s="867"/>
      <c r="Z8" s="868"/>
      <c r="AA8" s="867"/>
      <c r="AB8" s="868"/>
      <c r="AC8" s="816" t="s">
        <v>44</v>
      </c>
      <c r="AD8" s="816"/>
      <c r="AE8" s="816" t="s">
        <v>45</v>
      </c>
      <c r="AF8" s="816"/>
      <c r="AG8" s="816" t="s">
        <v>46</v>
      </c>
      <c r="AH8" s="816"/>
      <c r="AI8" s="816" t="s">
        <v>47</v>
      </c>
      <c r="AJ8" s="816"/>
      <c r="AK8" s="823" t="s">
        <v>48</v>
      </c>
      <c r="AL8" s="823"/>
      <c r="AM8" s="816" t="s">
        <v>49</v>
      </c>
      <c r="AN8" s="816"/>
      <c r="AO8" s="816" t="s">
        <v>50</v>
      </c>
      <c r="AP8" s="816"/>
      <c r="AQ8" s="816" t="s">
        <v>51</v>
      </c>
      <c r="AR8" s="816"/>
      <c r="AS8" s="816" t="s">
        <v>52</v>
      </c>
      <c r="AT8" s="816"/>
      <c r="AU8" s="816" t="s">
        <v>53</v>
      </c>
      <c r="AV8" s="816"/>
      <c r="AW8" s="816" t="s">
        <v>54</v>
      </c>
      <c r="AX8" s="816"/>
      <c r="AY8" s="816" t="s">
        <v>55</v>
      </c>
      <c r="AZ8" s="816"/>
      <c r="BA8" s="816" t="s">
        <v>40</v>
      </c>
      <c r="BB8" s="816"/>
      <c r="BC8" s="816" t="s">
        <v>37</v>
      </c>
      <c r="BD8" s="816"/>
      <c r="BE8" s="816"/>
      <c r="BF8" s="816"/>
      <c r="BG8" s="816"/>
      <c r="BH8" s="816"/>
      <c r="BI8" s="816"/>
      <c r="BJ8" s="869"/>
      <c r="BK8" s="756"/>
      <c r="BM8" s="755" t="s">
        <v>242</v>
      </c>
      <c r="BN8" s="755"/>
      <c r="BO8" s="755"/>
      <c r="BP8" s="755"/>
      <c r="BQ8" s="755"/>
      <c r="BR8" s="755" t="s">
        <v>243</v>
      </c>
      <c r="BS8" s="755"/>
      <c r="BT8" s="755"/>
      <c r="BU8" s="756" t="s">
        <v>17</v>
      </c>
    </row>
    <row r="9" spans="1:73" s="64" customFormat="1" ht="45" customHeight="1">
      <c r="A9" s="844"/>
      <c r="B9" s="820"/>
      <c r="C9" s="820"/>
      <c r="D9" s="618"/>
      <c r="E9" s="65"/>
      <c r="F9" s="820"/>
      <c r="G9" s="157"/>
      <c r="H9" s="157"/>
      <c r="I9" s="157"/>
      <c r="J9" s="157"/>
      <c r="K9" s="157"/>
      <c r="L9" s="157"/>
      <c r="M9" s="85"/>
      <c r="N9" s="85"/>
      <c r="O9" s="85"/>
      <c r="P9" s="85"/>
      <c r="Q9" s="66" t="s">
        <v>7</v>
      </c>
      <c r="R9" s="66" t="s">
        <v>8</v>
      </c>
      <c r="S9" s="66" t="s">
        <v>9</v>
      </c>
      <c r="T9" s="66" t="s">
        <v>10</v>
      </c>
      <c r="U9" s="51" t="s">
        <v>7</v>
      </c>
      <c r="V9" s="51" t="s">
        <v>8</v>
      </c>
      <c r="W9" s="51" t="s">
        <v>9</v>
      </c>
      <c r="X9" s="51" t="s">
        <v>10</v>
      </c>
      <c r="Y9" s="167" t="s">
        <v>14</v>
      </c>
      <c r="Z9" s="168" t="s">
        <v>15</v>
      </c>
      <c r="AA9" s="169" t="s">
        <v>14</v>
      </c>
      <c r="AB9" s="169" t="s">
        <v>15</v>
      </c>
      <c r="AC9" s="169" t="s">
        <v>14</v>
      </c>
      <c r="AD9" s="169" t="s">
        <v>15</v>
      </c>
      <c r="AE9" s="169" t="s">
        <v>14</v>
      </c>
      <c r="AF9" s="169" t="s">
        <v>15</v>
      </c>
      <c r="AG9" s="169" t="s">
        <v>14</v>
      </c>
      <c r="AH9" s="169" t="s">
        <v>15</v>
      </c>
      <c r="AI9" s="169" t="s">
        <v>14</v>
      </c>
      <c r="AJ9" s="169" t="s">
        <v>15</v>
      </c>
      <c r="AK9" s="169" t="s">
        <v>14</v>
      </c>
      <c r="AL9" s="169" t="s">
        <v>15</v>
      </c>
      <c r="AM9" s="169" t="s">
        <v>14</v>
      </c>
      <c r="AN9" s="169" t="s">
        <v>15</v>
      </c>
      <c r="AO9" s="169" t="s">
        <v>14</v>
      </c>
      <c r="AP9" s="169" t="s">
        <v>15</v>
      </c>
      <c r="AQ9" s="169" t="s">
        <v>14</v>
      </c>
      <c r="AR9" s="169" t="s">
        <v>15</v>
      </c>
      <c r="AS9" s="169" t="s">
        <v>14</v>
      </c>
      <c r="AT9" s="169" t="s">
        <v>15</v>
      </c>
      <c r="AU9" s="169" t="s">
        <v>14</v>
      </c>
      <c r="AV9" s="169" t="s">
        <v>15</v>
      </c>
      <c r="AW9" s="169" t="s">
        <v>14</v>
      </c>
      <c r="AX9" s="169" t="s">
        <v>15</v>
      </c>
      <c r="AY9" s="169" t="s">
        <v>14</v>
      </c>
      <c r="AZ9" s="169" t="s">
        <v>15</v>
      </c>
      <c r="BA9" s="169" t="s">
        <v>14</v>
      </c>
      <c r="BB9" s="169" t="s">
        <v>15</v>
      </c>
      <c r="BC9" s="169" t="s">
        <v>14</v>
      </c>
      <c r="BD9" s="169" t="s">
        <v>15</v>
      </c>
      <c r="BE9" s="169" t="s">
        <v>14</v>
      </c>
      <c r="BF9" s="169" t="s">
        <v>15</v>
      </c>
      <c r="BG9" s="169" t="s">
        <v>14</v>
      </c>
      <c r="BH9" s="169" t="s">
        <v>15</v>
      </c>
      <c r="BI9" s="169" t="s">
        <v>14</v>
      </c>
      <c r="BJ9" s="170" t="s">
        <v>15</v>
      </c>
      <c r="BK9" s="756"/>
      <c r="BM9" s="72" t="s">
        <v>233</v>
      </c>
      <c r="BN9" s="171" t="s">
        <v>234</v>
      </c>
      <c r="BO9" s="171" t="s">
        <v>235</v>
      </c>
      <c r="BP9" s="612" t="s">
        <v>236</v>
      </c>
      <c r="BQ9" s="173" t="s">
        <v>237</v>
      </c>
      <c r="BR9" s="171" t="s">
        <v>238</v>
      </c>
      <c r="BS9" s="171" t="s">
        <v>239</v>
      </c>
      <c r="BT9" s="173" t="s">
        <v>240</v>
      </c>
      <c r="BU9" s="756"/>
    </row>
    <row r="10" spans="1:73" ht="30.75" customHeight="1">
      <c r="A10" s="45">
        <v>32000</v>
      </c>
      <c r="B10" s="309" t="s">
        <v>451</v>
      </c>
      <c r="C10" s="362"/>
      <c r="D10" s="362"/>
      <c r="E10" s="191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5"/>
      <c r="R10" s="35"/>
      <c r="S10" s="35"/>
      <c r="T10" s="35"/>
      <c r="U10" s="55"/>
      <c r="V10" s="55"/>
      <c r="W10" s="55"/>
      <c r="X10" s="55"/>
      <c r="Y10" s="36"/>
      <c r="Z10" s="611"/>
      <c r="AA10" s="36"/>
      <c r="AB10" s="611"/>
      <c r="AC10" s="36"/>
      <c r="AD10" s="611"/>
      <c r="AE10" s="36"/>
      <c r="AF10" s="611"/>
      <c r="AG10" s="36"/>
      <c r="AH10" s="611"/>
      <c r="AI10" s="36"/>
      <c r="AJ10" s="611"/>
      <c r="AK10" s="36"/>
      <c r="AL10" s="611"/>
      <c r="AM10" s="36"/>
      <c r="AN10" s="611"/>
      <c r="AO10" s="36"/>
      <c r="AP10" s="611"/>
      <c r="AQ10" s="36"/>
      <c r="AR10" s="611"/>
      <c r="AS10" s="36"/>
      <c r="AT10" s="611"/>
      <c r="AU10" s="36"/>
      <c r="AV10" s="611"/>
      <c r="AW10" s="36"/>
      <c r="AX10" s="611"/>
      <c r="AY10" s="36"/>
      <c r="AZ10" s="611"/>
      <c r="BA10" s="36"/>
      <c r="BB10" s="611"/>
      <c r="BC10" s="36"/>
      <c r="BD10" s="611"/>
      <c r="BE10" s="36"/>
      <c r="BF10" s="611"/>
      <c r="BG10" s="36"/>
      <c r="BH10" s="611"/>
      <c r="BI10" s="36"/>
      <c r="BJ10" s="610"/>
      <c r="BK10" s="362"/>
      <c r="BM10" s="70"/>
      <c r="BN10" s="70"/>
      <c r="BO10" s="70"/>
      <c r="BP10" s="70"/>
      <c r="BQ10" s="70"/>
      <c r="BR10" s="70"/>
      <c r="BS10" s="70"/>
      <c r="BT10" s="70"/>
      <c r="BU10" s="37"/>
    </row>
    <row r="11" spans="1:73">
      <c r="A11" s="45">
        <v>32100</v>
      </c>
      <c r="B11" s="309" t="s">
        <v>504</v>
      </c>
      <c r="C11" s="362"/>
      <c r="D11" s="362"/>
      <c r="E11" s="3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9"/>
      <c r="Q11" s="40"/>
      <c r="R11" s="40"/>
      <c r="S11" s="41"/>
      <c r="T11" s="42"/>
      <c r="U11" s="50"/>
      <c r="V11" s="50"/>
      <c r="W11" s="50"/>
      <c r="X11" s="50"/>
      <c r="Y11" s="37"/>
      <c r="Z11" s="56"/>
      <c r="AA11" s="37"/>
      <c r="AB11" s="56"/>
      <c r="AC11" s="37"/>
      <c r="AD11" s="56"/>
      <c r="AE11" s="37"/>
      <c r="AF11" s="56"/>
      <c r="AG11" s="37"/>
      <c r="AH11" s="56"/>
      <c r="AI11" s="37"/>
      <c r="AJ11" s="56"/>
      <c r="AK11" s="37"/>
      <c r="AL11" s="56"/>
      <c r="AM11" s="37"/>
      <c r="AN11" s="56"/>
      <c r="AO11" s="37"/>
      <c r="AP11" s="56"/>
      <c r="AQ11" s="37"/>
      <c r="AR11" s="56"/>
      <c r="AS11" s="37"/>
      <c r="AT11" s="56"/>
      <c r="AU11" s="37"/>
      <c r="AV11" s="56"/>
      <c r="AW11" s="37"/>
      <c r="AX11" s="56"/>
      <c r="AY11" s="37"/>
      <c r="AZ11" s="56"/>
      <c r="BA11" s="37"/>
      <c r="BB11" s="56"/>
      <c r="BC11" s="37"/>
      <c r="BD11" s="56"/>
      <c r="BE11" s="37"/>
      <c r="BF11" s="56"/>
      <c r="BG11" s="37"/>
      <c r="BH11" s="56"/>
      <c r="BI11" s="37"/>
      <c r="BJ11" s="71"/>
      <c r="BK11" s="362"/>
      <c r="BM11" s="70"/>
      <c r="BN11" s="70"/>
      <c r="BO11" s="70"/>
      <c r="BP11" s="70"/>
      <c r="BQ11" s="70"/>
      <c r="BR11" s="70"/>
      <c r="BS11" s="70"/>
      <c r="BT11" s="70"/>
      <c r="BU11" s="101">
        <f>BQ11+BT11</f>
        <v>0</v>
      </c>
    </row>
    <row r="12" spans="1:73">
      <c r="A12" s="45"/>
      <c r="B12" s="323" t="s">
        <v>505</v>
      </c>
      <c r="C12" s="362" t="s">
        <v>98</v>
      </c>
      <c r="D12" s="312" t="s">
        <v>475</v>
      </c>
      <c r="E12" s="191">
        <f>BI12</f>
        <v>17</v>
      </c>
      <c r="F12" s="52">
        <f>E12*D12</f>
        <v>850000</v>
      </c>
      <c r="G12" s="52">
        <f>F12*0</f>
        <v>0</v>
      </c>
      <c r="H12" s="52">
        <f>F12*0.8</f>
        <v>680000</v>
      </c>
      <c r="I12" s="52">
        <f>F12*0</f>
        <v>0</v>
      </c>
      <c r="J12" s="52">
        <f>F12*0</f>
        <v>0</v>
      </c>
      <c r="K12" s="52">
        <f>F12*0</f>
        <v>0</v>
      </c>
      <c r="L12" s="52">
        <f>F12*0</f>
        <v>0</v>
      </c>
      <c r="M12" s="52">
        <f>F12*0</f>
        <v>0</v>
      </c>
      <c r="N12" s="53">
        <f>F12*0</f>
        <v>0</v>
      </c>
      <c r="O12" s="53">
        <f>F12*0.2</f>
        <v>170000</v>
      </c>
      <c r="P12" s="49">
        <f>F12*0</f>
        <v>0</v>
      </c>
      <c r="Q12" s="44">
        <f>E12*0.25</f>
        <v>4.25</v>
      </c>
      <c r="R12" s="44">
        <f>E12*0.25</f>
        <v>4.25</v>
      </c>
      <c r="S12" s="44">
        <f>E12*0.25</f>
        <v>4.25</v>
      </c>
      <c r="T12" s="44">
        <f>E12*0.25</f>
        <v>4.25</v>
      </c>
      <c r="U12" s="43">
        <f>Q12*D12</f>
        <v>212500</v>
      </c>
      <c r="V12" s="43">
        <f>R12*D12</f>
        <v>212500</v>
      </c>
      <c r="W12" s="43">
        <f>S12*D12</f>
        <v>212500</v>
      </c>
      <c r="X12" s="43">
        <f>T12*D12</f>
        <v>212500</v>
      </c>
      <c r="Y12" s="192">
        <v>1</v>
      </c>
      <c r="Z12" s="43">
        <f>Y12*D12</f>
        <v>50000</v>
      </c>
      <c r="AA12" s="192">
        <v>1</v>
      </c>
      <c r="AB12" s="43">
        <f>AA12*D12</f>
        <v>50000</v>
      </c>
      <c r="AC12" s="192">
        <v>1</v>
      </c>
      <c r="AD12" s="43">
        <f>AC12*D12</f>
        <v>50000</v>
      </c>
      <c r="AE12" s="192">
        <v>1</v>
      </c>
      <c r="AF12" s="43">
        <f>AE12*D12</f>
        <v>50000</v>
      </c>
      <c r="AG12" s="192">
        <v>1</v>
      </c>
      <c r="AH12" s="43">
        <f>AG12*D12</f>
        <v>50000</v>
      </c>
      <c r="AI12" s="192">
        <v>1</v>
      </c>
      <c r="AJ12" s="43">
        <f>AI12*D12</f>
        <v>50000</v>
      </c>
      <c r="AK12" s="192">
        <v>1</v>
      </c>
      <c r="AL12" s="43">
        <f>AK12*D12</f>
        <v>50000</v>
      </c>
      <c r="AM12" s="192">
        <v>1</v>
      </c>
      <c r="AN12" s="43">
        <f>AM12*D12</f>
        <v>50000</v>
      </c>
      <c r="AO12" s="192">
        <v>1</v>
      </c>
      <c r="AP12" s="43">
        <f>AO12*D12</f>
        <v>50000</v>
      </c>
      <c r="AQ12" s="192">
        <v>1</v>
      </c>
      <c r="AR12" s="43">
        <f>AQ12*D12</f>
        <v>50000</v>
      </c>
      <c r="AS12" s="192">
        <v>1</v>
      </c>
      <c r="AT12" s="43">
        <f>AS12*D12</f>
        <v>50000</v>
      </c>
      <c r="AU12" s="192">
        <v>1</v>
      </c>
      <c r="AV12" s="43">
        <f>AU12*D12</f>
        <v>50000</v>
      </c>
      <c r="AW12" s="192">
        <v>1</v>
      </c>
      <c r="AX12" s="43">
        <f>AW12*D12</f>
        <v>50000</v>
      </c>
      <c r="AY12" s="192">
        <v>1</v>
      </c>
      <c r="AZ12" s="43">
        <f>AY12*D12</f>
        <v>50000</v>
      </c>
      <c r="BA12" s="192">
        <v>1</v>
      </c>
      <c r="BB12" s="43">
        <f>BA12*D12</f>
        <v>50000</v>
      </c>
      <c r="BC12" s="192">
        <v>1</v>
      </c>
      <c r="BD12" s="43">
        <f>BC12*D12</f>
        <v>50000</v>
      </c>
      <c r="BE12" s="192">
        <v>1</v>
      </c>
      <c r="BF12" s="43">
        <f>BE12*D12</f>
        <v>50000</v>
      </c>
      <c r="BG12" s="192"/>
      <c r="BH12" s="43">
        <f>BG12*D12</f>
        <v>0</v>
      </c>
      <c r="BI12" s="37">
        <f t="shared" ref="BI12:BJ15" si="1">Y12+AA12+AC12+AE12+AG12+AI12+AK12+AM12+AO12+AQ12+AS12+AU12+AW12+AY12+BA12+BC12+BE12+BG12</f>
        <v>17</v>
      </c>
      <c r="BJ12" s="71">
        <f t="shared" si="1"/>
        <v>850000</v>
      </c>
      <c r="BK12" s="362" t="s">
        <v>228</v>
      </c>
      <c r="BM12" s="70"/>
      <c r="BN12" s="70"/>
      <c r="BO12" s="70">
        <f>F12</f>
        <v>850000</v>
      </c>
      <c r="BP12" s="70"/>
      <c r="BQ12" s="70">
        <f>BM12+BN12+BO12+BP12</f>
        <v>850000</v>
      </c>
      <c r="BR12" s="70"/>
      <c r="BS12" s="70"/>
      <c r="BT12" s="70">
        <f>BR12+BS12</f>
        <v>0</v>
      </c>
      <c r="BU12" s="101">
        <f t="shared" ref="BU12:BU30" si="2">BQ12+BT12</f>
        <v>850000</v>
      </c>
    </row>
    <row r="13" spans="1:73">
      <c r="A13" s="73"/>
      <c r="B13" s="323" t="s">
        <v>506</v>
      </c>
      <c r="C13" s="362" t="s">
        <v>98</v>
      </c>
      <c r="D13" s="312" t="s">
        <v>477</v>
      </c>
      <c r="E13" s="191">
        <f>BI13</f>
        <v>0</v>
      </c>
      <c r="F13" s="52">
        <f>E13*D13</f>
        <v>0</v>
      </c>
      <c r="G13" s="52">
        <f>F13*0</f>
        <v>0</v>
      </c>
      <c r="H13" s="52">
        <f>F13*0.8</f>
        <v>0</v>
      </c>
      <c r="I13" s="52">
        <f>F13*0</f>
        <v>0</v>
      </c>
      <c r="J13" s="52">
        <f>F13*0</f>
        <v>0</v>
      </c>
      <c r="K13" s="52">
        <f>F13*0</f>
        <v>0</v>
      </c>
      <c r="L13" s="52">
        <f>F13*0</f>
        <v>0</v>
      </c>
      <c r="M13" s="52">
        <f>F13*0</f>
        <v>0</v>
      </c>
      <c r="N13" s="53">
        <f>F13*0</f>
        <v>0</v>
      </c>
      <c r="O13" s="53">
        <f>F13*0.2</f>
        <v>0</v>
      </c>
      <c r="P13" s="49">
        <f>F13*0</f>
        <v>0</v>
      </c>
      <c r="Q13" s="44">
        <f>E13*0.25</f>
        <v>0</v>
      </c>
      <c r="R13" s="44">
        <f>E13*0.25</f>
        <v>0</v>
      </c>
      <c r="S13" s="44">
        <f>E13*0.25</f>
        <v>0</v>
      </c>
      <c r="T13" s="44">
        <f>E13*0.25</f>
        <v>0</v>
      </c>
      <c r="U13" s="43">
        <f>Q13*D13</f>
        <v>0</v>
      </c>
      <c r="V13" s="43">
        <f>R13*D13</f>
        <v>0</v>
      </c>
      <c r="W13" s="43">
        <f>S13*D13</f>
        <v>0</v>
      </c>
      <c r="X13" s="43">
        <f>T13*D13</f>
        <v>0</v>
      </c>
      <c r="Y13" s="37">
        <v>0</v>
      </c>
      <c r="Z13" s="43">
        <f t="shared" ref="Z13:Z30" si="3">Y13*D13</f>
        <v>0</v>
      </c>
      <c r="AA13" s="37">
        <v>0</v>
      </c>
      <c r="AB13" s="43">
        <f t="shared" ref="AB13:AB30" si="4">AA13*D13</f>
        <v>0</v>
      </c>
      <c r="AC13" s="37">
        <v>0</v>
      </c>
      <c r="AD13" s="43">
        <f t="shared" ref="AD13:AD30" si="5">AC13*D13</f>
        <v>0</v>
      </c>
      <c r="AE13" s="37">
        <v>0</v>
      </c>
      <c r="AF13" s="43">
        <f t="shared" ref="AF13:AF30" si="6">AE13*D13</f>
        <v>0</v>
      </c>
      <c r="AG13" s="37">
        <v>0</v>
      </c>
      <c r="AH13" s="43">
        <f t="shared" ref="AH13:AH30" si="7">AG13*D13</f>
        <v>0</v>
      </c>
      <c r="AI13" s="37">
        <v>0</v>
      </c>
      <c r="AJ13" s="43">
        <f t="shared" ref="AJ13:AJ30" si="8">AI13*D13</f>
        <v>0</v>
      </c>
      <c r="AK13" s="37">
        <v>0</v>
      </c>
      <c r="AL13" s="43">
        <f t="shared" ref="AL13:AL30" si="9">AK13*D13</f>
        <v>0</v>
      </c>
      <c r="AM13" s="37">
        <v>0</v>
      </c>
      <c r="AN13" s="43">
        <f t="shared" ref="AN13:AN30" si="10">AM13*D13</f>
        <v>0</v>
      </c>
      <c r="AO13" s="37">
        <v>0</v>
      </c>
      <c r="AP13" s="43">
        <f t="shared" ref="AP13:AP30" si="11">AO13*D13</f>
        <v>0</v>
      </c>
      <c r="AQ13" s="37">
        <v>0</v>
      </c>
      <c r="AR13" s="43">
        <f t="shared" ref="AR13:AR30" si="12">AQ13*D13</f>
        <v>0</v>
      </c>
      <c r="AS13" s="37">
        <v>0</v>
      </c>
      <c r="AT13" s="43">
        <f t="shared" ref="AT13:AT30" si="13">AS13*D13</f>
        <v>0</v>
      </c>
      <c r="AU13" s="37">
        <v>0</v>
      </c>
      <c r="AV13" s="43">
        <f t="shared" ref="AV13:AV30" si="14">AU13*D13</f>
        <v>0</v>
      </c>
      <c r="AW13" s="37">
        <v>0</v>
      </c>
      <c r="AX13" s="43">
        <f t="shared" ref="AX13:AX30" si="15">AW13*D13</f>
        <v>0</v>
      </c>
      <c r="AY13" s="37">
        <v>0</v>
      </c>
      <c r="AZ13" s="43">
        <f t="shared" ref="AZ13:AZ30" si="16">AY13*D13</f>
        <v>0</v>
      </c>
      <c r="BA13" s="37">
        <v>0</v>
      </c>
      <c r="BB13" s="43">
        <f t="shared" ref="BB13:BB30" si="17">BA13*D13</f>
        <v>0</v>
      </c>
      <c r="BC13" s="37">
        <v>0</v>
      </c>
      <c r="BD13" s="43">
        <f t="shared" ref="BD13:BD30" si="18">BC13*D13</f>
        <v>0</v>
      </c>
      <c r="BE13" s="37">
        <v>0</v>
      </c>
      <c r="BF13" s="43">
        <f t="shared" ref="BF13:BF30" si="19">BE13*D13</f>
        <v>0</v>
      </c>
      <c r="BG13" s="37"/>
      <c r="BH13" s="43">
        <f t="shared" ref="BH13:BH30" si="20">BG13*D13</f>
        <v>0</v>
      </c>
      <c r="BI13" s="37">
        <f t="shared" si="1"/>
        <v>0</v>
      </c>
      <c r="BJ13" s="71">
        <f t="shared" si="1"/>
        <v>0</v>
      </c>
      <c r="BK13" s="362" t="s">
        <v>228</v>
      </c>
      <c r="BM13" s="70">
        <f>F13</f>
        <v>0</v>
      </c>
      <c r="BN13" s="70"/>
      <c r="BO13" s="70"/>
      <c r="BP13" s="70"/>
      <c r="BQ13" s="70">
        <f t="shared" ref="BQ13:BQ30" si="21">BM13+BN13+BO13+BP13</f>
        <v>0</v>
      </c>
      <c r="BR13" s="70"/>
      <c r="BS13" s="70"/>
      <c r="BT13" s="70">
        <f>BR13+BS13</f>
        <v>0</v>
      </c>
      <c r="BU13" s="101">
        <f t="shared" si="2"/>
        <v>0</v>
      </c>
    </row>
    <row r="14" spans="1:73">
      <c r="A14" s="73"/>
      <c r="B14" s="323" t="s">
        <v>507</v>
      </c>
      <c r="C14" s="362" t="s">
        <v>32</v>
      </c>
      <c r="D14" s="312" t="s">
        <v>482</v>
      </c>
      <c r="E14" s="191">
        <f>BI14</f>
        <v>34</v>
      </c>
      <c r="F14" s="52">
        <f>E14*D14</f>
        <v>2040000</v>
      </c>
      <c r="G14" s="52">
        <f>F14*0.1</f>
        <v>204000</v>
      </c>
      <c r="H14" s="52">
        <f>F14*0.8</f>
        <v>1632000</v>
      </c>
      <c r="I14" s="52"/>
      <c r="J14" s="52"/>
      <c r="K14" s="52"/>
      <c r="L14" s="52"/>
      <c r="M14" s="52"/>
      <c r="N14" s="53"/>
      <c r="O14" s="53">
        <f>F14*0.1</f>
        <v>204000</v>
      </c>
      <c r="P14" s="49"/>
      <c r="Q14" s="46"/>
      <c r="R14" s="44">
        <f>E14</f>
        <v>34</v>
      </c>
      <c r="S14" s="44"/>
      <c r="T14" s="44"/>
      <c r="U14" s="43">
        <f>Q14*D14</f>
        <v>0</v>
      </c>
      <c r="V14" s="43">
        <f>R14*D14</f>
        <v>2040000</v>
      </c>
      <c r="W14" s="43">
        <f>S14*D14</f>
        <v>0</v>
      </c>
      <c r="X14" s="43">
        <f>T14*D14</f>
        <v>0</v>
      </c>
      <c r="Y14" s="37">
        <v>2</v>
      </c>
      <c r="Z14" s="43">
        <f t="shared" si="3"/>
        <v>120000</v>
      </c>
      <c r="AA14" s="74">
        <v>2</v>
      </c>
      <c r="AB14" s="43">
        <f t="shared" si="4"/>
        <v>120000</v>
      </c>
      <c r="AC14" s="74">
        <v>2</v>
      </c>
      <c r="AD14" s="43">
        <f t="shared" si="5"/>
        <v>120000</v>
      </c>
      <c r="AE14" s="74">
        <v>2</v>
      </c>
      <c r="AF14" s="43">
        <f t="shared" si="6"/>
        <v>120000</v>
      </c>
      <c r="AG14" s="74">
        <v>2</v>
      </c>
      <c r="AH14" s="43">
        <f t="shared" si="7"/>
        <v>120000</v>
      </c>
      <c r="AI14" s="74">
        <v>2</v>
      </c>
      <c r="AJ14" s="43">
        <f t="shared" si="8"/>
        <v>120000</v>
      </c>
      <c r="AK14" s="74">
        <v>2</v>
      </c>
      <c r="AL14" s="43">
        <f t="shared" si="9"/>
        <v>120000</v>
      </c>
      <c r="AM14" s="74">
        <v>2</v>
      </c>
      <c r="AN14" s="43">
        <f t="shared" si="10"/>
        <v>120000</v>
      </c>
      <c r="AO14" s="74">
        <v>2</v>
      </c>
      <c r="AP14" s="43">
        <f t="shared" si="11"/>
        <v>120000</v>
      </c>
      <c r="AQ14" s="74">
        <v>2</v>
      </c>
      <c r="AR14" s="43">
        <f t="shared" si="12"/>
        <v>120000</v>
      </c>
      <c r="AS14" s="74">
        <v>2</v>
      </c>
      <c r="AT14" s="43">
        <f t="shared" si="13"/>
        <v>120000</v>
      </c>
      <c r="AU14" s="74">
        <v>2</v>
      </c>
      <c r="AV14" s="43">
        <f t="shared" si="14"/>
        <v>120000</v>
      </c>
      <c r="AW14" s="74">
        <v>2</v>
      </c>
      <c r="AX14" s="43">
        <f t="shared" si="15"/>
        <v>120000</v>
      </c>
      <c r="AY14" s="74">
        <v>2</v>
      </c>
      <c r="AZ14" s="43">
        <f t="shared" si="16"/>
        <v>120000</v>
      </c>
      <c r="BA14" s="74">
        <v>2</v>
      </c>
      <c r="BB14" s="43">
        <f t="shared" si="17"/>
        <v>120000</v>
      </c>
      <c r="BC14" s="74">
        <v>2</v>
      </c>
      <c r="BD14" s="43">
        <f t="shared" si="18"/>
        <v>120000</v>
      </c>
      <c r="BE14" s="74">
        <v>2</v>
      </c>
      <c r="BF14" s="43">
        <f t="shared" si="19"/>
        <v>120000</v>
      </c>
      <c r="BG14" s="74"/>
      <c r="BH14" s="43">
        <f t="shared" si="20"/>
        <v>0</v>
      </c>
      <c r="BI14" s="37">
        <f t="shared" si="1"/>
        <v>34</v>
      </c>
      <c r="BJ14" s="71">
        <f t="shared" si="1"/>
        <v>2040000</v>
      </c>
      <c r="BK14" s="362" t="s">
        <v>227</v>
      </c>
      <c r="BM14" s="70">
        <f>F14</f>
        <v>2040000</v>
      </c>
      <c r="BN14" s="75"/>
      <c r="BO14" s="75"/>
      <c r="BP14" s="75"/>
      <c r="BQ14" s="70">
        <f t="shared" si="21"/>
        <v>2040000</v>
      </c>
      <c r="BR14" s="70"/>
      <c r="BS14" s="70"/>
      <c r="BT14" s="70"/>
      <c r="BU14" s="101">
        <f t="shared" si="2"/>
        <v>2040000</v>
      </c>
    </row>
    <row r="15" spans="1:73">
      <c r="A15" s="73"/>
      <c r="B15" s="307" t="s">
        <v>508</v>
      </c>
      <c r="C15" s="362" t="s">
        <v>98</v>
      </c>
      <c r="D15" s="466">
        <v>500000</v>
      </c>
      <c r="E15" s="191">
        <f>BI15</f>
        <v>86</v>
      </c>
      <c r="F15" s="52">
        <f>E15*D15</f>
        <v>43000000</v>
      </c>
      <c r="G15" s="52">
        <f>F15*0</f>
        <v>0</v>
      </c>
      <c r="H15" s="52">
        <f>F15*0.8</f>
        <v>34400000</v>
      </c>
      <c r="I15" s="52"/>
      <c r="J15" s="52"/>
      <c r="K15" s="52"/>
      <c r="L15" s="52"/>
      <c r="M15" s="52"/>
      <c r="N15" s="53"/>
      <c r="O15" s="53">
        <f>F15*0.2</f>
        <v>8600000</v>
      </c>
      <c r="P15" s="49"/>
      <c r="Q15" s="46">
        <f>E15*0.25</f>
        <v>21.5</v>
      </c>
      <c r="R15" s="44">
        <f>E15*0.25</f>
        <v>21.5</v>
      </c>
      <c r="S15" s="44">
        <f>E15*0.25</f>
        <v>21.5</v>
      </c>
      <c r="T15" s="44">
        <f>E15*0.25</f>
        <v>21.5</v>
      </c>
      <c r="U15" s="43">
        <f>Q15*D15</f>
        <v>10750000</v>
      </c>
      <c r="V15" s="43">
        <f>R15*D15</f>
        <v>10750000</v>
      </c>
      <c r="W15" s="43">
        <f>S15*D15</f>
        <v>10750000</v>
      </c>
      <c r="X15" s="43">
        <f>T15*D15</f>
        <v>10750000</v>
      </c>
      <c r="Y15" s="37">
        <v>5</v>
      </c>
      <c r="Z15" s="43">
        <f t="shared" si="3"/>
        <v>2500000</v>
      </c>
      <c r="AA15" s="668">
        <v>3</v>
      </c>
      <c r="AB15" s="43">
        <f t="shared" si="4"/>
        <v>1500000</v>
      </c>
      <c r="AC15" s="74">
        <v>5</v>
      </c>
      <c r="AD15" s="43">
        <f t="shared" si="5"/>
        <v>2500000</v>
      </c>
      <c r="AE15" s="74">
        <v>5</v>
      </c>
      <c r="AF15" s="43">
        <f t="shared" si="6"/>
        <v>2500000</v>
      </c>
      <c r="AG15" s="74">
        <v>4</v>
      </c>
      <c r="AH15" s="43">
        <f t="shared" si="7"/>
        <v>2000000</v>
      </c>
      <c r="AI15" s="74">
        <v>4</v>
      </c>
      <c r="AJ15" s="43">
        <f t="shared" si="8"/>
        <v>2000000</v>
      </c>
      <c r="AK15" s="84">
        <v>5</v>
      </c>
      <c r="AL15" s="43">
        <f t="shared" si="9"/>
        <v>2500000</v>
      </c>
      <c r="AM15" s="74">
        <v>6</v>
      </c>
      <c r="AN15" s="43">
        <f t="shared" si="10"/>
        <v>3000000</v>
      </c>
      <c r="AO15" s="74">
        <v>2</v>
      </c>
      <c r="AP15" s="43">
        <f t="shared" si="11"/>
        <v>1000000</v>
      </c>
      <c r="AQ15" s="74">
        <v>5</v>
      </c>
      <c r="AR15" s="43">
        <f t="shared" si="12"/>
        <v>2500000</v>
      </c>
      <c r="AS15" s="74">
        <v>7</v>
      </c>
      <c r="AT15" s="43">
        <f t="shared" si="13"/>
        <v>3500000</v>
      </c>
      <c r="AU15" s="74">
        <v>5</v>
      </c>
      <c r="AV15" s="43">
        <f t="shared" si="14"/>
        <v>2500000</v>
      </c>
      <c r="AW15" s="74">
        <v>8</v>
      </c>
      <c r="AX15" s="43">
        <f t="shared" si="15"/>
        <v>4000000</v>
      </c>
      <c r="AY15" s="74">
        <v>6</v>
      </c>
      <c r="AZ15" s="43">
        <f t="shared" si="16"/>
        <v>3000000</v>
      </c>
      <c r="BA15" s="74">
        <v>5</v>
      </c>
      <c r="BB15" s="43">
        <f t="shared" si="17"/>
        <v>2500000</v>
      </c>
      <c r="BC15" s="74">
        <v>7</v>
      </c>
      <c r="BD15" s="43">
        <f t="shared" si="18"/>
        <v>3500000</v>
      </c>
      <c r="BE15" s="74">
        <v>4</v>
      </c>
      <c r="BF15" s="43">
        <f t="shared" si="19"/>
        <v>2000000</v>
      </c>
      <c r="BG15" s="74"/>
      <c r="BH15" s="43">
        <f t="shared" si="20"/>
        <v>0</v>
      </c>
      <c r="BI15" s="37">
        <f t="shared" si="1"/>
        <v>86</v>
      </c>
      <c r="BJ15" s="71">
        <f t="shared" si="1"/>
        <v>43000000</v>
      </c>
      <c r="BK15" s="362" t="s">
        <v>228</v>
      </c>
      <c r="BM15" s="70"/>
      <c r="BN15" s="75"/>
      <c r="BO15" s="75">
        <f>BJ15</f>
        <v>43000000</v>
      </c>
      <c r="BP15" s="75"/>
      <c r="BQ15" s="70">
        <f t="shared" si="21"/>
        <v>43000000</v>
      </c>
      <c r="BR15" s="70"/>
      <c r="BS15" s="70"/>
      <c r="BT15" s="70"/>
      <c r="BU15" s="101">
        <f t="shared" si="2"/>
        <v>43000000</v>
      </c>
    </row>
    <row r="16" spans="1:73" s="240" customFormat="1" ht="31.5" customHeight="1">
      <c r="A16" s="374"/>
      <c r="B16" s="336" t="s">
        <v>509</v>
      </c>
      <c r="C16" s="439" t="s">
        <v>121</v>
      </c>
      <c r="D16" s="440"/>
      <c r="E16" s="684">
        <f>E15+E14+E13+E12</f>
        <v>137</v>
      </c>
      <c r="F16" s="684">
        <f t="shared" ref="F16:BJ16" si="22">F15+F14+F13+F12</f>
        <v>45890000</v>
      </c>
      <c r="G16" s="684">
        <f t="shared" si="22"/>
        <v>204000</v>
      </c>
      <c r="H16" s="684">
        <f t="shared" si="22"/>
        <v>36712000</v>
      </c>
      <c r="I16" s="684">
        <f t="shared" si="22"/>
        <v>0</v>
      </c>
      <c r="J16" s="684">
        <f t="shared" si="22"/>
        <v>0</v>
      </c>
      <c r="K16" s="684">
        <f t="shared" si="22"/>
        <v>0</v>
      </c>
      <c r="L16" s="684">
        <f t="shared" si="22"/>
        <v>0</v>
      </c>
      <c r="M16" s="684">
        <f t="shared" si="22"/>
        <v>0</v>
      </c>
      <c r="N16" s="684">
        <f t="shared" si="22"/>
        <v>0</v>
      </c>
      <c r="O16" s="684">
        <f t="shared" si="22"/>
        <v>8974000</v>
      </c>
      <c r="P16" s="684">
        <f t="shared" si="22"/>
        <v>0</v>
      </c>
      <c r="Q16" s="684">
        <f t="shared" si="22"/>
        <v>25.75</v>
      </c>
      <c r="R16" s="684">
        <f t="shared" si="22"/>
        <v>59.75</v>
      </c>
      <c r="S16" s="684">
        <f t="shared" si="22"/>
        <v>25.75</v>
      </c>
      <c r="T16" s="684">
        <f t="shared" si="22"/>
        <v>25.75</v>
      </c>
      <c r="U16" s="684">
        <f t="shared" si="22"/>
        <v>10962500</v>
      </c>
      <c r="V16" s="684">
        <f t="shared" si="22"/>
        <v>13002500</v>
      </c>
      <c r="W16" s="684">
        <f t="shared" si="22"/>
        <v>10962500</v>
      </c>
      <c r="X16" s="684">
        <f t="shared" si="22"/>
        <v>10962500</v>
      </c>
      <c r="Y16" s="684">
        <f t="shared" si="22"/>
        <v>8</v>
      </c>
      <c r="Z16" s="684">
        <f t="shared" si="22"/>
        <v>2670000</v>
      </c>
      <c r="AA16" s="684">
        <f t="shared" si="22"/>
        <v>6</v>
      </c>
      <c r="AB16" s="684">
        <f t="shared" si="22"/>
        <v>1670000</v>
      </c>
      <c r="AC16" s="684">
        <f t="shared" si="22"/>
        <v>8</v>
      </c>
      <c r="AD16" s="684">
        <f t="shared" si="22"/>
        <v>2670000</v>
      </c>
      <c r="AE16" s="684">
        <f t="shared" si="22"/>
        <v>8</v>
      </c>
      <c r="AF16" s="684">
        <f t="shared" si="22"/>
        <v>2670000</v>
      </c>
      <c r="AG16" s="684">
        <f t="shared" si="22"/>
        <v>7</v>
      </c>
      <c r="AH16" s="684">
        <f t="shared" si="22"/>
        <v>2170000</v>
      </c>
      <c r="AI16" s="684">
        <f t="shared" si="22"/>
        <v>7</v>
      </c>
      <c r="AJ16" s="684">
        <f t="shared" si="22"/>
        <v>2170000</v>
      </c>
      <c r="AK16" s="684">
        <f t="shared" si="22"/>
        <v>8</v>
      </c>
      <c r="AL16" s="684">
        <f t="shared" si="22"/>
        <v>2670000</v>
      </c>
      <c r="AM16" s="684">
        <f t="shared" si="22"/>
        <v>9</v>
      </c>
      <c r="AN16" s="684">
        <f t="shared" si="22"/>
        <v>3170000</v>
      </c>
      <c r="AO16" s="684">
        <f t="shared" si="22"/>
        <v>5</v>
      </c>
      <c r="AP16" s="684">
        <f t="shared" si="22"/>
        <v>1170000</v>
      </c>
      <c r="AQ16" s="684">
        <f t="shared" si="22"/>
        <v>8</v>
      </c>
      <c r="AR16" s="684">
        <f t="shared" si="22"/>
        <v>2670000</v>
      </c>
      <c r="AS16" s="684">
        <f t="shared" si="22"/>
        <v>10</v>
      </c>
      <c r="AT16" s="684">
        <f t="shared" si="22"/>
        <v>3670000</v>
      </c>
      <c r="AU16" s="684">
        <f t="shared" si="22"/>
        <v>8</v>
      </c>
      <c r="AV16" s="684">
        <f t="shared" si="22"/>
        <v>2670000</v>
      </c>
      <c r="AW16" s="684">
        <f t="shared" si="22"/>
        <v>11</v>
      </c>
      <c r="AX16" s="684">
        <f t="shared" si="22"/>
        <v>4170000</v>
      </c>
      <c r="AY16" s="684">
        <f t="shared" si="22"/>
        <v>9</v>
      </c>
      <c r="AZ16" s="684">
        <f t="shared" si="22"/>
        <v>3170000</v>
      </c>
      <c r="BA16" s="684">
        <f t="shared" si="22"/>
        <v>8</v>
      </c>
      <c r="BB16" s="684">
        <f t="shared" si="22"/>
        <v>2670000</v>
      </c>
      <c r="BC16" s="684">
        <f t="shared" si="22"/>
        <v>10</v>
      </c>
      <c r="BD16" s="684">
        <f t="shared" si="22"/>
        <v>3670000</v>
      </c>
      <c r="BE16" s="684">
        <f t="shared" si="22"/>
        <v>7</v>
      </c>
      <c r="BF16" s="684">
        <f t="shared" si="22"/>
        <v>2170000</v>
      </c>
      <c r="BG16" s="684">
        <f t="shared" si="22"/>
        <v>0</v>
      </c>
      <c r="BH16" s="684">
        <f t="shared" si="22"/>
        <v>0</v>
      </c>
      <c r="BI16" s="684">
        <f t="shared" si="22"/>
        <v>137</v>
      </c>
      <c r="BJ16" s="684">
        <f t="shared" si="22"/>
        <v>45890000</v>
      </c>
      <c r="BK16" s="439" t="s">
        <v>121</v>
      </c>
      <c r="BM16" s="344">
        <f t="shared" ref="BM16:BU16" si="23">BM15+BM14+BM13+BM12</f>
        <v>2040000</v>
      </c>
      <c r="BN16" s="344">
        <f t="shared" si="23"/>
        <v>0</v>
      </c>
      <c r="BO16" s="344">
        <f t="shared" si="23"/>
        <v>43850000</v>
      </c>
      <c r="BP16" s="344">
        <f t="shared" si="23"/>
        <v>0</v>
      </c>
      <c r="BQ16" s="344">
        <f t="shared" si="23"/>
        <v>45890000</v>
      </c>
      <c r="BR16" s="344">
        <f t="shared" si="23"/>
        <v>0</v>
      </c>
      <c r="BS16" s="344">
        <f t="shared" si="23"/>
        <v>0</v>
      </c>
      <c r="BT16" s="344">
        <f t="shared" si="23"/>
        <v>0</v>
      </c>
      <c r="BU16" s="344">
        <f t="shared" si="23"/>
        <v>45890000</v>
      </c>
    </row>
    <row r="17" spans="1:73">
      <c r="A17" s="73"/>
      <c r="B17" s="309" t="s">
        <v>510</v>
      </c>
      <c r="C17" s="362"/>
      <c r="D17" s="362"/>
      <c r="E17" s="191"/>
      <c r="F17" s="52"/>
      <c r="G17" s="52">
        <f>F17*0.1</f>
        <v>0</v>
      </c>
      <c r="H17" s="52">
        <f>F17*0.8</f>
        <v>0</v>
      </c>
      <c r="I17" s="52"/>
      <c r="J17" s="52"/>
      <c r="K17" s="52"/>
      <c r="L17" s="52"/>
      <c r="M17" s="52"/>
      <c r="N17" s="53"/>
      <c r="O17" s="53">
        <f>F17*0.1</f>
        <v>0</v>
      </c>
      <c r="P17" s="49"/>
      <c r="Q17" s="46"/>
      <c r="R17" s="44"/>
      <c r="S17" s="44"/>
      <c r="T17" s="44"/>
      <c r="U17" s="43"/>
      <c r="V17" s="43"/>
      <c r="W17" s="43"/>
      <c r="X17" s="43"/>
      <c r="Y17" s="37"/>
      <c r="Z17" s="43">
        <f t="shared" si="3"/>
        <v>0</v>
      </c>
      <c r="AA17" s="74"/>
      <c r="AB17" s="43">
        <f t="shared" si="4"/>
        <v>0</v>
      </c>
      <c r="AC17" s="74"/>
      <c r="AD17" s="43">
        <f t="shared" si="5"/>
        <v>0</v>
      </c>
      <c r="AE17" s="74"/>
      <c r="AF17" s="43">
        <f t="shared" si="6"/>
        <v>0</v>
      </c>
      <c r="AG17" s="74"/>
      <c r="AH17" s="43">
        <f t="shared" si="7"/>
        <v>0</v>
      </c>
      <c r="AI17" s="74"/>
      <c r="AJ17" s="43">
        <f t="shared" si="8"/>
        <v>0</v>
      </c>
      <c r="AK17" s="74"/>
      <c r="AL17" s="43">
        <f t="shared" si="9"/>
        <v>0</v>
      </c>
      <c r="AM17" s="74"/>
      <c r="AN17" s="43">
        <f t="shared" si="10"/>
        <v>0</v>
      </c>
      <c r="AO17" s="74"/>
      <c r="AP17" s="43">
        <f t="shared" si="11"/>
        <v>0</v>
      </c>
      <c r="AQ17" s="74"/>
      <c r="AR17" s="43">
        <f t="shared" si="12"/>
        <v>0</v>
      </c>
      <c r="AS17" s="74"/>
      <c r="AT17" s="43">
        <f t="shared" si="13"/>
        <v>0</v>
      </c>
      <c r="AU17" s="74"/>
      <c r="AV17" s="43">
        <f t="shared" si="14"/>
        <v>0</v>
      </c>
      <c r="AW17" s="74"/>
      <c r="AX17" s="43">
        <f t="shared" si="15"/>
        <v>0</v>
      </c>
      <c r="AY17" s="74"/>
      <c r="AZ17" s="43">
        <f t="shared" si="16"/>
        <v>0</v>
      </c>
      <c r="BA17" s="74"/>
      <c r="BB17" s="43">
        <f t="shared" si="17"/>
        <v>0</v>
      </c>
      <c r="BC17" s="74"/>
      <c r="BD17" s="43">
        <f t="shared" si="18"/>
        <v>0</v>
      </c>
      <c r="BE17" s="74"/>
      <c r="BF17" s="43">
        <f t="shared" si="19"/>
        <v>0</v>
      </c>
      <c r="BG17" s="74"/>
      <c r="BH17" s="43">
        <f t="shared" si="20"/>
        <v>0</v>
      </c>
      <c r="BI17" s="37">
        <f t="shared" ref="BI17:BI24" si="24">Y17+AA17+AC17+AE17+AG17+AI17+AK17+AM17+AO17+AQ17+AS17+AU17+AW17+AY17+BA17+BC17+BE17+BG17</f>
        <v>0</v>
      </c>
      <c r="BJ17" s="71">
        <f t="shared" ref="BJ17:BJ24" si="25">Z17+AB17+AD17+AF17+AH17+AJ17+AL17+AN17+AP17+AR17+AT17+AV17+AX17+AZ17+BB17+BD17+BF17+BH17</f>
        <v>0</v>
      </c>
      <c r="BK17" s="362"/>
      <c r="BM17" s="70">
        <f>F17</f>
        <v>0</v>
      </c>
      <c r="BN17" s="75"/>
      <c r="BO17" s="75"/>
      <c r="BP17" s="75"/>
      <c r="BQ17" s="70">
        <f t="shared" si="21"/>
        <v>0</v>
      </c>
      <c r="BR17" s="70"/>
      <c r="BS17" s="70"/>
      <c r="BT17" s="70"/>
      <c r="BU17" s="101">
        <f t="shared" si="2"/>
        <v>0</v>
      </c>
    </row>
    <row r="18" spans="1:73">
      <c r="A18" s="73"/>
      <c r="B18" s="307" t="s">
        <v>106</v>
      </c>
      <c r="C18" s="362" t="s">
        <v>16</v>
      </c>
      <c r="D18" s="312">
        <v>20000</v>
      </c>
      <c r="E18" s="191">
        <f t="shared" ref="E18:E24" si="26">BI18</f>
        <v>35</v>
      </c>
      <c r="F18" s="52">
        <f t="shared" ref="F18:F24" si="27">E18*D18</f>
        <v>700000</v>
      </c>
      <c r="G18" s="52">
        <f>F18*0.2</f>
        <v>140000</v>
      </c>
      <c r="H18" s="52">
        <f>F18*0.8</f>
        <v>560000</v>
      </c>
      <c r="I18" s="52"/>
      <c r="J18" s="52"/>
      <c r="K18" s="52"/>
      <c r="L18" s="52"/>
      <c r="M18" s="52"/>
      <c r="N18" s="53"/>
      <c r="O18" s="53">
        <f>F18*0</f>
        <v>0</v>
      </c>
      <c r="P18" s="49"/>
      <c r="Q18" s="46"/>
      <c r="R18" s="44">
        <f t="shared" ref="R18:R24" si="28">E18*0.4</f>
        <v>14</v>
      </c>
      <c r="S18" s="44">
        <f t="shared" ref="S18:S24" si="29">E18*0.3</f>
        <v>10.5</v>
      </c>
      <c r="T18" s="44">
        <f t="shared" ref="T18:T24" si="30">E18*0.3</f>
        <v>10.5</v>
      </c>
      <c r="U18" s="43"/>
      <c r="V18" s="43">
        <f t="shared" ref="V18:V24" si="31">R18*D18</f>
        <v>280000</v>
      </c>
      <c r="W18" s="43">
        <f t="shared" ref="W18:W24" si="32">S18*D18</f>
        <v>210000</v>
      </c>
      <c r="X18" s="43">
        <f t="shared" ref="X18:X24" si="33">T18*D18</f>
        <v>210000</v>
      </c>
      <c r="Y18" s="37">
        <v>2</v>
      </c>
      <c r="Z18" s="43">
        <f t="shared" si="3"/>
        <v>40000</v>
      </c>
      <c r="AA18" s="74">
        <v>2</v>
      </c>
      <c r="AB18" s="43">
        <f t="shared" si="4"/>
        <v>40000</v>
      </c>
      <c r="AC18" s="74">
        <v>2</v>
      </c>
      <c r="AD18" s="43">
        <f t="shared" si="5"/>
        <v>40000</v>
      </c>
      <c r="AE18" s="74">
        <v>2</v>
      </c>
      <c r="AF18" s="43">
        <f t="shared" si="6"/>
        <v>40000</v>
      </c>
      <c r="AG18" s="74">
        <v>2</v>
      </c>
      <c r="AH18" s="43">
        <f t="shared" si="7"/>
        <v>40000</v>
      </c>
      <c r="AI18" s="74">
        <v>2</v>
      </c>
      <c r="AJ18" s="43">
        <f t="shared" si="8"/>
        <v>40000</v>
      </c>
      <c r="AK18" s="74">
        <v>2</v>
      </c>
      <c r="AL18" s="43">
        <f t="shared" si="9"/>
        <v>40000</v>
      </c>
      <c r="AM18" s="74">
        <v>2</v>
      </c>
      <c r="AN18" s="43">
        <f t="shared" si="10"/>
        <v>40000</v>
      </c>
      <c r="AO18" s="74">
        <v>2</v>
      </c>
      <c r="AP18" s="43">
        <f t="shared" si="11"/>
        <v>40000</v>
      </c>
      <c r="AQ18" s="74">
        <v>2</v>
      </c>
      <c r="AR18" s="43">
        <f t="shared" si="12"/>
        <v>40000</v>
      </c>
      <c r="AS18" s="74">
        <v>2</v>
      </c>
      <c r="AT18" s="43">
        <f t="shared" si="13"/>
        <v>40000</v>
      </c>
      <c r="AU18" s="74">
        <v>2</v>
      </c>
      <c r="AV18" s="43">
        <f t="shared" si="14"/>
        <v>40000</v>
      </c>
      <c r="AW18" s="74">
        <v>2</v>
      </c>
      <c r="AX18" s="43">
        <f t="shared" si="15"/>
        <v>40000</v>
      </c>
      <c r="AY18" s="74">
        <v>2</v>
      </c>
      <c r="AZ18" s="43">
        <f t="shared" si="16"/>
        <v>40000</v>
      </c>
      <c r="BA18" s="74">
        <v>3</v>
      </c>
      <c r="BB18" s="43">
        <f t="shared" si="17"/>
        <v>60000</v>
      </c>
      <c r="BC18" s="74">
        <v>2</v>
      </c>
      <c r="BD18" s="43">
        <f t="shared" si="18"/>
        <v>40000</v>
      </c>
      <c r="BE18" s="74">
        <v>2</v>
      </c>
      <c r="BF18" s="43">
        <f t="shared" si="19"/>
        <v>40000</v>
      </c>
      <c r="BG18" s="74"/>
      <c r="BH18" s="43">
        <f t="shared" si="20"/>
        <v>0</v>
      </c>
      <c r="BI18" s="37">
        <f t="shared" si="24"/>
        <v>35</v>
      </c>
      <c r="BJ18" s="71">
        <f t="shared" si="25"/>
        <v>700000</v>
      </c>
      <c r="BK18" s="362" t="s">
        <v>224</v>
      </c>
      <c r="BM18" s="70"/>
      <c r="BN18" s="75"/>
      <c r="BO18" s="75">
        <f>BJ18</f>
        <v>700000</v>
      </c>
      <c r="BP18" s="75"/>
      <c r="BQ18" s="70">
        <f t="shared" si="21"/>
        <v>700000</v>
      </c>
      <c r="BR18" s="70"/>
      <c r="BS18" s="70"/>
      <c r="BT18" s="70"/>
      <c r="BU18" s="101">
        <f t="shared" si="2"/>
        <v>700000</v>
      </c>
    </row>
    <row r="19" spans="1:73">
      <c r="A19" s="73"/>
      <c r="B19" s="307" t="s">
        <v>800</v>
      </c>
      <c r="C19" s="362" t="s">
        <v>326</v>
      </c>
      <c r="D19" s="312">
        <v>400000</v>
      </c>
      <c r="E19" s="191">
        <f t="shared" si="26"/>
        <v>10</v>
      </c>
      <c r="F19" s="52">
        <f t="shared" si="27"/>
        <v>4000000</v>
      </c>
      <c r="G19" s="52"/>
      <c r="H19" s="52"/>
      <c r="I19" s="52"/>
      <c r="J19" s="52"/>
      <c r="K19" s="52">
        <f>F19*1</f>
        <v>4000000</v>
      </c>
      <c r="L19" s="52"/>
      <c r="M19" s="52"/>
      <c r="N19" s="53"/>
      <c r="O19" s="53"/>
      <c r="P19" s="49"/>
      <c r="Q19" s="46"/>
      <c r="R19" s="44">
        <f>E19*0.4</f>
        <v>4</v>
      </c>
      <c r="S19" s="44">
        <f>E19*0.3</f>
        <v>3</v>
      </c>
      <c r="T19" s="44">
        <f>E19*0.3</f>
        <v>3</v>
      </c>
      <c r="U19" s="43"/>
      <c r="V19" s="43">
        <f t="shared" si="31"/>
        <v>1600000</v>
      </c>
      <c r="W19" s="43">
        <f t="shared" si="32"/>
        <v>1200000</v>
      </c>
      <c r="X19" s="43">
        <f t="shared" si="33"/>
        <v>1200000</v>
      </c>
      <c r="Y19" s="37">
        <v>1</v>
      </c>
      <c r="Z19" s="43">
        <f t="shared" si="3"/>
        <v>400000</v>
      </c>
      <c r="AA19" s="74">
        <v>1</v>
      </c>
      <c r="AB19" s="43">
        <f t="shared" si="4"/>
        <v>400000</v>
      </c>
      <c r="AC19" s="74"/>
      <c r="AD19" s="43">
        <f t="shared" si="5"/>
        <v>0</v>
      </c>
      <c r="AE19" s="74">
        <v>1</v>
      </c>
      <c r="AF19" s="43">
        <f t="shared" si="6"/>
        <v>400000</v>
      </c>
      <c r="AG19" s="74"/>
      <c r="AH19" s="43">
        <f t="shared" si="7"/>
        <v>0</v>
      </c>
      <c r="AI19" s="74">
        <v>1</v>
      </c>
      <c r="AJ19" s="43">
        <f t="shared" si="8"/>
        <v>400000</v>
      </c>
      <c r="AK19" s="74">
        <v>1</v>
      </c>
      <c r="AL19" s="43">
        <f t="shared" si="9"/>
        <v>400000</v>
      </c>
      <c r="AM19" s="74">
        <v>1</v>
      </c>
      <c r="AN19" s="43">
        <f t="shared" si="10"/>
        <v>400000</v>
      </c>
      <c r="AO19" s="74"/>
      <c r="AP19" s="43">
        <f t="shared" si="11"/>
        <v>0</v>
      </c>
      <c r="AQ19" s="74"/>
      <c r="AR19" s="43">
        <f t="shared" si="12"/>
        <v>0</v>
      </c>
      <c r="AS19" s="74">
        <v>1</v>
      </c>
      <c r="AT19" s="43">
        <f t="shared" si="13"/>
        <v>400000</v>
      </c>
      <c r="AU19" s="74"/>
      <c r="AV19" s="43">
        <f t="shared" si="14"/>
        <v>0</v>
      </c>
      <c r="AW19" s="74">
        <v>1</v>
      </c>
      <c r="AX19" s="43">
        <f t="shared" si="15"/>
        <v>400000</v>
      </c>
      <c r="AY19" s="74"/>
      <c r="AZ19" s="43">
        <f t="shared" si="16"/>
        <v>0</v>
      </c>
      <c r="BA19" s="74">
        <v>1</v>
      </c>
      <c r="BB19" s="43">
        <f t="shared" si="17"/>
        <v>400000</v>
      </c>
      <c r="BC19" s="74">
        <v>1</v>
      </c>
      <c r="BD19" s="43">
        <f t="shared" si="18"/>
        <v>400000</v>
      </c>
      <c r="BE19" s="74"/>
      <c r="BF19" s="43">
        <f t="shared" si="19"/>
        <v>0</v>
      </c>
      <c r="BG19" s="74"/>
      <c r="BH19" s="43">
        <f t="shared" si="20"/>
        <v>0</v>
      </c>
      <c r="BI19" s="37">
        <f t="shared" ref="BI19:BJ22" si="34">Y19+AA19+AC19+AE19+AG19+AI19+AK19+AM19+AO19+AQ19+AS19+AU19+AW19+AY19+BA19+BC19+BE19+BG19</f>
        <v>10</v>
      </c>
      <c r="BJ19" s="71">
        <f t="shared" si="34"/>
        <v>4000000</v>
      </c>
      <c r="BK19" s="362" t="s">
        <v>733</v>
      </c>
      <c r="BM19" s="70"/>
      <c r="BN19" s="75"/>
      <c r="BO19" s="75">
        <f>BJ19</f>
        <v>4000000</v>
      </c>
      <c r="BP19" s="75"/>
      <c r="BQ19" s="70">
        <f t="shared" si="21"/>
        <v>4000000</v>
      </c>
      <c r="BR19" s="70"/>
      <c r="BS19" s="70"/>
      <c r="BT19" s="70"/>
      <c r="BU19" s="101">
        <f t="shared" si="2"/>
        <v>4000000</v>
      </c>
    </row>
    <row r="20" spans="1:73">
      <c r="A20" s="73"/>
      <c r="B20" s="307" t="s">
        <v>801</v>
      </c>
      <c r="C20" s="362" t="s">
        <v>326</v>
      </c>
      <c r="D20" s="312">
        <v>2000000</v>
      </c>
      <c r="E20" s="191">
        <f t="shared" si="26"/>
        <v>8</v>
      </c>
      <c r="F20" s="52">
        <f t="shared" si="27"/>
        <v>16000000</v>
      </c>
      <c r="G20" s="52"/>
      <c r="H20" s="52"/>
      <c r="I20" s="52"/>
      <c r="J20" s="52"/>
      <c r="K20" s="52">
        <f>F20*1</f>
        <v>16000000</v>
      </c>
      <c r="L20" s="52"/>
      <c r="M20" s="52"/>
      <c r="N20" s="53"/>
      <c r="O20" s="53"/>
      <c r="P20" s="49"/>
      <c r="Q20" s="46"/>
      <c r="R20" s="44">
        <f>E20*0.4</f>
        <v>3.2</v>
      </c>
      <c r="S20" s="44">
        <f>E20*0.3</f>
        <v>2.4</v>
      </c>
      <c r="T20" s="44">
        <f>E20*0.3</f>
        <v>2.4</v>
      </c>
      <c r="U20" s="43"/>
      <c r="V20" s="43">
        <f t="shared" si="31"/>
        <v>6400000</v>
      </c>
      <c r="W20" s="43">
        <f t="shared" si="32"/>
        <v>4800000</v>
      </c>
      <c r="X20" s="43">
        <f t="shared" si="33"/>
        <v>4800000</v>
      </c>
      <c r="Y20" s="37"/>
      <c r="Z20" s="43">
        <f t="shared" si="3"/>
        <v>0</v>
      </c>
      <c r="AA20" s="74"/>
      <c r="AB20" s="43">
        <f t="shared" si="4"/>
        <v>0</v>
      </c>
      <c r="AC20" s="74"/>
      <c r="AD20" s="43">
        <f t="shared" si="5"/>
        <v>0</v>
      </c>
      <c r="AE20" s="74">
        <v>1</v>
      </c>
      <c r="AF20" s="43">
        <f t="shared" si="6"/>
        <v>2000000</v>
      </c>
      <c r="AG20" s="74"/>
      <c r="AH20" s="43">
        <f t="shared" si="7"/>
        <v>0</v>
      </c>
      <c r="AI20" s="74">
        <v>1</v>
      </c>
      <c r="AJ20" s="43">
        <f t="shared" si="8"/>
        <v>2000000</v>
      </c>
      <c r="AK20" s="74">
        <v>1</v>
      </c>
      <c r="AL20" s="43">
        <f t="shared" si="9"/>
        <v>2000000</v>
      </c>
      <c r="AM20" s="74"/>
      <c r="AN20" s="43">
        <f t="shared" si="10"/>
        <v>0</v>
      </c>
      <c r="AO20" s="74">
        <v>1</v>
      </c>
      <c r="AP20" s="43">
        <f t="shared" si="11"/>
        <v>2000000</v>
      </c>
      <c r="AQ20" s="74"/>
      <c r="AR20" s="43">
        <f t="shared" si="12"/>
        <v>0</v>
      </c>
      <c r="AS20" s="74"/>
      <c r="AT20" s="43">
        <f t="shared" si="13"/>
        <v>0</v>
      </c>
      <c r="AU20" s="74">
        <v>1</v>
      </c>
      <c r="AV20" s="43">
        <f t="shared" si="14"/>
        <v>2000000</v>
      </c>
      <c r="AW20" s="74"/>
      <c r="AX20" s="43">
        <f t="shared" si="15"/>
        <v>0</v>
      </c>
      <c r="AY20" s="74">
        <v>1</v>
      </c>
      <c r="AZ20" s="43">
        <f t="shared" si="16"/>
        <v>2000000</v>
      </c>
      <c r="BA20" s="74"/>
      <c r="BB20" s="43">
        <f t="shared" si="17"/>
        <v>0</v>
      </c>
      <c r="BC20" s="74">
        <v>1</v>
      </c>
      <c r="BD20" s="43">
        <f t="shared" si="18"/>
        <v>2000000</v>
      </c>
      <c r="BE20" s="74">
        <v>1</v>
      </c>
      <c r="BF20" s="43">
        <f t="shared" si="19"/>
        <v>2000000</v>
      </c>
      <c r="BG20" s="74"/>
      <c r="BH20" s="43">
        <f t="shared" si="20"/>
        <v>0</v>
      </c>
      <c r="BI20" s="37">
        <f t="shared" si="34"/>
        <v>8</v>
      </c>
      <c r="BJ20" s="71">
        <f t="shared" si="34"/>
        <v>16000000</v>
      </c>
      <c r="BK20" s="362" t="s">
        <v>733</v>
      </c>
      <c r="BM20" s="70">
        <f>BJ20</f>
        <v>16000000</v>
      </c>
      <c r="BN20" s="75"/>
      <c r="BO20" s="75"/>
      <c r="BP20" s="75"/>
      <c r="BQ20" s="70">
        <f t="shared" si="21"/>
        <v>16000000</v>
      </c>
      <c r="BR20" s="70"/>
      <c r="BS20" s="70"/>
      <c r="BT20" s="70"/>
      <c r="BU20" s="101">
        <f t="shared" si="2"/>
        <v>16000000</v>
      </c>
    </row>
    <row r="21" spans="1:73" ht="31.5">
      <c r="A21" s="73"/>
      <c r="B21" s="421" t="s">
        <v>802</v>
      </c>
      <c r="C21" s="362" t="s">
        <v>326</v>
      </c>
      <c r="D21" s="312">
        <v>250000</v>
      </c>
      <c r="E21" s="191">
        <f t="shared" si="26"/>
        <v>170</v>
      </c>
      <c r="F21" s="52">
        <f t="shared" si="27"/>
        <v>42500000</v>
      </c>
      <c r="G21" s="52"/>
      <c r="H21" s="52"/>
      <c r="I21" s="52"/>
      <c r="J21" s="52"/>
      <c r="K21" s="52">
        <f>F21*1</f>
        <v>42500000</v>
      </c>
      <c r="L21" s="52"/>
      <c r="M21" s="52"/>
      <c r="N21" s="53"/>
      <c r="O21" s="53"/>
      <c r="P21" s="49"/>
      <c r="Q21" s="46"/>
      <c r="R21" s="44">
        <f>E21*0.4</f>
        <v>68</v>
      </c>
      <c r="S21" s="44">
        <f>E21*0.3</f>
        <v>51</v>
      </c>
      <c r="T21" s="44">
        <f>E21*0.3</f>
        <v>51</v>
      </c>
      <c r="U21" s="43"/>
      <c r="V21" s="43">
        <f t="shared" si="31"/>
        <v>17000000</v>
      </c>
      <c r="W21" s="43">
        <f t="shared" si="32"/>
        <v>12750000</v>
      </c>
      <c r="X21" s="43">
        <f t="shared" si="33"/>
        <v>12750000</v>
      </c>
      <c r="Y21" s="37">
        <v>10</v>
      </c>
      <c r="Z21" s="43">
        <f t="shared" si="3"/>
        <v>2500000</v>
      </c>
      <c r="AA21" s="74">
        <v>10</v>
      </c>
      <c r="AB21" s="43">
        <f t="shared" si="4"/>
        <v>2500000</v>
      </c>
      <c r="AC21" s="74">
        <v>10</v>
      </c>
      <c r="AD21" s="43">
        <f t="shared" si="5"/>
        <v>2500000</v>
      </c>
      <c r="AE21" s="74">
        <v>10</v>
      </c>
      <c r="AF21" s="43">
        <f t="shared" si="6"/>
        <v>2500000</v>
      </c>
      <c r="AG21" s="74">
        <v>10</v>
      </c>
      <c r="AH21" s="43">
        <f t="shared" si="7"/>
        <v>2500000</v>
      </c>
      <c r="AI21" s="74">
        <v>10</v>
      </c>
      <c r="AJ21" s="43">
        <f t="shared" si="8"/>
        <v>2500000</v>
      </c>
      <c r="AK21" s="74">
        <v>10</v>
      </c>
      <c r="AL21" s="43">
        <f t="shared" si="9"/>
        <v>2500000</v>
      </c>
      <c r="AM21" s="74">
        <v>10</v>
      </c>
      <c r="AN21" s="43">
        <f t="shared" si="10"/>
        <v>2500000</v>
      </c>
      <c r="AO21" s="74">
        <v>10</v>
      </c>
      <c r="AP21" s="43">
        <f t="shared" si="11"/>
        <v>2500000</v>
      </c>
      <c r="AQ21" s="74">
        <v>10</v>
      </c>
      <c r="AR21" s="43">
        <f t="shared" si="12"/>
        <v>2500000</v>
      </c>
      <c r="AS21" s="74">
        <v>10</v>
      </c>
      <c r="AT21" s="43">
        <f t="shared" si="13"/>
        <v>2500000</v>
      </c>
      <c r="AU21" s="74">
        <v>10</v>
      </c>
      <c r="AV21" s="43">
        <f t="shared" si="14"/>
        <v>2500000</v>
      </c>
      <c r="AW21" s="74">
        <v>10</v>
      </c>
      <c r="AX21" s="43">
        <f t="shared" si="15"/>
        <v>2500000</v>
      </c>
      <c r="AY21" s="74">
        <v>10</v>
      </c>
      <c r="AZ21" s="43">
        <f t="shared" si="16"/>
        <v>2500000</v>
      </c>
      <c r="BA21" s="74">
        <v>10</v>
      </c>
      <c r="BB21" s="43">
        <f t="shared" si="17"/>
        <v>2500000</v>
      </c>
      <c r="BC21" s="74">
        <v>10</v>
      </c>
      <c r="BD21" s="43">
        <f t="shared" si="18"/>
        <v>2500000</v>
      </c>
      <c r="BE21" s="74">
        <v>10</v>
      </c>
      <c r="BF21" s="43">
        <f t="shared" si="19"/>
        <v>2500000</v>
      </c>
      <c r="BG21" s="74"/>
      <c r="BH21" s="43">
        <f t="shared" si="20"/>
        <v>0</v>
      </c>
      <c r="BI21" s="37">
        <f t="shared" si="34"/>
        <v>170</v>
      </c>
      <c r="BJ21" s="71">
        <f t="shared" si="34"/>
        <v>42500000</v>
      </c>
      <c r="BK21" s="362" t="s">
        <v>733</v>
      </c>
      <c r="BM21" s="70">
        <f>BJ21</f>
        <v>42500000</v>
      </c>
      <c r="BN21" s="75"/>
      <c r="BO21" s="75"/>
      <c r="BP21" s="75"/>
      <c r="BQ21" s="70">
        <f t="shared" si="21"/>
        <v>42500000</v>
      </c>
      <c r="BR21" s="70"/>
      <c r="BS21" s="70"/>
      <c r="BT21" s="70"/>
      <c r="BU21" s="101">
        <f t="shared" si="2"/>
        <v>42500000</v>
      </c>
    </row>
    <row r="22" spans="1:73">
      <c r="A22" s="73"/>
      <c r="B22" s="307" t="s">
        <v>777</v>
      </c>
      <c r="C22" s="362" t="s">
        <v>326</v>
      </c>
      <c r="D22" s="312">
        <v>700000</v>
      </c>
      <c r="E22" s="191">
        <f t="shared" si="26"/>
        <v>70</v>
      </c>
      <c r="F22" s="52">
        <f t="shared" si="27"/>
        <v>49000000</v>
      </c>
      <c r="G22" s="52"/>
      <c r="H22" s="52"/>
      <c r="I22" s="52"/>
      <c r="J22" s="52"/>
      <c r="K22" s="52">
        <f>F22*1</f>
        <v>49000000</v>
      </c>
      <c r="L22" s="52"/>
      <c r="M22" s="52"/>
      <c r="N22" s="53"/>
      <c r="O22" s="53"/>
      <c r="P22" s="49"/>
      <c r="Q22" s="46"/>
      <c r="R22" s="44">
        <f>E22*0.4</f>
        <v>28</v>
      </c>
      <c r="S22" s="44">
        <f>E22*0.3</f>
        <v>21</v>
      </c>
      <c r="T22" s="44">
        <f>E22*0.3</f>
        <v>21</v>
      </c>
      <c r="U22" s="43"/>
      <c r="V22" s="43">
        <f t="shared" si="31"/>
        <v>19600000</v>
      </c>
      <c r="W22" s="43">
        <f t="shared" si="32"/>
        <v>14700000</v>
      </c>
      <c r="X22" s="43">
        <f t="shared" si="33"/>
        <v>14700000</v>
      </c>
      <c r="Y22" s="37">
        <v>4</v>
      </c>
      <c r="Z22" s="43">
        <f t="shared" si="3"/>
        <v>2800000</v>
      </c>
      <c r="AA22" s="74">
        <v>4</v>
      </c>
      <c r="AB22" s="43">
        <f t="shared" si="4"/>
        <v>2800000</v>
      </c>
      <c r="AC22" s="74">
        <v>4</v>
      </c>
      <c r="AD22" s="43">
        <f t="shared" si="5"/>
        <v>2800000</v>
      </c>
      <c r="AE22" s="74">
        <v>5</v>
      </c>
      <c r="AF22" s="43">
        <f t="shared" si="6"/>
        <v>3500000</v>
      </c>
      <c r="AG22" s="74">
        <v>4</v>
      </c>
      <c r="AH22" s="43">
        <f t="shared" si="7"/>
        <v>2800000</v>
      </c>
      <c r="AI22" s="74">
        <v>4</v>
      </c>
      <c r="AJ22" s="43">
        <f t="shared" si="8"/>
        <v>2800000</v>
      </c>
      <c r="AK22" s="74">
        <v>4</v>
      </c>
      <c r="AL22" s="43">
        <f t="shared" si="9"/>
        <v>2800000</v>
      </c>
      <c r="AM22" s="74">
        <v>4</v>
      </c>
      <c r="AN22" s="43">
        <f t="shared" si="10"/>
        <v>2800000</v>
      </c>
      <c r="AO22" s="74">
        <v>4</v>
      </c>
      <c r="AP22" s="43">
        <f t="shared" si="11"/>
        <v>2800000</v>
      </c>
      <c r="AQ22" s="74">
        <v>4</v>
      </c>
      <c r="AR22" s="43">
        <f t="shared" si="12"/>
        <v>2800000</v>
      </c>
      <c r="AS22" s="74">
        <v>4</v>
      </c>
      <c r="AT22" s="43">
        <f t="shared" si="13"/>
        <v>2800000</v>
      </c>
      <c r="AU22" s="74">
        <v>4</v>
      </c>
      <c r="AV22" s="43">
        <f t="shared" si="14"/>
        <v>2800000</v>
      </c>
      <c r="AW22" s="74">
        <v>4</v>
      </c>
      <c r="AX22" s="43">
        <f t="shared" si="15"/>
        <v>2800000</v>
      </c>
      <c r="AY22" s="74">
        <v>4</v>
      </c>
      <c r="AZ22" s="43">
        <f t="shared" si="16"/>
        <v>2800000</v>
      </c>
      <c r="BA22" s="74">
        <v>4</v>
      </c>
      <c r="BB22" s="43">
        <f t="shared" si="17"/>
        <v>2800000</v>
      </c>
      <c r="BC22" s="74">
        <v>4</v>
      </c>
      <c r="BD22" s="43">
        <f t="shared" si="18"/>
        <v>2800000</v>
      </c>
      <c r="BE22" s="74">
        <v>5</v>
      </c>
      <c r="BF22" s="43">
        <f t="shared" si="19"/>
        <v>3500000</v>
      </c>
      <c r="BG22" s="74"/>
      <c r="BH22" s="43">
        <f t="shared" si="20"/>
        <v>0</v>
      </c>
      <c r="BI22" s="37">
        <f t="shared" si="34"/>
        <v>70</v>
      </c>
      <c r="BJ22" s="71">
        <f t="shared" si="34"/>
        <v>49000000</v>
      </c>
      <c r="BK22" s="362" t="s">
        <v>733</v>
      </c>
      <c r="BM22" s="70">
        <f>BJ22</f>
        <v>49000000</v>
      </c>
      <c r="BN22" s="75"/>
      <c r="BO22" s="75"/>
      <c r="BP22" s="75"/>
      <c r="BQ22" s="70">
        <f t="shared" si="21"/>
        <v>49000000</v>
      </c>
      <c r="BR22" s="70"/>
      <c r="BS22" s="70"/>
      <c r="BT22" s="70"/>
      <c r="BU22" s="101">
        <f t="shared" si="2"/>
        <v>49000000</v>
      </c>
    </row>
    <row r="23" spans="1:73" s="90" customFormat="1">
      <c r="A23" s="83"/>
      <c r="B23" s="307" t="s">
        <v>776</v>
      </c>
      <c r="C23" s="362" t="s">
        <v>82</v>
      </c>
      <c r="D23" s="312" t="s">
        <v>474</v>
      </c>
      <c r="E23" s="191">
        <f t="shared" si="26"/>
        <v>20</v>
      </c>
      <c r="F23" s="52">
        <f t="shared" si="27"/>
        <v>10000000</v>
      </c>
      <c r="G23" s="52">
        <f>F23*0.2</f>
        <v>2000000</v>
      </c>
      <c r="H23" s="88">
        <f>F23*0.8</f>
        <v>8000000</v>
      </c>
      <c r="I23" s="88"/>
      <c r="J23" s="88"/>
      <c r="K23" s="88"/>
      <c r="L23" s="88"/>
      <c r="M23" s="88"/>
      <c r="N23" s="89"/>
      <c r="O23" s="53">
        <f>F23*0</f>
        <v>0</v>
      </c>
      <c r="P23" s="150"/>
      <c r="Q23" s="373"/>
      <c r="R23" s="92">
        <f t="shared" si="28"/>
        <v>8</v>
      </c>
      <c r="S23" s="92">
        <f t="shared" si="29"/>
        <v>6</v>
      </c>
      <c r="T23" s="92">
        <f t="shared" si="30"/>
        <v>6</v>
      </c>
      <c r="U23" s="43"/>
      <c r="V23" s="43">
        <f t="shared" si="31"/>
        <v>4000000</v>
      </c>
      <c r="W23" s="43">
        <f t="shared" si="32"/>
        <v>3000000</v>
      </c>
      <c r="X23" s="43">
        <f t="shared" si="33"/>
        <v>3000000</v>
      </c>
      <c r="Y23" s="79">
        <v>1</v>
      </c>
      <c r="Z23" s="43">
        <f t="shared" si="3"/>
        <v>500000</v>
      </c>
      <c r="AA23" s="84">
        <v>1</v>
      </c>
      <c r="AB23" s="43">
        <f t="shared" si="4"/>
        <v>500000</v>
      </c>
      <c r="AC23" s="84">
        <v>1</v>
      </c>
      <c r="AD23" s="43">
        <f t="shared" si="5"/>
        <v>500000</v>
      </c>
      <c r="AE23" s="84">
        <v>1</v>
      </c>
      <c r="AF23" s="43">
        <f t="shared" si="6"/>
        <v>500000</v>
      </c>
      <c r="AG23" s="84">
        <v>1</v>
      </c>
      <c r="AH23" s="43">
        <f t="shared" si="7"/>
        <v>500000</v>
      </c>
      <c r="AI23" s="84">
        <v>1</v>
      </c>
      <c r="AJ23" s="43">
        <f t="shared" si="8"/>
        <v>500000</v>
      </c>
      <c r="AK23" s="671">
        <v>3</v>
      </c>
      <c r="AL23" s="43">
        <f t="shared" si="9"/>
        <v>1500000</v>
      </c>
      <c r="AM23" s="84">
        <v>1</v>
      </c>
      <c r="AN23" s="43">
        <f t="shared" si="10"/>
        <v>500000</v>
      </c>
      <c r="AO23" s="84">
        <v>1</v>
      </c>
      <c r="AP23" s="43">
        <f t="shared" si="11"/>
        <v>500000</v>
      </c>
      <c r="AQ23" s="84">
        <v>1</v>
      </c>
      <c r="AR23" s="43">
        <f t="shared" si="12"/>
        <v>500000</v>
      </c>
      <c r="AS23" s="84">
        <v>1</v>
      </c>
      <c r="AT23" s="43">
        <f t="shared" si="13"/>
        <v>500000</v>
      </c>
      <c r="AU23" s="84">
        <v>1</v>
      </c>
      <c r="AV23" s="43">
        <f t="shared" si="14"/>
        <v>500000</v>
      </c>
      <c r="AW23" s="84">
        <v>1</v>
      </c>
      <c r="AX23" s="43">
        <f t="shared" si="15"/>
        <v>500000</v>
      </c>
      <c r="AY23" s="84">
        <v>1</v>
      </c>
      <c r="AZ23" s="43">
        <f t="shared" si="16"/>
        <v>500000</v>
      </c>
      <c r="BA23" s="669">
        <v>2</v>
      </c>
      <c r="BB23" s="43">
        <f t="shared" si="17"/>
        <v>1000000</v>
      </c>
      <c r="BC23" s="84">
        <v>1</v>
      </c>
      <c r="BD23" s="43">
        <f t="shared" si="18"/>
        <v>500000</v>
      </c>
      <c r="BE23" s="84">
        <v>1</v>
      </c>
      <c r="BF23" s="43">
        <f t="shared" si="19"/>
        <v>500000</v>
      </c>
      <c r="BG23" s="84"/>
      <c r="BH23" s="43">
        <f t="shared" si="20"/>
        <v>0</v>
      </c>
      <c r="BI23" s="37">
        <f t="shared" si="24"/>
        <v>20</v>
      </c>
      <c r="BJ23" s="71">
        <f t="shared" si="25"/>
        <v>10000000</v>
      </c>
      <c r="BK23" s="362" t="s">
        <v>224</v>
      </c>
      <c r="BM23" s="70">
        <f>F23</f>
        <v>10000000</v>
      </c>
      <c r="BN23" s="91"/>
      <c r="BO23" s="91"/>
      <c r="BP23" s="91"/>
      <c r="BQ23" s="70">
        <f t="shared" si="21"/>
        <v>10000000</v>
      </c>
      <c r="BR23" s="98"/>
      <c r="BS23" s="98"/>
      <c r="BT23" s="98"/>
      <c r="BU23" s="101">
        <f t="shared" si="2"/>
        <v>10000000</v>
      </c>
    </row>
    <row r="24" spans="1:73">
      <c r="A24" s="73"/>
      <c r="B24" s="307" t="s">
        <v>107</v>
      </c>
      <c r="C24" s="362" t="s">
        <v>32</v>
      </c>
      <c r="D24" s="312" t="s">
        <v>441</v>
      </c>
      <c r="E24" s="191">
        <f t="shared" si="26"/>
        <v>81</v>
      </c>
      <c r="F24" s="52">
        <f t="shared" si="27"/>
        <v>810000</v>
      </c>
      <c r="G24" s="52">
        <f>F24*0.2</f>
        <v>162000</v>
      </c>
      <c r="H24" s="52">
        <f>F24*0.8</f>
        <v>648000</v>
      </c>
      <c r="I24" s="52"/>
      <c r="J24" s="52"/>
      <c r="K24" s="52"/>
      <c r="L24" s="52"/>
      <c r="M24" s="52"/>
      <c r="N24" s="53"/>
      <c r="O24" s="53">
        <f>F24*0</f>
        <v>0</v>
      </c>
      <c r="P24" s="49"/>
      <c r="Q24" s="46"/>
      <c r="R24" s="44">
        <f t="shared" si="28"/>
        <v>32.4</v>
      </c>
      <c r="S24" s="44">
        <f t="shared" si="29"/>
        <v>24.3</v>
      </c>
      <c r="T24" s="44">
        <f t="shared" si="30"/>
        <v>24.3</v>
      </c>
      <c r="U24" s="43"/>
      <c r="V24" s="43">
        <f t="shared" si="31"/>
        <v>324000</v>
      </c>
      <c r="W24" s="43">
        <f t="shared" si="32"/>
        <v>243000</v>
      </c>
      <c r="X24" s="43">
        <f t="shared" si="33"/>
        <v>243000</v>
      </c>
      <c r="Y24" s="37">
        <v>5</v>
      </c>
      <c r="Z24" s="43">
        <f t="shared" si="3"/>
        <v>50000</v>
      </c>
      <c r="AA24" s="74">
        <v>5</v>
      </c>
      <c r="AB24" s="43">
        <f t="shared" si="4"/>
        <v>50000</v>
      </c>
      <c r="AC24" s="74">
        <v>5</v>
      </c>
      <c r="AD24" s="43">
        <f t="shared" si="5"/>
        <v>50000</v>
      </c>
      <c r="AE24" s="74">
        <v>5</v>
      </c>
      <c r="AF24" s="43">
        <f t="shared" si="6"/>
        <v>50000</v>
      </c>
      <c r="AG24" s="74">
        <v>5</v>
      </c>
      <c r="AH24" s="43">
        <f t="shared" si="7"/>
        <v>50000</v>
      </c>
      <c r="AI24" s="74">
        <v>5</v>
      </c>
      <c r="AJ24" s="43">
        <f t="shared" si="8"/>
        <v>50000</v>
      </c>
      <c r="AK24" s="74">
        <v>5</v>
      </c>
      <c r="AL24" s="43">
        <f t="shared" si="9"/>
        <v>50000</v>
      </c>
      <c r="AM24" s="74">
        <v>5</v>
      </c>
      <c r="AN24" s="43">
        <f t="shared" si="10"/>
        <v>50000</v>
      </c>
      <c r="AO24" s="74">
        <v>5</v>
      </c>
      <c r="AP24" s="43">
        <f t="shared" si="11"/>
        <v>50000</v>
      </c>
      <c r="AQ24" s="74">
        <v>5</v>
      </c>
      <c r="AR24" s="43">
        <f t="shared" si="12"/>
        <v>50000</v>
      </c>
      <c r="AS24" s="74">
        <v>2</v>
      </c>
      <c r="AT24" s="43">
        <f t="shared" si="13"/>
        <v>20000</v>
      </c>
      <c r="AU24" s="74">
        <v>5</v>
      </c>
      <c r="AV24" s="43">
        <f t="shared" si="14"/>
        <v>50000</v>
      </c>
      <c r="AW24" s="74">
        <v>2</v>
      </c>
      <c r="AX24" s="43">
        <f t="shared" si="15"/>
        <v>20000</v>
      </c>
      <c r="AY24" s="74">
        <v>5</v>
      </c>
      <c r="AZ24" s="43">
        <f t="shared" si="16"/>
        <v>50000</v>
      </c>
      <c r="BA24" s="74">
        <v>7</v>
      </c>
      <c r="BB24" s="43">
        <f t="shared" si="17"/>
        <v>70000</v>
      </c>
      <c r="BC24" s="74">
        <v>5</v>
      </c>
      <c r="BD24" s="43">
        <f t="shared" si="18"/>
        <v>50000</v>
      </c>
      <c r="BE24" s="74">
        <v>5</v>
      </c>
      <c r="BF24" s="43">
        <f t="shared" si="19"/>
        <v>50000</v>
      </c>
      <c r="BG24" s="74"/>
      <c r="BH24" s="43">
        <f t="shared" si="20"/>
        <v>0</v>
      </c>
      <c r="BI24" s="37">
        <f t="shared" si="24"/>
        <v>81</v>
      </c>
      <c r="BJ24" s="71">
        <f t="shared" si="25"/>
        <v>810000</v>
      </c>
      <c r="BK24" s="362" t="s">
        <v>224</v>
      </c>
      <c r="BM24" s="70">
        <f>F24</f>
        <v>810000</v>
      </c>
      <c r="BN24" s="75"/>
      <c r="BO24" s="75"/>
      <c r="BP24" s="75"/>
      <c r="BQ24" s="70">
        <f t="shared" si="21"/>
        <v>810000</v>
      </c>
      <c r="BR24" s="70"/>
      <c r="BS24" s="70"/>
      <c r="BT24" s="70"/>
      <c r="BU24" s="101">
        <f t="shared" si="2"/>
        <v>810000</v>
      </c>
    </row>
    <row r="25" spans="1:73" s="240" customFormat="1">
      <c r="A25" s="374"/>
      <c r="B25" s="336" t="s">
        <v>511</v>
      </c>
      <c r="C25" s="439" t="s">
        <v>121</v>
      </c>
      <c r="D25" s="440"/>
      <c r="E25" s="684">
        <f>SUM(E18:E24)</f>
        <v>394</v>
      </c>
      <c r="F25" s="684">
        <f t="shared" ref="F25:BJ25" si="35">SUM(F18:F24)</f>
        <v>123010000</v>
      </c>
      <c r="G25" s="684">
        <f t="shared" si="35"/>
        <v>2302000</v>
      </c>
      <c r="H25" s="684">
        <f t="shared" si="35"/>
        <v>9208000</v>
      </c>
      <c r="I25" s="684">
        <f t="shared" si="35"/>
        <v>0</v>
      </c>
      <c r="J25" s="684">
        <f t="shared" si="35"/>
        <v>0</v>
      </c>
      <c r="K25" s="684">
        <f t="shared" si="35"/>
        <v>111500000</v>
      </c>
      <c r="L25" s="684">
        <f t="shared" si="35"/>
        <v>0</v>
      </c>
      <c r="M25" s="684">
        <f t="shared" si="35"/>
        <v>0</v>
      </c>
      <c r="N25" s="684">
        <f t="shared" si="35"/>
        <v>0</v>
      </c>
      <c r="O25" s="684">
        <f t="shared" si="35"/>
        <v>0</v>
      </c>
      <c r="P25" s="684">
        <f t="shared" si="35"/>
        <v>0</v>
      </c>
      <c r="Q25" s="684">
        <f t="shared" si="35"/>
        <v>0</v>
      </c>
      <c r="R25" s="684">
        <f t="shared" si="35"/>
        <v>157.6</v>
      </c>
      <c r="S25" s="684">
        <f t="shared" si="35"/>
        <v>118.2</v>
      </c>
      <c r="T25" s="684">
        <f t="shared" si="35"/>
        <v>118.2</v>
      </c>
      <c r="U25" s="684">
        <f t="shared" si="35"/>
        <v>0</v>
      </c>
      <c r="V25" s="684">
        <f t="shared" si="35"/>
        <v>49204000</v>
      </c>
      <c r="W25" s="684">
        <f t="shared" si="35"/>
        <v>36903000</v>
      </c>
      <c r="X25" s="684">
        <f t="shared" si="35"/>
        <v>36903000</v>
      </c>
      <c r="Y25" s="684">
        <f t="shared" si="35"/>
        <v>23</v>
      </c>
      <c r="Z25" s="684">
        <f t="shared" si="35"/>
        <v>6290000</v>
      </c>
      <c r="AA25" s="684">
        <f t="shared" si="35"/>
        <v>23</v>
      </c>
      <c r="AB25" s="684">
        <f t="shared" si="35"/>
        <v>6290000</v>
      </c>
      <c r="AC25" s="684">
        <f t="shared" si="35"/>
        <v>22</v>
      </c>
      <c r="AD25" s="684">
        <f t="shared" si="35"/>
        <v>5890000</v>
      </c>
      <c r="AE25" s="684">
        <f t="shared" si="35"/>
        <v>25</v>
      </c>
      <c r="AF25" s="684">
        <f t="shared" si="35"/>
        <v>8990000</v>
      </c>
      <c r="AG25" s="684">
        <f t="shared" si="35"/>
        <v>22</v>
      </c>
      <c r="AH25" s="684">
        <f t="shared" si="35"/>
        <v>5890000</v>
      </c>
      <c r="AI25" s="684">
        <f t="shared" si="35"/>
        <v>24</v>
      </c>
      <c r="AJ25" s="684">
        <f t="shared" si="35"/>
        <v>8290000</v>
      </c>
      <c r="AK25" s="684">
        <f t="shared" si="35"/>
        <v>26</v>
      </c>
      <c r="AL25" s="684">
        <f t="shared" si="35"/>
        <v>9290000</v>
      </c>
      <c r="AM25" s="684">
        <f t="shared" si="35"/>
        <v>23</v>
      </c>
      <c r="AN25" s="684">
        <f t="shared" si="35"/>
        <v>6290000</v>
      </c>
      <c r="AO25" s="684">
        <f t="shared" si="35"/>
        <v>23</v>
      </c>
      <c r="AP25" s="684">
        <f t="shared" si="35"/>
        <v>7890000</v>
      </c>
      <c r="AQ25" s="684">
        <f t="shared" si="35"/>
        <v>22</v>
      </c>
      <c r="AR25" s="684">
        <f t="shared" si="35"/>
        <v>5890000</v>
      </c>
      <c r="AS25" s="684">
        <f t="shared" si="35"/>
        <v>20</v>
      </c>
      <c r="AT25" s="684">
        <f t="shared" si="35"/>
        <v>6260000</v>
      </c>
      <c r="AU25" s="684">
        <f t="shared" si="35"/>
        <v>23</v>
      </c>
      <c r="AV25" s="684">
        <f t="shared" si="35"/>
        <v>7890000</v>
      </c>
      <c r="AW25" s="684">
        <f t="shared" si="35"/>
        <v>20</v>
      </c>
      <c r="AX25" s="684">
        <f t="shared" si="35"/>
        <v>6260000</v>
      </c>
      <c r="AY25" s="684">
        <f t="shared" si="35"/>
        <v>23</v>
      </c>
      <c r="AZ25" s="684">
        <f t="shared" si="35"/>
        <v>7890000</v>
      </c>
      <c r="BA25" s="684">
        <f t="shared" si="35"/>
        <v>27</v>
      </c>
      <c r="BB25" s="684">
        <f t="shared" si="35"/>
        <v>6830000</v>
      </c>
      <c r="BC25" s="684">
        <f t="shared" si="35"/>
        <v>24</v>
      </c>
      <c r="BD25" s="684">
        <f t="shared" si="35"/>
        <v>8290000</v>
      </c>
      <c r="BE25" s="684">
        <f t="shared" si="35"/>
        <v>24</v>
      </c>
      <c r="BF25" s="684">
        <f t="shared" si="35"/>
        <v>8590000</v>
      </c>
      <c r="BG25" s="684">
        <f t="shared" si="35"/>
        <v>0</v>
      </c>
      <c r="BH25" s="684">
        <f t="shared" si="35"/>
        <v>0</v>
      </c>
      <c r="BI25" s="684">
        <f t="shared" si="35"/>
        <v>394</v>
      </c>
      <c r="BJ25" s="684">
        <f t="shared" si="35"/>
        <v>123010000</v>
      </c>
      <c r="BK25" s="439" t="s">
        <v>121</v>
      </c>
      <c r="BM25" s="344">
        <f>SUM(BM18:BM24)</f>
        <v>118310000</v>
      </c>
      <c r="BN25" s="344">
        <f t="shared" ref="BN25:BU25" si="36">SUM(BN18:BN24)</f>
        <v>0</v>
      </c>
      <c r="BO25" s="344">
        <f t="shared" si="36"/>
        <v>4700000</v>
      </c>
      <c r="BP25" s="344">
        <f t="shared" si="36"/>
        <v>0</v>
      </c>
      <c r="BQ25" s="344">
        <f t="shared" si="36"/>
        <v>123010000</v>
      </c>
      <c r="BR25" s="344">
        <f t="shared" si="36"/>
        <v>0</v>
      </c>
      <c r="BS25" s="344">
        <f t="shared" si="36"/>
        <v>0</v>
      </c>
      <c r="BT25" s="344">
        <f t="shared" si="36"/>
        <v>0</v>
      </c>
      <c r="BU25" s="344">
        <f t="shared" si="36"/>
        <v>123010000</v>
      </c>
    </row>
    <row r="26" spans="1:73">
      <c r="A26" s="73"/>
      <c r="B26" s="309" t="s">
        <v>729</v>
      </c>
      <c r="C26" s="362"/>
      <c r="D26" s="362"/>
      <c r="E26" s="191"/>
      <c r="F26" s="52"/>
      <c r="G26" s="52">
        <f>F26*0.1</f>
        <v>0</v>
      </c>
      <c r="H26" s="52">
        <f>F26*0.8</f>
        <v>0</v>
      </c>
      <c r="I26" s="52"/>
      <c r="J26" s="52"/>
      <c r="K26" s="52"/>
      <c r="L26" s="52"/>
      <c r="M26" s="52"/>
      <c r="N26" s="53"/>
      <c r="O26" s="53">
        <f>F26*0.1</f>
        <v>0</v>
      </c>
      <c r="P26" s="49"/>
      <c r="Q26" s="46"/>
      <c r="R26" s="44"/>
      <c r="S26" s="44"/>
      <c r="T26" s="44"/>
      <c r="U26" s="43"/>
      <c r="V26" s="43"/>
      <c r="W26" s="43"/>
      <c r="X26" s="43"/>
      <c r="Y26" s="37"/>
      <c r="Z26" s="43">
        <f t="shared" si="3"/>
        <v>0</v>
      </c>
      <c r="AA26" s="74"/>
      <c r="AB26" s="43">
        <f t="shared" si="4"/>
        <v>0</v>
      </c>
      <c r="AC26" s="74"/>
      <c r="AD26" s="43">
        <f t="shared" si="5"/>
        <v>0</v>
      </c>
      <c r="AE26" s="74"/>
      <c r="AF26" s="43">
        <f t="shared" si="6"/>
        <v>0</v>
      </c>
      <c r="AG26" s="74"/>
      <c r="AH26" s="43">
        <f t="shared" si="7"/>
        <v>0</v>
      </c>
      <c r="AI26" s="74"/>
      <c r="AJ26" s="43">
        <f t="shared" si="8"/>
        <v>0</v>
      </c>
      <c r="AK26" s="74"/>
      <c r="AL26" s="43">
        <f t="shared" si="9"/>
        <v>0</v>
      </c>
      <c r="AM26" s="74"/>
      <c r="AN26" s="43">
        <f t="shared" si="10"/>
        <v>0</v>
      </c>
      <c r="AO26" s="74"/>
      <c r="AP26" s="43">
        <f t="shared" si="11"/>
        <v>0</v>
      </c>
      <c r="AQ26" s="74"/>
      <c r="AR26" s="43">
        <f t="shared" si="12"/>
        <v>0</v>
      </c>
      <c r="AS26" s="74"/>
      <c r="AT26" s="43">
        <f t="shared" si="13"/>
        <v>0</v>
      </c>
      <c r="AU26" s="74"/>
      <c r="AV26" s="43">
        <f t="shared" si="14"/>
        <v>0</v>
      </c>
      <c r="AW26" s="74"/>
      <c r="AX26" s="43">
        <f t="shared" si="15"/>
        <v>0</v>
      </c>
      <c r="AY26" s="74"/>
      <c r="AZ26" s="43">
        <f t="shared" si="16"/>
        <v>0</v>
      </c>
      <c r="BA26" s="74"/>
      <c r="BB26" s="43">
        <f t="shared" si="17"/>
        <v>0</v>
      </c>
      <c r="BC26" s="74"/>
      <c r="BD26" s="43">
        <f t="shared" si="18"/>
        <v>0</v>
      </c>
      <c r="BE26" s="74"/>
      <c r="BF26" s="43">
        <f t="shared" si="19"/>
        <v>0</v>
      </c>
      <c r="BG26" s="74"/>
      <c r="BH26" s="43">
        <f t="shared" si="20"/>
        <v>0</v>
      </c>
      <c r="BI26" s="37">
        <f t="shared" ref="BI26:BJ30" si="37">Y26+AA26+AC26+AE26+AG26+AI26+AK26+AM26+AO26+AQ26+AS26+AU26+AW26+AY26+BA26+BC26+BE26+BG26</f>
        <v>0</v>
      </c>
      <c r="BJ26" s="71">
        <f t="shared" si="37"/>
        <v>0</v>
      </c>
      <c r="BK26" s="362"/>
      <c r="BM26" s="70"/>
      <c r="BN26" s="75"/>
      <c r="BO26" s="75"/>
      <c r="BP26" s="75"/>
      <c r="BQ26" s="70">
        <f t="shared" si="21"/>
        <v>0</v>
      </c>
      <c r="BR26" s="70"/>
      <c r="BS26" s="70"/>
      <c r="BT26" s="70"/>
      <c r="BU26" s="101">
        <f t="shared" si="2"/>
        <v>0</v>
      </c>
    </row>
    <row r="27" spans="1:73">
      <c r="A27" s="73"/>
      <c r="B27" s="307" t="s">
        <v>730</v>
      </c>
      <c r="C27" s="362" t="s">
        <v>326</v>
      </c>
      <c r="D27" s="362">
        <v>330</v>
      </c>
      <c r="E27" s="191">
        <f>BI27</f>
        <v>10000</v>
      </c>
      <c r="F27" s="52">
        <f>E27*D27</f>
        <v>3300000</v>
      </c>
      <c r="G27" s="52"/>
      <c r="H27" s="52"/>
      <c r="I27" s="52"/>
      <c r="J27" s="52"/>
      <c r="K27" s="52">
        <f>F27*1</f>
        <v>3300000</v>
      </c>
      <c r="L27" s="52"/>
      <c r="M27" s="52"/>
      <c r="N27" s="53"/>
      <c r="O27" s="53"/>
      <c r="P27" s="49"/>
      <c r="Q27" s="44">
        <f>E27*0.25</f>
        <v>2500</v>
      </c>
      <c r="R27" s="44">
        <f>E27*0.25</f>
        <v>2500</v>
      </c>
      <c r="S27" s="44">
        <f>E27*0.25</f>
        <v>2500</v>
      </c>
      <c r="T27" s="44">
        <f>E27*0.25</f>
        <v>2500</v>
      </c>
      <c r="U27" s="43">
        <f>Q27*D27</f>
        <v>825000</v>
      </c>
      <c r="V27" s="43">
        <f>R27*D27</f>
        <v>825000</v>
      </c>
      <c r="W27" s="43">
        <f>S27*D27</f>
        <v>825000</v>
      </c>
      <c r="X27" s="43">
        <f>T27*D27</f>
        <v>825000</v>
      </c>
      <c r="Y27" s="37">
        <v>979</v>
      </c>
      <c r="Z27" s="43">
        <f t="shared" si="3"/>
        <v>323070</v>
      </c>
      <c r="AA27" s="74">
        <v>263</v>
      </c>
      <c r="AB27" s="43">
        <f t="shared" si="4"/>
        <v>86790</v>
      </c>
      <c r="AC27" s="74">
        <v>785</v>
      </c>
      <c r="AD27" s="43">
        <f t="shared" si="5"/>
        <v>259050</v>
      </c>
      <c r="AE27" s="74">
        <v>545</v>
      </c>
      <c r="AF27" s="43">
        <f t="shared" si="6"/>
        <v>179850</v>
      </c>
      <c r="AG27" s="74">
        <v>210</v>
      </c>
      <c r="AH27" s="43">
        <f t="shared" si="7"/>
        <v>69300</v>
      </c>
      <c r="AI27" s="74">
        <v>645</v>
      </c>
      <c r="AJ27" s="43">
        <f t="shared" si="8"/>
        <v>212850</v>
      </c>
      <c r="AK27" s="74">
        <v>264</v>
      </c>
      <c r="AL27" s="43">
        <f t="shared" si="9"/>
        <v>87120</v>
      </c>
      <c r="AM27" s="74">
        <v>378</v>
      </c>
      <c r="AN27" s="43">
        <f t="shared" si="10"/>
        <v>124740</v>
      </c>
      <c r="AO27" s="74">
        <v>504</v>
      </c>
      <c r="AP27" s="43">
        <f t="shared" si="11"/>
        <v>166320</v>
      </c>
      <c r="AQ27" s="74">
        <v>984</v>
      </c>
      <c r="AR27" s="43">
        <f t="shared" si="12"/>
        <v>324720</v>
      </c>
      <c r="AS27" s="74">
        <v>809</v>
      </c>
      <c r="AT27" s="43">
        <f t="shared" si="13"/>
        <v>266970</v>
      </c>
      <c r="AU27" s="74">
        <v>423</v>
      </c>
      <c r="AV27" s="43">
        <f t="shared" si="14"/>
        <v>139590</v>
      </c>
      <c r="AW27" s="74">
        <v>294</v>
      </c>
      <c r="AX27" s="43">
        <f t="shared" si="15"/>
        <v>97020</v>
      </c>
      <c r="AY27" s="74">
        <v>490</v>
      </c>
      <c r="AZ27" s="43">
        <f t="shared" si="16"/>
        <v>161700</v>
      </c>
      <c r="BA27" s="74">
        <v>858</v>
      </c>
      <c r="BB27" s="43">
        <f t="shared" si="17"/>
        <v>283140</v>
      </c>
      <c r="BC27" s="74">
        <v>240</v>
      </c>
      <c r="BD27" s="43">
        <f t="shared" si="18"/>
        <v>79200</v>
      </c>
      <c r="BE27" s="74">
        <v>1329</v>
      </c>
      <c r="BF27" s="43">
        <f t="shared" si="19"/>
        <v>438570</v>
      </c>
      <c r="BG27" s="74">
        <v>0</v>
      </c>
      <c r="BH27" s="43">
        <f t="shared" si="20"/>
        <v>0</v>
      </c>
      <c r="BI27" s="37">
        <f t="shared" si="37"/>
        <v>10000</v>
      </c>
      <c r="BJ27" s="71">
        <f t="shared" si="37"/>
        <v>3300000</v>
      </c>
      <c r="BK27" s="362" t="s">
        <v>733</v>
      </c>
      <c r="BM27" s="70">
        <f>SUM(BM26)</f>
        <v>0</v>
      </c>
      <c r="BN27" s="75"/>
      <c r="BO27" s="75">
        <f>BJ27</f>
        <v>3300000</v>
      </c>
      <c r="BP27" s="75"/>
      <c r="BQ27" s="70">
        <f t="shared" si="21"/>
        <v>3300000</v>
      </c>
      <c r="BR27" s="70"/>
      <c r="BS27" s="70"/>
      <c r="BT27" s="70"/>
      <c r="BU27" s="101">
        <f t="shared" si="2"/>
        <v>3300000</v>
      </c>
    </row>
    <row r="28" spans="1:73">
      <c r="A28" s="73"/>
      <c r="B28" s="307" t="s">
        <v>731</v>
      </c>
      <c r="C28" s="362" t="s">
        <v>326</v>
      </c>
      <c r="D28" s="362">
        <v>12</v>
      </c>
      <c r="E28" s="191">
        <f>BI28</f>
        <v>10000</v>
      </c>
      <c r="F28" s="52">
        <f>E28*D28</f>
        <v>120000</v>
      </c>
      <c r="G28" s="52"/>
      <c r="H28" s="52"/>
      <c r="I28" s="52"/>
      <c r="J28" s="52"/>
      <c r="K28" s="52">
        <f>F28*1</f>
        <v>120000</v>
      </c>
      <c r="L28" s="52"/>
      <c r="M28" s="52"/>
      <c r="N28" s="53"/>
      <c r="O28" s="53"/>
      <c r="P28" s="49"/>
      <c r="Q28" s="44">
        <f>E28*0.25</f>
        <v>2500</v>
      </c>
      <c r="R28" s="44">
        <f>E28*0.25</f>
        <v>2500</v>
      </c>
      <c r="S28" s="44">
        <f>E28*0.25</f>
        <v>2500</v>
      </c>
      <c r="T28" s="44">
        <f>E28*0.25</f>
        <v>2500</v>
      </c>
      <c r="U28" s="43">
        <f>Q28*D28</f>
        <v>30000</v>
      </c>
      <c r="V28" s="43">
        <f>R28*D28</f>
        <v>30000</v>
      </c>
      <c r="W28" s="43">
        <f>S28*D28</f>
        <v>30000</v>
      </c>
      <c r="X28" s="43">
        <f>T28*D28</f>
        <v>30000</v>
      </c>
      <c r="Y28" s="37">
        <v>979</v>
      </c>
      <c r="Z28" s="43">
        <f t="shared" si="3"/>
        <v>11748</v>
      </c>
      <c r="AA28" s="74">
        <v>263</v>
      </c>
      <c r="AB28" s="43">
        <f t="shared" si="4"/>
        <v>3156</v>
      </c>
      <c r="AC28" s="74">
        <v>785</v>
      </c>
      <c r="AD28" s="43">
        <f t="shared" si="5"/>
        <v>9420</v>
      </c>
      <c r="AE28" s="74">
        <v>545</v>
      </c>
      <c r="AF28" s="43">
        <f t="shared" si="6"/>
        <v>6540</v>
      </c>
      <c r="AG28" s="74">
        <v>210</v>
      </c>
      <c r="AH28" s="43">
        <f t="shared" si="7"/>
        <v>2520</v>
      </c>
      <c r="AI28" s="74">
        <v>645</v>
      </c>
      <c r="AJ28" s="43">
        <f t="shared" si="8"/>
        <v>7740</v>
      </c>
      <c r="AK28" s="74">
        <v>264</v>
      </c>
      <c r="AL28" s="43">
        <f t="shared" si="9"/>
        <v>3168</v>
      </c>
      <c r="AM28" s="74">
        <v>378</v>
      </c>
      <c r="AN28" s="43">
        <f t="shared" si="10"/>
        <v>4536</v>
      </c>
      <c r="AO28" s="74">
        <v>504</v>
      </c>
      <c r="AP28" s="43">
        <f t="shared" si="11"/>
        <v>6048</v>
      </c>
      <c r="AQ28" s="74">
        <v>984</v>
      </c>
      <c r="AR28" s="43">
        <f t="shared" si="12"/>
        <v>11808</v>
      </c>
      <c r="AS28" s="74">
        <v>809</v>
      </c>
      <c r="AT28" s="43">
        <f t="shared" si="13"/>
        <v>9708</v>
      </c>
      <c r="AU28" s="74">
        <v>423</v>
      </c>
      <c r="AV28" s="43">
        <f t="shared" si="14"/>
        <v>5076</v>
      </c>
      <c r="AW28" s="74">
        <v>294</v>
      </c>
      <c r="AX28" s="43">
        <f t="shared" si="15"/>
        <v>3528</v>
      </c>
      <c r="AY28" s="74">
        <v>490</v>
      </c>
      <c r="AZ28" s="43">
        <f t="shared" si="16"/>
        <v>5880</v>
      </c>
      <c r="BA28" s="74">
        <v>858</v>
      </c>
      <c r="BB28" s="43">
        <f t="shared" si="17"/>
        <v>10296</v>
      </c>
      <c r="BC28" s="74">
        <v>240</v>
      </c>
      <c r="BD28" s="43">
        <f t="shared" si="18"/>
        <v>2880</v>
      </c>
      <c r="BE28" s="74">
        <v>1329</v>
      </c>
      <c r="BF28" s="43">
        <f t="shared" si="19"/>
        <v>15948</v>
      </c>
      <c r="BG28" s="74">
        <v>0</v>
      </c>
      <c r="BH28" s="43">
        <f t="shared" si="20"/>
        <v>0</v>
      </c>
      <c r="BI28" s="37">
        <f t="shared" si="37"/>
        <v>10000</v>
      </c>
      <c r="BJ28" s="71">
        <f t="shared" si="37"/>
        <v>120000</v>
      </c>
      <c r="BK28" s="362" t="s">
        <v>733</v>
      </c>
      <c r="BM28" s="70">
        <f>SUM(BM27)</f>
        <v>0</v>
      </c>
      <c r="BN28" s="75"/>
      <c r="BO28" s="75">
        <f>BJ28</f>
        <v>120000</v>
      </c>
      <c r="BP28" s="75"/>
      <c r="BQ28" s="70">
        <f t="shared" si="21"/>
        <v>120000</v>
      </c>
      <c r="BR28" s="70"/>
      <c r="BS28" s="70"/>
      <c r="BT28" s="70"/>
      <c r="BU28" s="101">
        <f t="shared" si="2"/>
        <v>120000</v>
      </c>
    </row>
    <row r="29" spans="1:73">
      <c r="A29" s="73"/>
      <c r="B29" s="307" t="s">
        <v>732</v>
      </c>
      <c r="C29" s="362" t="s">
        <v>326</v>
      </c>
      <c r="D29" s="362">
        <v>300</v>
      </c>
      <c r="E29" s="191">
        <f>BI29</f>
        <v>5000</v>
      </c>
      <c r="F29" s="52">
        <f>E29*D29</f>
        <v>1500000</v>
      </c>
      <c r="G29" s="52"/>
      <c r="H29" s="52"/>
      <c r="I29" s="52"/>
      <c r="J29" s="52"/>
      <c r="K29" s="52">
        <f>F29*1</f>
        <v>1500000</v>
      </c>
      <c r="L29" s="52"/>
      <c r="M29" s="52"/>
      <c r="N29" s="53"/>
      <c r="O29" s="53"/>
      <c r="P29" s="49"/>
      <c r="Q29" s="44">
        <f>E29*0.25</f>
        <v>1250</v>
      </c>
      <c r="R29" s="44">
        <f>E29*0.25</f>
        <v>1250</v>
      </c>
      <c r="S29" s="44">
        <f>E29*0.25</f>
        <v>1250</v>
      </c>
      <c r="T29" s="44">
        <f>E29*0.25</f>
        <v>1250</v>
      </c>
      <c r="U29" s="43">
        <f>Q29*D29</f>
        <v>375000</v>
      </c>
      <c r="V29" s="43">
        <f>R29*D29</f>
        <v>375000</v>
      </c>
      <c r="W29" s="43">
        <f>S29*D29</f>
        <v>375000</v>
      </c>
      <c r="X29" s="43">
        <f>T29*D29</f>
        <v>375000</v>
      </c>
      <c r="Y29" s="37">
        <v>489</v>
      </c>
      <c r="Z29" s="43">
        <f t="shared" si="3"/>
        <v>146700</v>
      </c>
      <c r="AA29" s="74">
        <v>131</v>
      </c>
      <c r="AB29" s="43">
        <f t="shared" si="4"/>
        <v>39300</v>
      </c>
      <c r="AC29" s="74">
        <v>393</v>
      </c>
      <c r="AD29" s="43">
        <f t="shared" si="5"/>
        <v>117900</v>
      </c>
      <c r="AE29" s="74">
        <v>272</v>
      </c>
      <c r="AF29" s="43">
        <f t="shared" si="6"/>
        <v>81600</v>
      </c>
      <c r="AG29" s="74">
        <v>105</v>
      </c>
      <c r="AH29" s="43">
        <f t="shared" si="7"/>
        <v>31500</v>
      </c>
      <c r="AI29" s="74">
        <v>322</v>
      </c>
      <c r="AJ29" s="43">
        <f t="shared" si="8"/>
        <v>96600</v>
      </c>
      <c r="AK29" s="74">
        <v>132</v>
      </c>
      <c r="AL29" s="43">
        <f t="shared" si="9"/>
        <v>39600</v>
      </c>
      <c r="AM29" s="74">
        <v>189</v>
      </c>
      <c r="AN29" s="43">
        <f t="shared" si="10"/>
        <v>56700</v>
      </c>
      <c r="AO29" s="74">
        <v>252</v>
      </c>
      <c r="AP29" s="43">
        <f t="shared" si="11"/>
        <v>75600</v>
      </c>
      <c r="AQ29" s="74">
        <v>492</v>
      </c>
      <c r="AR29" s="43">
        <f t="shared" si="12"/>
        <v>147600</v>
      </c>
      <c r="AS29" s="74">
        <v>405</v>
      </c>
      <c r="AT29" s="43">
        <f t="shared" si="13"/>
        <v>121500</v>
      </c>
      <c r="AU29" s="74">
        <v>211</v>
      </c>
      <c r="AV29" s="43">
        <f t="shared" si="14"/>
        <v>63300</v>
      </c>
      <c r="AW29" s="74">
        <v>147</v>
      </c>
      <c r="AX29" s="43">
        <f t="shared" si="15"/>
        <v>44100</v>
      </c>
      <c r="AY29" s="74">
        <v>245</v>
      </c>
      <c r="AZ29" s="43">
        <f t="shared" si="16"/>
        <v>73500</v>
      </c>
      <c r="BA29" s="74">
        <v>429</v>
      </c>
      <c r="BB29" s="43">
        <f t="shared" si="17"/>
        <v>128700</v>
      </c>
      <c r="BC29" s="74">
        <v>120</v>
      </c>
      <c r="BD29" s="43">
        <f t="shared" si="18"/>
        <v>36000</v>
      </c>
      <c r="BE29" s="74">
        <v>666</v>
      </c>
      <c r="BF29" s="43">
        <f t="shared" si="19"/>
        <v>199800</v>
      </c>
      <c r="BG29" s="74">
        <v>0</v>
      </c>
      <c r="BH29" s="43">
        <f t="shared" si="20"/>
        <v>0</v>
      </c>
      <c r="BI29" s="37">
        <f t="shared" si="37"/>
        <v>5000</v>
      </c>
      <c r="BJ29" s="71">
        <f t="shared" si="37"/>
        <v>1500000</v>
      </c>
      <c r="BK29" s="362" t="s">
        <v>733</v>
      </c>
      <c r="BM29" s="70">
        <f>SUM(BM28)</f>
        <v>0</v>
      </c>
      <c r="BN29" s="75"/>
      <c r="BO29" s="75">
        <f>BJ29</f>
        <v>1500000</v>
      </c>
      <c r="BP29" s="75"/>
      <c r="BQ29" s="70">
        <f t="shared" si="21"/>
        <v>1500000</v>
      </c>
      <c r="BR29" s="70"/>
      <c r="BS29" s="70"/>
      <c r="BT29" s="70"/>
      <c r="BU29" s="101">
        <f t="shared" si="2"/>
        <v>1500000</v>
      </c>
    </row>
    <row r="30" spans="1:73">
      <c r="A30" s="73"/>
      <c r="B30" s="307" t="s">
        <v>108</v>
      </c>
      <c r="C30" s="362" t="s">
        <v>64</v>
      </c>
      <c r="D30" s="312" t="s">
        <v>486</v>
      </c>
      <c r="E30" s="191">
        <f>BI30</f>
        <v>1</v>
      </c>
      <c r="F30" s="52">
        <f>E30*D30</f>
        <v>100000</v>
      </c>
      <c r="G30" s="52">
        <f>F30*0.2</f>
        <v>20000</v>
      </c>
      <c r="H30" s="52">
        <f>F30*0.8</f>
        <v>80000</v>
      </c>
      <c r="I30" s="52"/>
      <c r="J30" s="52"/>
      <c r="K30" s="52"/>
      <c r="L30" s="52"/>
      <c r="M30" s="52"/>
      <c r="N30" s="53"/>
      <c r="O30" s="53">
        <v>0</v>
      </c>
      <c r="P30" s="49"/>
      <c r="Q30" s="44">
        <f>E30*0.25</f>
        <v>0.25</v>
      </c>
      <c r="R30" s="44">
        <f>E30*0.25</f>
        <v>0.25</v>
      </c>
      <c r="S30" s="44">
        <f>E30*0.25</f>
        <v>0.25</v>
      </c>
      <c r="T30" s="44">
        <f>E30*0.25</f>
        <v>0.25</v>
      </c>
      <c r="U30" s="43">
        <f>Q30*D30</f>
        <v>25000</v>
      </c>
      <c r="V30" s="43">
        <f>R30*D30</f>
        <v>25000</v>
      </c>
      <c r="W30" s="43">
        <f>S30*D30</f>
        <v>25000</v>
      </c>
      <c r="X30" s="43">
        <f>T30*D30</f>
        <v>25000</v>
      </c>
      <c r="Y30" s="37"/>
      <c r="Z30" s="43">
        <f t="shared" si="3"/>
        <v>0</v>
      </c>
      <c r="AA30" s="74"/>
      <c r="AB30" s="43">
        <f t="shared" si="4"/>
        <v>0</v>
      </c>
      <c r="AC30" s="74"/>
      <c r="AD30" s="43">
        <f t="shared" si="5"/>
        <v>0</v>
      </c>
      <c r="AE30" s="74"/>
      <c r="AF30" s="43">
        <f t="shared" si="6"/>
        <v>0</v>
      </c>
      <c r="AG30" s="74"/>
      <c r="AH30" s="43">
        <f t="shared" si="7"/>
        <v>0</v>
      </c>
      <c r="AI30" s="74"/>
      <c r="AJ30" s="43">
        <f t="shared" si="8"/>
        <v>0</v>
      </c>
      <c r="AK30" s="74"/>
      <c r="AL30" s="43">
        <f t="shared" si="9"/>
        <v>0</v>
      </c>
      <c r="AM30" s="74"/>
      <c r="AN30" s="43">
        <f t="shared" si="10"/>
        <v>0</v>
      </c>
      <c r="AO30" s="74"/>
      <c r="AP30" s="43">
        <f t="shared" si="11"/>
        <v>0</v>
      </c>
      <c r="AQ30" s="74"/>
      <c r="AR30" s="43">
        <f t="shared" si="12"/>
        <v>0</v>
      </c>
      <c r="AS30" s="74"/>
      <c r="AT30" s="43">
        <f t="shared" si="13"/>
        <v>0</v>
      </c>
      <c r="AU30" s="74"/>
      <c r="AV30" s="43">
        <f t="shared" si="14"/>
        <v>0</v>
      </c>
      <c r="AW30" s="74"/>
      <c r="AX30" s="43">
        <f t="shared" si="15"/>
        <v>0</v>
      </c>
      <c r="AY30" s="74"/>
      <c r="AZ30" s="43">
        <f t="shared" si="16"/>
        <v>0</v>
      </c>
      <c r="BA30" s="74"/>
      <c r="BB30" s="43">
        <f t="shared" si="17"/>
        <v>0</v>
      </c>
      <c r="BC30" s="74"/>
      <c r="BD30" s="43">
        <f t="shared" si="18"/>
        <v>0</v>
      </c>
      <c r="BE30" s="74"/>
      <c r="BF30" s="43">
        <f t="shared" si="19"/>
        <v>0</v>
      </c>
      <c r="BG30" s="74">
        <v>1</v>
      </c>
      <c r="BH30" s="43">
        <f t="shared" si="20"/>
        <v>100000</v>
      </c>
      <c r="BI30" s="37">
        <f t="shared" si="37"/>
        <v>1</v>
      </c>
      <c r="BJ30" s="71">
        <f t="shared" si="37"/>
        <v>100000</v>
      </c>
      <c r="BK30" s="362" t="s">
        <v>224</v>
      </c>
      <c r="BM30" s="70">
        <f>SUM(BM29)</f>
        <v>0</v>
      </c>
      <c r="BN30" s="75">
        <f>BJ30</f>
        <v>100000</v>
      </c>
      <c r="BO30" s="75"/>
      <c r="BP30" s="75"/>
      <c r="BQ30" s="70">
        <f t="shared" si="21"/>
        <v>100000</v>
      </c>
      <c r="BR30" s="70"/>
      <c r="BS30" s="70"/>
      <c r="BT30" s="70"/>
      <c r="BU30" s="101">
        <f t="shared" si="2"/>
        <v>100000</v>
      </c>
    </row>
    <row r="31" spans="1:73" s="240" customFormat="1">
      <c r="A31" s="374"/>
      <c r="B31" s="336" t="s">
        <v>741</v>
      </c>
      <c r="C31" s="439"/>
      <c r="D31" s="440"/>
      <c r="E31" s="684">
        <f>SUM(E27:E30)</f>
        <v>25001</v>
      </c>
      <c r="F31" s="684">
        <f t="shared" ref="F31:BH31" si="38">SUM(F27:F30)</f>
        <v>5020000</v>
      </c>
      <c r="G31" s="684">
        <f t="shared" si="38"/>
        <v>20000</v>
      </c>
      <c r="H31" s="684">
        <f t="shared" si="38"/>
        <v>80000</v>
      </c>
      <c r="I31" s="684">
        <f t="shared" si="38"/>
        <v>0</v>
      </c>
      <c r="J31" s="684">
        <f t="shared" si="38"/>
        <v>0</v>
      </c>
      <c r="K31" s="684">
        <f t="shared" si="38"/>
        <v>4920000</v>
      </c>
      <c r="L31" s="684">
        <f t="shared" si="38"/>
        <v>0</v>
      </c>
      <c r="M31" s="684">
        <f t="shared" si="38"/>
        <v>0</v>
      </c>
      <c r="N31" s="684">
        <f t="shared" si="38"/>
        <v>0</v>
      </c>
      <c r="O31" s="684">
        <f t="shared" si="38"/>
        <v>0</v>
      </c>
      <c r="P31" s="684">
        <f t="shared" si="38"/>
        <v>0</v>
      </c>
      <c r="Q31" s="684">
        <f t="shared" si="38"/>
        <v>6250.25</v>
      </c>
      <c r="R31" s="684">
        <f t="shared" si="38"/>
        <v>6250.25</v>
      </c>
      <c r="S31" s="684">
        <f t="shared" si="38"/>
        <v>6250.25</v>
      </c>
      <c r="T31" s="684">
        <f t="shared" si="38"/>
        <v>6250.25</v>
      </c>
      <c r="U31" s="684">
        <f t="shared" si="38"/>
        <v>1255000</v>
      </c>
      <c r="V31" s="684">
        <f t="shared" si="38"/>
        <v>1255000</v>
      </c>
      <c r="W31" s="684">
        <f t="shared" si="38"/>
        <v>1255000</v>
      </c>
      <c r="X31" s="684">
        <f t="shared" si="38"/>
        <v>1255000</v>
      </c>
      <c r="Y31" s="684">
        <f t="shared" si="38"/>
        <v>2447</v>
      </c>
      <c r="Z31" s="684">
        <f t="shared" si="38"/>
        <v>481518</v>
      </c>
      <c r="AA31" s="684">
        <f t="shared" si="38"/>
        <v>657</v>
      </c>
      <c r="AB31" s="684">
        <f t="shared" si="38"/>
        <v>129246</v>
      </c>
      <c r="AC31" s="684">
        <f t="shared" si="38"/>
        <v>1963</v>
      </c>
      <c r="AD31" s="684">
        <f t="shared" si="38"/>
        <v>386370</v>
      </c>
      <c r="AE31" s="684">
        <f t="shared" si="38"/>
        <v>1362</v>
      </c>
      <c r="AF31" s="684">
        <f t="shared" si="38"/>
        <v>267990</v>
      </c>
      <c r="AG31" s="684">
        <f t="shared" si="38"/>
        <v>525</v>
      </c>
      <c r="AH31" s="684">
        <f t="shared" si="38"/>
        <v>103320</v>
      </c>
      <c r="AI31" s="684">
        <f t="shared" si="38"/>
        <v>1612</v>
      </c>
      <c r="AJ31" s="684">
        <f t="shared" si="38"/>
        <v>317190</v>
      </c>
      <c r="AK31" s="684">
        <f t="shared" si="38"/>
        <v>660</v>
      </c>
      <c r="AL31" s="684">
        <f t="shared" si="38"/>
        <v>129888</v>
      </c>
      <c r="AM31" s="684">
        <f t="shared" si="38"/>
        <v>945</v>
      </c>
      <c r="AN31" s="684">
        <f t="shared" si="38"/>
        <v>185976</v>
      </c>
      <c r="AO31" s="684">
        <f t="shared" si="38"/>
        <v>1260</v>
      </c>
      <c r="AP31" s="684">
        <f t="shared" si="38"/>
        <v>247968</v>
      </c>
      <c r="AQ31" s="684">
        <f t="shared" si="38"/>
        <v>2460</v>
      </c>
      <c r="AR31" s="684">
        <f t="shared" si="38"/>
        <v>484128</v>
      </c>
      <c r="AS31" s="684">
        <f t="shared" si="38"/>
        <v>2023</v>
      </c>
      <c r="AT31" s="684">
        <f t="shared" si="38"/>
        <v>398178</v>
      </c>
      <c r="AU31" s="684">
        <f t="shared" si="38"/>
        <v>1057</v>
      </c>
      <c r="AV31" s="684">
        <f t="shared" si="38"/>
        <v>207966</v>
      </c>
      <c r="AW31" s="684">
        <f t="shared" si="38"/>
        <v>735</v>
      </c>
      <c r="AX31" s="684">
        <f t="shared" si="38"/>
        <v>144648</v>
      </c>
      <c r="AY31" s="684">
        <f t="shared" si="38"/>
        <v>1225</v>
      </c>
      <c r="AZ31" s="684">
        <f t="shared" si="38"/>
        <v>241080</v>
      </c>
      <c r="BA31" s="684">
        <f t="shared" si="38"/>
        <v>2145</v>
      </c>
      <c r="BB31" s="684">
        <f t="shared" si="38"/>
        <v>422136</v>
      </c>
      <c r="BC31" s="684">
        <f t="shared" si="38"/>
        <v>600</v>
      </c>
      <c r="BD31" s="684">
        <f t="shared" si="38"/>
        <v>118080</v>
      </c>
      <c r="BE31" s="684">
        <f t="shared" si="38"/>
        <v>3324</v>
      </c>
      <c r="BF31" s="684">
        <f t="shared" si="38"/>
        <v>654318</v>
      </c>
      <c r="BG31" s="684">
        <f t="shared" si="38"/>
        <v>1</v>
      </c>
      <c r="BH31" s="684">
        <f t="shared" si="38"/>
        <v>100000</v>
      </c>
      <c r="BI31" s="684">
        <f>SUM(BI27:BI30)</f>
        <v>25001</v>
      </c>
      <c r="BJ31" s="684">
        <f>SUM(BJ27:BJ30)</f>
        <v>5020000</v>
      </c>
      <c r="BK31" s="439"/>
      <c r="BM31" s="344">
        <f>SUM(BM27:BM30)</f>
        <v>0</v>
      </c>
      <c r="BN31" s="344">
        <f t="shared" ref="BN31:BU31" si="39">SUM(BN27:BN30)</f>
        <v>100000</v>
      </c>
      <c r="BO31" s="344">
        <f t="shared" si="39"/>
        <v>4920000</v>
      </c>
      <c r="BP31" s="344">
        <f t="shared" si="39"/>
        <v>0</v>
      </c>
      <c r="BQ31" s="344">
        <f t="shared" si="39"/>
        <v>5020000</v>
      </c>
      <c r="BR31" s="344">
        <f t="shared" si="39"/>
        <v>0</v>
      </c>
      <c r="BS31" s="344">
        <f t="shared" si="39"/>
        <v>0</v>
      </c>
      <c r="BT31" s="344">
        <f t="shared" si="39"/>
        <v>0</v>
      </c>
      <c r="BU31" s="344">
        <f t="shared" si="39"/>
        <v>5020000</v>
      </c>
    </row>
    <row r="32" spans="1:73" s="489" customFormat="1">
      <c r="A32" s="375"/>
      <c r="B32" s="372" t="s">
        <v>17</v>
      </c>
      <c r="C32" s="461" t="s">
        <v>121</v>
      </c>
      <c r="D32" s="490"/>
      <c r="E32" s="699">
        <f t="shared" ref="E32:AJ32" si="40">E25+E16+E31</f>
        <v>25532</v>
      </c>
      <c r="F32" s="699">
        <f t="shared" si="40"/>
        <v>173920000</v>
      </c>
      <c r="G32" s="699">
        <f t="shared" si="40"/>
        <v>2526000</v>
      </c>
      <c r="H32" s="699">
        <f t="shared" si="40"/>
        <v>46000000</v>
      </c>
      <c r="I32" s="699">
        <f t="shared" si="40"/>
        <v>0</v>
      </c>
      <c r="J32" s="699">
        <f t="shared" si="40"/>
        <v>0</v>
      </c>
      <c r="K32" s="699">
        <f t="shared" si="40"/>
        <v>116420000</v>
      </c>
      <c r="L32" s="699">
        <f t="shared" si="40"/>
        <v>0</v>
      </c>
      <c r="M32" s="699">
        <f t="shared" si="40"/>
        <v>0</v>
      </c>
      <c r="N32" s="699">
        <f t="shared" si="40"/>
        <v>0</v>
      </c>
      <c r="O32" s="699">
        <f t="shared" si="40"/>
        <v>8974000</v>
      </c>
      <c r="P32" s="699">
        <f t="shared" si="40"/>
        <v>0</v>
      </c>
      <c r="Q32" s="699">
        <f t="shared" si="40"/>
        <v>6276</v>
      </c>
      <c r="R32" s="699">
        <f t="shared" si="40"/>
        <v>6467.6</v>
      </c>
      <c r="S32" s="699">
        <f t="shared" si="40"/>
        <v>6394.2</v>
      </c>
      <c r="T32" s="699">
        <f t="shared" si="40"/>
        <v>6394.2</v>
      </c>
      <c r="U32" s="699">
        <f t="shared" si="40"/>
        <v>12217500</v>
      </c>
      <c r="V32" s="699">
        <f t="shared" si="40"/>
        <v>63461500</v>
      </c>
      <c r="W32" s="699">
        <f t="shared" si="40"/>
        <v>49120500</v>
      </c>
      <c r="X32" s="699">
        <f t="shared" si="40"/>
        <v>49120500</v>
      </c>
      <c r="Y32" s="699">
        <f t="shared" si="40"/>
        <v>2478</v>
      </c>
      <c r="Z32" s="699">
        <f t="shared" si="40"/>
        <v>9441518</v>
      </c>
      <c r="AA32" s="699">
        <f t="shared" si="40"/>
        <v>686</v>
      </c>
      <c r="AB32" s="699">
        <f t="shared" si="40"/>
        <v>8089246</v>
      </c>
      <c r="AC32" s="699">
        <f t="shared" si="40"/>
        <v>1993</v>
      </c>
      <c r="AD32" s="699">
        <f t="shared" si="40"/>
        <v>8946370</v>
      </c>
      <c r="AE32" s="699">
        <f t="shared" si="40"/>
        <v>1395</v>
      </c>
      <c r="AF32" s="699">
        <f t="shared" si="40"/>
        <v>11927990</v>
      </c>
      <c r="AG32" s="699">
        <f t="shared" si="40"/>
        <v>554</v>
      </c>
      <c r="AH32" s="699">
        <f t="shared" si="40"/>
        <v>8163320</v>
      </c>
      <c r="AI32" s="699">
        <f t="shared" si="40"/>
        <v>1643</v>
      </c>
      <c r="AJ32" s="699">
        <f t="shared" si="40"/>
        <v>10777190</v>
      </c>
      <c r="AK32" s="699">
        <f t="shared" ref="AK32:BJ32" si="41">AK25+AK16+AK31</f>
        <v>694</v>
      </c>
      <c r="AL32" s="699">
        <f t="shared" si="41"/>
        <v>12089888</v>
      </c>
      <c r="AM32" s="699">
        <f t="shared" si="41"/>
        <v>977</v>
      </c>
      <c r="AN32" s="699">
        <f t="shared" si="41"/>
        <v>9645976</v>
      </c>
      <c r="AO32" s="699">
        <f t="shared" si="41"/>
        <v>1288</v>
      </c>
      <c r="AP32" s="699">
        <f t="shared" si="41"/>
        <v>9307968</v>
      </c>
      <c r="AQ32" s="699">
        <f t="shared" si="41"/>
        <v>2490</v>
      </c>
      <c r="AR32" s="699">
        <f t="shared" si="41"/>
        <v>9044128</v>
      </c>
      <c r="AS32" s="699">
        <f t="shared" si="41"/>
        <v>2053</v>
      </c>
      <c r="AT32" s="699">
        <f t="shared" si="41"/>
        <v>10328178</v>
      </c>
      <c r="AU32" s="699">
        <f t="shared" si="41"/>
        <v>1088</v>
      </c>
      <c r="AV32" s="699">
        <f t="shared" si="41"/>
        <v>10767966</v>
      </c>
      <c r="AW32" s="699">
        <f t="shared" si="41"/>
        <v>766</v>
      </c>
      <c r="AX32" s="699">
        <f t="shared" si="41"/>
        <v>10574648</v>
      </c>
      <c r="AY32" s="699">
        <f t="shared" si="41"/>
        <v>1257</v>
      </c>
      <c r="AZ32" s="699">
        <f t="shared" si="41"/>
        <v>11301080</v>
      </c>
      <c r="BA32" s="699">
        <f t="shared" si="41"/>
        <v>2180</v>
      </c>
      <c r="BB32" s="699">
        <f t="shared" si="41"/>
        <v>9922136</v>
      </c>
      <c r="BC32" s="699">
        <f t="shared" si="41"/>
        <v>634</v>
      </c>
      <c r="BD32" s="699">
        <f t="shared" si="41"/>
        <v>12078080</v>
      </c>
      <c r="BE32" s="699">
        <f t="shared" si="41"/>
        <v>3355</v>
      </c>
      <c r="BF32" s="699">
        <f t="shared" si="41"/>
        <v>11414318</v>
      </c>
      <c r="BG32" s="699">
        <f t="shared" si="41"/>
        <v>1</v>
      </c>
      <c r="BH32" s="699">
        <f t="shared" si="41"/>
        <v>100000</v>
      </c>
      <c r="BI32" s="699">
        <f t="shared" si="41"/>
        <v>25532</v>
      </c>
      <c r="BJ32" s="699">
        <f t="shared" si="41"/>
        <v>173920000</v>
      </c>
      <c r="BK32" s="700"/>
      <c r="BM32" s="342">
        <f>BM31+BM25+BM16</f>
        <v>120350000</v>
      </c>
      <c r="BN32" s="342">
        <f t="shared" ref="BN32:BU32" si="42">BN31+BN25+BN16</f>
        <v>100000</v>
      </c>
      <c r="BO32" s="342">
        <f t="shared" si="42"/>
        <v>53470000</v>
      </c>
      <c r="BP32" s="342">
        <f t="shared" si="42"/>
        <v>0</v>
      </c>
      <c r="BQ32" s="342">
        <f t="shared" si="42"/>
        <v>173920000</v>
      </c>
      <c r="BR32" s="342">
        <f t="shared" si="42"/>
        <v>0</v>
      </c>
      <c r="BS32" s="342">
        <f t="shared" si="42"/>
        <v>0</v>
      </c>
      <c r="BT32" s="342">
        <f t="shared" si="42"/>
        <v>0</v>
      </c>
      <c r="BU32" s="342">
        <f t="shared" si="42"/>
        <v>173920000</v>
      </c>
    </row>
    <row r="33" spans="2:159" s="193" customFormat="1">
      <c r="B33" s="31" t="s">
        <v>245</v>
      </c>
      <c r="C33" s="31" t="s">
        <v>299</v>
      </c>
      <c r="E33" s="194"/>
      <c r="F33" s="194"/>
      <c r="G33" s="195"/>
      <c r="H33" s="195"/>
      <c r="I33" s="195"/>
      <c r="J33" s="195"/>
      <c r="K33" s="195"/>
      <c r="L33" s="195"/>
      <c r="M33" s="195"/>
      <c r="N33" s="195"/>
      <c r="O33" s="194"/>
      <c r="P33" s="194"/>
      <c r="Q33" s="194"/>
      <c r="R33" s="188"/>
      <c r="S33" s="188"/>
      <c r="T33" s="188"/>
      <c r="U33" s="188"/>
      <c r="V33" s="187"/>
      <c r="W33" s="187"/>
      <c r="X33" s="187"/>
      <c r="Y33" s="187"/>
      <c r="Z33" s="194"/>
      <c r="BF33" s="64"/>
      <c r="BG33" s="64"/>
      <c r="BH33" s="64"/>
      <c r="BI33" s="64"/>
      <c r="BJ33" s="64"/>
      <c r="BK33" s="64"/>
      <c r="BL33" s="619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</row>
    <row r="34" spans="2:159" s="193" customFormat="1">
      <c r="B34" s="31" t="s">
        <v>303</v>
      </c>
      <c r="C34" s="31" t="s">
        <v>304</v>
      </c>
      <c r="E34" s="194"/>
      <c r="F34" s="194"/>
      <c r="G34" s="195"/>
      <c r="H34" s="195"/>
      <c r="I34" s="195"/>
      <c r="J34" s="195"/>
      <c r="K34" s="195"/>
      <c r="L34" s="195"/>
      <c r="M34" s="195"/>
      <c r="N34" s="195"/>
      <c r="O34" s="194"/>
      <c r="P34" s="194"/>
      <c r="Q34" s="194"/>
      <c r="R34" s="188"/>
      <c r="S34" s="188"/>
      <c r="T34" s="188"/>
      <c r="U34" s="188"/>
      <c r="V34" s="187"/>
      <c r="W34" s="187"/>
      <c r="X34" s="187"/>
      <c r="Y34" s="187"/>
      <c r="Z34" s="194"/>
      <c r="BF34" s="64"/>
      <c r="BG34" s="64"/>
      <c r="BH34" s="64"/>
      <c r="BI34" s="64"/>
      <c r="BJ34" s="64"/>
      <c r="BK34" s="64"/>
      <c r="BL34" s="619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</row>
    <row r="35" spans="2:159" s="193" customFormat="1">
      <c r="B35" s="31" t="s">
        <v>305</v>
      </c>
      <c r="C35" s="31" t="s">
        <v>306</v>
      </c>
      <c r="E35" s="194"/>
      <c r="F35" s="194"/>
      <c r="G35" s="195"/>
      <c r="H35" s="195"/>
      <c r="I35" s="195"/>
      <c r="J35" s="195"/>
      <c r="K35" s="195"/>
      <c r="L35" s="195"/>
      <c r="M35" s="195"/>
      <c r="N35" s="195"/>
      <c r="O35" s="194"/>
      <c r="P35" s="194"/>
      <c r="Q35" s="194"/>
      <c r="R35" s="188"/>
      <c r="S35" s="188"/>
      <c r="T35" s="188"/>
      <c r="U35" s="188"/>
      <c r="V35" s="187"/>
      <c r="W35" s="187"/>
      <c r="X35" s="187"/>
      <c r="Y35" s="187"/>
      <c r="Z35" s="194"/>
      <c r="BF35" s="64"/>
      <c r="BG35" s="64"/>
      <c r="BH35" s="64"/>
      <c r="BI35" s="64"/>
      <c r="BJ35" s="64"/>
      <c r="BK35" s="64"/>
      <c r="BL35" s="619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</row>
    <row r="36" spans="2:159" s="193" customFormat="1">
      <c r="B36" s="31" t="s">
        <v>306</v>
      </c>
      <c r="C36" s="31" t="s">
        <v>307</v>
      </c>
      <c r="E36" s="194"/>
      <c r="F36" s="194"/>
      <c r="G36" s="195"/>
      <c r="H36" s="195"/>
      <c r="I36" s="195"/>
      <c r="J36" s="195"/>
      <c r="K36" s="195"/>
      <c r="L36" s="195"/>
      <c r="M36" s="195"/>
      <c r="N36" s="195"/>
      <c r="O36" s="194"/>
      <c r="P36" s="194"/>
      <c r="Q36" s="194"/>
      <c r="R36" s="188"/>
      <c r="S36" s="188"/>
      <c r="T36" s="188"/>
      <c r="U36" s="188"/>
      <c r="V36" s="187"/>
      <c r="W36" s="187"/>
      <c r="X36" s="187"/>
      <c r="Y36" s="187"/>
      <c r="Z36" s="194"/>
      <c r="BF36" s="64"/>
      <c r="BG36" s="64"/>
      <c r="BH36" s="64"/>
      <c r="BI36" s="64"/>
      <c r="BJ36" s="64"/>
      <c r="BK36" s="64"/>
      <c r="BL36" s="619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</row>
    <row r="37" spans="2:159" s="193" customFormat="1">
      <c r="B37" s="31" t="s">
        <v>307</v>
      </c>
      <c r="C37" s="31" t="s">
        <v>308</v>
      </c>
      <c r="E37" s="194"/>
      <c r="F37" s="194"/>
      <c r="G37" s="195"/>
      <c r="H37" s="195"/>
      <c r="I37" s="195"/>
      <c r="J37" s="195"/>
      <c r="K37" s="195"/>
      <c r="L37" s="195"/>
      <c r="M37" s="195"/>
      <c r="N37" s="195"/>
      <c r="O37" s="194"/>
      <c r="P37" s="194"/>
      <c r="Q37" s="194"/>
      <c r="R37" s="188"/>
      <c r="S37" s="188"/>
      <c r="T37" s="188"/>
      <c r="U37" s="188"/>
      <c r="V37" s="187"/>
      <c r="W37" s="187"/>
      <c r="X37" s="187"/>
      <c r="Y37" s="187"/>
      <c r="Z37" s="194"/>
      <c r="BF37" s="64"/>
      <c r="BG37" s="64"/>
      <c r="BH37" s="64"/>
      <c r="BI37" s="64"/>
      <c r="BJ37" s="64"/>
      <c r="BK37" s="64"/>
      <c r="BL37" s="619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</row>
    <row r="38" spans="2:159" s="193" customFormat="1">
      <c r="B38" s="31" t="s">
        <v>308</v>
      </c>
      <c r="C38" s="31" t="s">
        <v>309</v>
      </c>
      <c r="E38" s="194"/>
      <c r="F38" s="194"/>
      <c r="G38" s="195"/>
      <c r="H38" s="195"/>
      <c r="I38" s="195"/>
      <c r="J38" s="195"/>
      <c r="K38" s="195"/>
      <c r="L38" s="195"/>
      <c r="M38" s="195"/>
      <c r="N38" s="195"/>
      <c r="O38" s="194"/>
      <c r="P38" s="194"/>
      <c r="Q38" s="194"/>
      <c r="R38" s="188"/>
      <c r="S38" s="188"/>
      <c r="T38" s="188"/>
      <c r="U38" s="188"/>
      <c r="V38" s="187"/>
      <c r="W38" s="187"/>
      <c r="X38" s="187"/>
      <c r="Y38" s="187"/>
      <c r="Z38" s="194"/>
      <c r="BF38" s="64"/>
      <c r="BG38" s="64"/>
      <c r="BH38" s="64"/>
      <c r="BI38" s="64"/>
      <c r="BJ38" s="64"/>
      <c r="BK38" s="64"/>
      <c r="BL38" s="619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</row>
    <row r="39" spans="2:159" s="193" customFormat="1">
      <c r="E39" s="194"/>
      <c r="F39" s="194"/>
      <c r="G39" s="195"/>
      <c r="H39" s="195"/>
      <c r="I39" s="195"/>
      <c r="J39" s="195"/>
      <c r="K39" s="195"/>
      <c r="L39" s="195"/>
      <c r="M39" s="195"/>
      <c r="N39" s="195"/>
      <c r="O39" s="194"/>
      <c r="P39" s="194"/>
      <c r="Q39" s="194"/>
      <c r="R39" s="188"/>
      <c r="S39" s="188"/>
      <c r="T39" s="188"/>
      <c r="U39" s="188"/>
      <c r="V39" s="187"/>
      <c r="W39" s="187"/>
      <c r="X39" s="187"/>
      <c r="Y39" s="187"/>
      <c r="Z39" s="194"/>
      <c r="BF39" s="64"/>
      <c r="BG39" s="64"/>
      <c r="BH39" s="64"/>
      <c r="BI39" s="64"/>
      <c r="BJ39" s="64"/>
      <c r="BK39" s="64"/>
      <c r="BL39" s="619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</row>
    <row r="40" spans="2:159" s="193" customFormat="1">
      <c r="E40" s="194"/>
      <c r="F40" s="194"/>
      <c r="G40" s="195"/>
      <c r="H40" s="195"/>
      <c r="I40" s="195"/>
      <c r="J40" s="195"/>
      <c r="K40" s="195"/>
      <c r="L40" s="195"/>
      <c r="M40" s="195"/>
      <c r="N40" s="195"/>
      <c r="O40" s="194"/>
      <c r="P40" s="194"/>
      <c r="Q40" s="194"/>
      <c r="R40" s="188"/>
      <c r="S40" s="188"/>
      <c r="T40" s="188"/>
      <c r="U40" s="188"/>
      <c r="V40" s="187"/>
      <c r="W40" s="187"/>
      <c r="X40" s="187"/>
      <c r="Y40" s="187"/>
      <c r="Z40" s="194"/>
      <c r="BF40" s="64"/>
      <c r="BG40" s="64"/>
      <c r="BH40" s="64"/>
      <c r="BI40" s="64"/>
      <c r="BJ40" s="64"/>
      <c r="BK40" s="64"/>
      <c r="BL40" s="619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</row>
  </sheetData>
  <mergeCells count="37">
    <mergeCell ref="B1:P1"/>
    <mergeCell ref="B2:P2"/>
    <mergeCell ref="B3:P3"/>
    <mergeCell ref="AE7:AF8"/>
    <mergeCell ref="B4:P4"/>
    <mergeCell ref="B5:P5"/>
    <mergeCell ref="A7:C7"/>
    <mergeCell ref="D7:F7"/>
    <mergeCell ref="G7:P7"/>
    <mergeCell ref="A8:A9"/>
    <mergeCell ref="B8:B9"/>
    <mergeCell ref="C8:C9"/>
    <mergeCell ref="F8:F9"/>
    <mergeCell ref="Q7:T8"/>
    <mergeCell ref="U7:X8"/>
    <mergeCell ref="Y7:Z8"/>
    <mergeCell ref="AU7:AV8"/>
    <mergeCell ref="AW7:AX8"/>
    <mergeCell ref="AY7:AZ8"/>
    <mergeCell ref="BA7:BB8"/>
    <mergeCell ref="BC7:BD8"/>
    <mergeCell ref="AA7:AB8"/>
    <mergeCell ref="AC7:AD8"/>
    <mergeCell ref="BM8:BQ8"/>
    <mergeCell ref="BR8:BT8"/>
    <mergeCell ref="BU8:BU9"/>
    <mergeCell ref="BE7:BF8"/>
    <mergeCell ref="BG7:BH8"/>
    <mergeCell ref="BI7:BJ8"/>
    <mergeCell ref="BK7:BK9"/>
    <mergeCell ref="AS7:AT8"/>
    <mergeCell ref="AG7:AH8"/>
    <mergeCell ref="AI7:AJ8"/>
    <mergeCell ref="AK7:AL8"/>
    <mergeCell ref="AM7:AN8"/>
    <mergeCell ref="AO7:AP8"/>
    <mergeCell ref="AQ7:AR8"/>
  </mergeCells>
  <pageMargins left="0.67" right="0" top="0.17" bottom="0.25" header="0.2" footer="0.05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tabColor rgb="FF00B0F0"/>
    <pageSetUpPr fitToPage="1"/>
  </sheetPr>
  <dimension ref="A1:BV103"/>
  <sheetViews>
    <sheetView zoomScale="70" zoomScaleNormal="70" workbookViewId="0">
      <pane xSplit="7" ySplit="9" topLeftCell="BI70" activePane="bottomRight" state="frozen"/>
      <selection activeCell="A4" sqref="A4"/>
      <selection pane="topRight" activeCell="H4" sqref="H4"/>
      <selection pane="bottomLeft" activeCell="A10" sqref="A10"/>
      <selection pane="bottomRight" activeCell="K62" sqref="K62"/>
    </sheetView>
  </sheetViews>
  <sheetFormatPr defaultColWidth="15.28515625" defaultRowHeight="15.75"/>
  <cols>
    <col min="1" max="1" width="11.28515625" style="31" hidden="1" customWidth="1"/>
    <col min="2" max="2" width="7.140625" style="31" hidden="1" customWidth="1"/>
    <col min="3" max="3" width="39.140625" style="31" customWidth="1"/>
    <col min="4" max="4" width="15.28515625" style="31" customWidth="1"/>
    <col min="5" max="5" width="16.28515625" style="166" customWidth="1"/>
    <col min="6" max="6" width="12.28515625" style="31" customWidth="1"/>
    <col min="7" max="7" width="17.140625" style="31" customWidth="1"/>
    <col min="8" max="8" width="15.5703125" style="31" customWidth="1"/>
    <col min="9" max="9" width="20.140625" style="31" customWidth="1"/>
    <col min="10" max="10" width="8" style="31" customWidth="1"/>
    <col min="11" max="11" width="6.42578125" style="31" customWidth="1"/>
    <col min="12" max="12" width="7.28515625" style="31" customWidth="1"/>
    <col min="13" max="13" width="6.28515625" style="31" customWidth="1"/>
    <col min="14" max="14" width="6" style="31" customWidth="1"/>
    <col min="15" max="15" width="7.85546875" style="31" customWidth="1"/>
    <col min="16" max="16" width="7.7109375" style="31" customWidth="1"/>
    <col min="17" max="17" width="9.28515625" style="31" customWidth="1"/>
    <col min="18" max="21" width="6.42578125" style="31" customWidth="1"/>
    <col min="22" max="22" width="15.7109375" style="31" customWidth="1"/>
    <col min="23" max="25" width="14.5703125" style="31" customWidth="1"/>
    <col min="26" max="62" width="15.28515625" style="31" customWidth="1"/>
    <col min="63" max="63" width="15.42578125" style="31" customWidth="1"/>
    <col min="64" max="64" width="21.42578125" style="31" customWidth="1"/>
    <col min="65" max="65" width="15.28515625" style="31" customWidth="1"/>
    <col min="66" max="66" width="7.5703125" style="31" bestFit="1" customWidth="1"/>
    <col min="67" max="67" width="14.42578125" style="31" customWidth="1"/>
    <col min="68" max="68" width="17.140625" style="31" bestFit="1" customWidth="1"/>
    <col min="69" max="69" width="9.7109375" style="31" customWidth="1"/>
    <col min="70" max="70" width="17.5703125" style="31" bestFit="1" customWidth="1"/>
    <col min="71" max="71" width="16.85546875" style="31" bestFit="1" customWidth="1"/>
    <col min="72" max="72" width="15.42578125" style="31" bestFit="1" customWidth="1"/>
    <col min="73" max="73" width="16.85546875" style="31" bestFit="1" customWidth="1"/>
    <col min="74" max="74" width="16.7109375" style="31" customWidth="1"/>
    <col min="75" max="16384" width="15.28515625" style="31"/>
  </cols>
  <sheetData>
    <row r="1" spans="1:74" ht="20.25" hidden="1" customHeight="1">
      <c r="Q1" s="31" t="s">
        <v>810</v>
      </c>
    </row>
    <row r="2" spans="1:74" ht="24.75" hidden="1" customHeight="1">
      <c r="A2" s="747" t="s">
        <v>169</v>
      </c>
      <c r="B2" s="747"/>
      <c r="C2" s="757" t="s">
        <v>163</v>
      </c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48"/>
      <c r="S2" s="48"/>
      <c r="T2" s="48"/>
      <c r="U2" s="48"/>
      <c r="V2" s="48"/>
      <c r="W2" s="48"/>
      <c r="X2" s="48"/>
      <c r="Y2" s="48"/>
    </row>
    <row r="3" spans="1:74" ht="15.75" hidden="1" customHeight="1">
      <c r="A3" s="747" t="s">
        <v>165</v>
      </c>
      <c r="B3" s="747"/>
      <c r="C3" s="757" t="s">
        <v>164</v>
      </c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48"/>
      <c r="S3" s="48"/>
      <c r="T3" s="48"/>
      <c r="U3" s="48"/>
      <c r="V3" s="48"/>
      <c r="W3" s="48"/>
      <c r="X3" s="48"/>
      <c r="Y3" s="48"/>
    </row>
    <row r="4" spans="1:74" ht="13.5" hidden="1" customHeight="1">
      <c r="A4" s="747" t="s">
        <v>166</v>
      </c>
      <c r="B4" s="747"/>
      <c r="C4" s="757" t="s">
        <v>386</v>
      </c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48"/>
      <c r="S4" s="48"/>
      <c r="T4" s="48"/>
      <c r="U4" s="48"/>
      <c r="V4" s="48"/>
      <c r="W4" s="48"/>
      <c r="X4" s="48"/>
      <c r="Y4" s="48"/>
    </row>
    <row r="5" spans="1:74" ht="13.5" hidden="1" customHeight="1">
      <c r="A5" s="747" t="s">
        <v>172</v>
      </c>
      <c r="B5" s="747"/>
      <c r="C5" s="757" t="s">
        <v>170</v>
      </c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48"/>
      <c r="S5" s="48"/>
      <c r="T5" s="48"/>
      <c r="U5" s="48"/>
      <c r="V5" s="48"/>
      <c r="W5" s="48"/>
      <c r="X5" s="48"/>
      <c r="Y5" s="48"/>
    </row>
    <row r="6" spans="1:74" ht="13.5" hidden="1" customHeight="1">
      <c r="A6" s="747" t="s">
        <v>176</v>
      </c>
      <c r="B6" s="747"/>
      <c r="C6" s="757" t="s">
        <v>175</v>
      </c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48"/>
      <c r="S6" s="48"/>
      <c r="T6" s="48"/>
      <c r="U6" s="48"/>
      <c r="V6" s="48"/>
      <c r="W6" s="48"/>
      <c r="X6" s="48"/>
      <c r="Y6" s="48"/>
    </row>
    <row r="7" spans="1:74" ht="32.25" hidden="1" customHeight="1">
      <c r="A7" s="787"/>
      <c r="B7" s="787"/>
      <c r="C7" s="787"/>
      <c r="D7" s="787"/>
      <c r="E7" s="825" t="s">
        <v>210</v>
      </c>
      <c r="F7" s="826"/>
      <c r="G7" s="827"/>
      <c r="H7" s="790" t="s">
        <v>162</v>
      </c>
      <c r="I7" s="791"/>
      <c r="J7" s="791"/>
      <c r="K7" s="791"/>
      <c r="L7" s="791"/>
      <c r="M7" s="791"/>
      <c r="N7" s="791"/>
      <c r="O7" s="791"/>
      <c r="P7" s="791"/>
      <c r="Q7" s="792"/>
      <c r="R7" s="893" t="s">
        <v>62</v>
      </c>
      <c r="S7" s="894"/>
      <c r="T7" s="894"/>
      <c r="U7" s="895"/>
      <c r="V7" s="887" t="s">
        <v>6</v>
      </c>
      <c r="W7" s="888"/>
      <c r="X7" s="888"/>
      <c r="Y7" s="889"/>
      <c r="Z7" s="816" t="s">
        <v>192</v>
      </c>
      <c r="AA7" s="816"/>
      <c r="AB7" s="816" t="s">
        <v>193</v>
      </c>
      <c r="AC7" s="816"/>
      <c r="AD7" s="816" t="s">
        <v>194</v>
      </c>
      <c r="AE7" s="816"/>
      <c r="AF7" s="816" t="s">
        <v>195</v>
      </c>
      <c r="AG7" s="816"/>
      <c r="AH7" s="816" t="s">
        <v>196</v>
      </c>
      <c r="AI7" s="816"/>
      <c r="AJ7" s="816" t="s">
        <v>197</v>
      </c>
      <c r="AK7" s="816"/>
      <c r="AL7" s="816" t="s">
        <v>198</v>
      </c>
      <c r="AM7" s="816"/>
      <c r="AN7" s="816" t="s">
        <v>199</v>
      </c>
      <c r="AO7" s="816"/>
      <c r="AP7" s="816" t="s">
        <v>200</v>
      </c>
      <c r="AQ7" s="816"/>
      <c r="AR7" s="816" t="s">
        <v>201</v>
      </c>
      <c r="AS7" s="816"/>
      <c r="AT7" s="816" t="s">
        <v>202</v>
      </c>
      <c r="AU7" s="816"/>
      <c r="AV7" s="816" t="s">
        <v>203</v>
      </c>
      <c r="AW7" s="816"/>
      <c r="AX7" s="816" t="s">
        <v>204</v>
      </c>
      <c r="AY7" s="816"/>
      <c r="AZ7" s="816" t="s">
        <v>205</v>
      </c>
      <c r="BA7" s="816"/>
      <c r="BB7" s="816" t="s">
        <v>206</v>
      </c>
      <c r="BC7" s="816"/>
      <c r="BD7" s="816" t="s">
        <v>207</v>
      </c>
      <c r="BE7" s="816"/>
      <c r="BF7" s="816" t="s">
        <v>208</v>
      </c>
      <c r="BG7" s="816"/>
      <c r="BH7" s="816" t="s">
        <v>209</v>
      </c>
      <c r="BI7" s="816"/>
      <c r="BJ7" s="816" t="s">
        <v>17</v>
      </c>
      <c r="BK7" s="869"/>
      <c r="BL7" s="756" t="s">
        <v>244</v>
      </c>
    </row>
    <row r="8" spans="1:74" ht="39" customHeight="1">
      <c r="A8" s="819" t="s">
        <v>13</v>
      </c>
      <c r="B8" s="621" t="s">
        <v>1</v>
      </c>
      <c r="C8" s="817" t="s">
        <v>12</v>
      </c>
      <c r="D8" s="817" t="s">
        <v>14</v>
      </c>
      <c r="E8" s="840" t="s">
        <v>28</v>
      </c>
      <c r="F8" s="821" t="s">
        <v>26</v>
      </c>
      <c r="G8" s="795" t="s">
        <v>27</v>
      </c>
      <c r="H8" s="72" t="s">
        <v>212</v>
      </c>
      <c r="I8" s="72" t="s">
        <v>213</v>
      </c>
      <c r="J8" s="72" t="s">
        <v>214</v>
      </c>
      <c r="K8" s="72" t="s">
        <v>215</v>
      </c>
      <c r="L8" s="72" t="s">
        <v>216</v>
      </c>
      <c r="M8" s="72" t="s">
        <v>217</v>
      </c>
      <c r="N8" s="72" t="s">
        <v>218</v>
      </c>
      <c r="O8" s="72" t="s">
        <v>219</v>
      </c>
      <c r="P8" s="72" t="s">
        <v>220</v>
      </c>
      <c r="Q8" s="72" t="s">
        <v>221</v>
      </c>
      <c r="R8" s="896"/>
      <c r="S8" s="897"/>
      <c r="T8" s="897"/>
      <c r="U8" s="898"/>
      <c r="V8" s="890"/>
      <c r="W8" s="891"/>
      <c r="X8" s="891"/>
      <c r="Y8" s="892"/>
      <c r="Z8" s="816"/>
      <c r="AA8" s="816"/>
      <c r="AB8" s="816" t="s">
        <v>43</v>
      </c>
      <c r="AC8" s="816"/>
      <c r="AD8" s="816" t="s">
        <v>44</v>
      </c>
      <c r="AE8" s="816"/>
      <c r="AF8" s="816" t="s">
        <v>45</v>
      </c>
      <c r="AG8" s="816"/>
      <c r="AH8" s="816" t="s">
        <v>46</v>
      </c>
      <c r="AI8" s="816"/>
      <c r="AJ8" s="816" t="s">
        <v>47</v>
      </c>
      <c r="AK8" s="816"/>
      <c r="AL8" s="816" t="s">
        <v>48</v>
      </c>
      <c r="AM8" s="816"/>
      <c r="AN8" s="816" t="s">
        <v>49</v>
      </c>
      <c r="AO8" s="816"/>
      <c r="AP8" s="816" t="s">
        <v>50</v>
      </c>
      <c r="AQ8" s="816"/>
      <c r="AR8" s="816" t="s">
        <v>51</v>
      </c>
      <c r="AS8" s="816"/>
      <c r="AT8" s="816" t="s">
        <v>52</v>
      </c>
      <c r="AU8" s="816"/>
      <c r="AV8" s="816" t="s">
        <v>53</v>
      </c>
      <c r="AW8" s="816"/>
      <c r="AX8" s="816" t="s">
        <v>54</v>
      </c>
      <c r="AY8" s="816"/>
      <c r="AZ8" s="816" t="s">
        <v>55</v>
      </c>
      <c r="BA8" s="816"/>
      <c r="BB8" s="816" t="s">
        <v>40</v>
      </c>
      <c r="BC8" s="816"/>
      <c r="BD8" s="816" t="s">
        <v>37</v>
      </c>
      <c r="BE8" s="816"/>
      <c r="BF8" s="816"/>
      <c r="BG8" s="816"/>
      <c r="BH8" s="816"/>
      <c r="BI8" s="816"/>
      <c r="BJ8" s="816"/>
      <c r="BK8" s="869"/>
      <c r="BL8" s="756"/>
      <c r="BN8" s="755" t="s">
        <v>242</v>
      </c>
      <c r="BO8" s="755"/>
      <c r="BP8" s="755"/>
      <c r="BQ8" s="755"/>
      <c r="BR8" s="755"/>
      <c r="BS8" s="755" t="s">
        <v>243</v>
      </c>
      <c r="BT8" s="755"/>
      <c r="BU8" s="759"/>
      <c r="BV8" s="756" t="s">
        <v>17</v>
      </c>
    </row>
    <row r="9" spans="1:74" ht="51" customHeight="1">
      <c r="A9" s="820"/>
      <c r="B9" s="621" t="s">
        <v>2</v>
      </c>
      <c r="C9" s="818"/>
      <c r="D9" s="818"/>
      <c r="E9" s="844"/>
      <c r="F9" s="822"/>
      <c r="G9" s="795"/>
      <c r="H9" s="164"/>
      <c r="I9" s="164"/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621" t="s">
        <v>7</v>
      </c>
      <c r="S9" s="621" t="s">
        <v>8</v>
      </c>
      <c r="T9" s="621" t="s">
        <v>9</v>
      </c>
      <c r="U9" s="621" t="s">
        <v>10</v>
      </c>
      <c r="V9" s="621" t="s">
        <v>7</v>
      </c>
      <c r="W9" s="621" t="s">
        <v>8</v>
      </c>
      <c r="X9" s="621" t="s">
        <v>9</v>
      </c>
      <c r="Y9" s="621" t="s">
        <v>10</v>
      </c>
      <c r="Z9" s="167" t="s">
        <v>14</v>
      </c>
      <c r="AA9" s="168" t="s">
        <v>15</v>
      </c>
      <c r="AB9" s="169" t="s">
        <v>14</v>
      </c>
      <c r="AC9" s="169" t="s">
        <v>15</v>
      </c>
      <c r="AD9" s="169" t="s">
        <v>14</v>
      </c>
      <c r="AE9" s="169" t="s">
        <v>15</v>
      </c>
      <c r="AF9" s="169" t="s">
        <v>14</v>
      </c>
      <c r="AG9" s="169" t="s">
        <v>15</v>
      </c>
      <c r="AH9" s="169" t="s">
        <v>14</v>
      </c>
      <c r="AI9" s="169" t="s">
        <v>15</v>
      </c>
      <c r="AJ9" s="169" t="s">
        <v>14</v>
      </c>
      <c r="AK9" s="169" t="s">
        <v>15</v>
      </c>
      <c r="AL9" s="169" t="s">
        <v>14</v>
      </c>
      <c r="AM9" s="169" t="s">
        <v>15</v>
      </c>
      <c r="AN9" s="169" t="s">
        <v>14</v>
      </c>
      <c r="AO9" s="169" t="s">
        <v>15</v>
      </c>
      <c r="AP9" s="169" t="s">
        <v>14</v>
      </c>
      <c r="AQ9" s="169" t="s">
        <v>15</v>
      </c>
      <c r="AR9" s="169" t="s">
        <v>14</v>
      </c>
      <c r="AS9" s="169" t="s">
        <v>15</v>
      </c>
      <c r="AT9" s="169" t="s">
        <v>14</v>
      </c>
      <c r="AU9" s="169" t="s">
        <v>15</v>
      </c>
      <c r="AV9" s="169" t="s">
        <v>14</v>
      </c>
      <c r="AW9" s="169" t="s">
        <v>15</v>
      </c>
      <c r="AX9" s="169" t="s">
        <v>14</v>
      </c>
      <c r="AY9" s="169" t="s">
        <v>15</v>
      </c>
      <c r="AZ9" s="169" t="s">
        <v>14</v>
      </c>
      <c r="BA9" s="169" t="s">
        <v>15</v>
      </c>
      <c r="BB9" s="169" t="s">
        <v>14</v>
      </c>
      <c r="BC9" s="169" t="s">
        <v>15</v>
      </c>
      <c r="BD9" s="169" t="s">
        <v>14</v>
      </c>
      <c r="BE9" s="169" t="s">
        <v>15</v>
      </c>
      <c r="BF9" s="169" t="s">
        <v>14</v>
      </c>
      <c r="BG9" s="169" t="s">
        <v>15</v>
      </c>
      <c r="BH9" s="169" t="s">
        <v>14</v>
      </c>
      <c r="BI9" s="169" t="s">
        <v>15</v>
      </c>
      <c r="BJ9" s="169" t="s">
        <v>14</v>
      </c>
      <c r="BK9" s="170" t="s">
        <v>15</v>
      </c>
      <c r="BL9" s="756"/>
      <c r="BN9" s="72" t="s">
        <v>233</v>
      </c>
      <c r="BO9" s="171" t="s">
        <v>234</v>
      </c>
      <c r="BP9" s="171" t="s">
        <v>235</v>
      </c>
      <c r="BQ9" s="612" t="s">
        <v>236</v>
      </c>
      <c r="BR9" s="173" t="s">
        <v>237</v>
      </c>
      <c r="BS9" s="171" t="s">
        <v>238</v>
      </c>
      <c r="BT9" s="171" t="s">
        <v>239</v>
      </c>
      <c r="BU9" s="174" t="s">
        <v>240</v>
      </c>
      <c r="BV9" s="756"/>
    </row>
    <row r="10" spans="1:74">
      <c r="A10" s="886"/>
      <c r="B10" s="30"/>
      <c r="C10" s="309" t="s">
        <v>451</v>
      </c>
      <c r="D10" s="362"/>
      <c r="E10" s="362"/>
      <c r="F10" s="37"/>
      <c r="G10" s="33"/>
      <c r="H10" s="33"/>
      <c r="I10" s="33"/>
      <c r="J10" s="33"/>
      <c r="K10" s="33"/>
      <c r="L10" s="33"/>
      <c r="M10" s="33"/>
      <c r="N10" s="33"/>
      <c r="O10" s="175"/>
      <c r="P10" s="175"/>
      <c r="Q10" s="175"/>
      <c r="R10" s="176"/>
      <c r="S10" s="47"/>
      <c r="T10" s="176"/>
      <c r="U10" s="176"/>
      <c r="V10" s="176"/>
      <c r="W10" s="37"/>
      <c r="X10" s="621"/>
      <c r="Y10" s="621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62"/>
      <c r="BN10" s="70"/>
      <c r="BO10" s="70"/>
      <c r="BP10" s="70"/>
      <c r="BQ10" s="70"/>
      <c r="BR10" s="70"/>
      <c r="BS10" s="70"/>
      <c r="BT10" s="70"/>
      <c r="BU10" s="75"/>
      <c r="BV10" s="101">
        <f>BR10+BU10</f>
        <v>0</v>
      </c>
    </row>
    <row r="11" spans="1:74">
      <c r="A11" s="886"/>
      <c r="B11" s="106"/>
      <c r="C11" s="309" t="s">
        <v>512</v>
      </c>
      <c r="D11" s="362"/>
      <c r="E11" s="362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62"/>
      <c r="BN11" s="70"/>
      <c r="BO11" s="70"/>
      <c r="BP11" s="70"/>
      <c r="BQ11" s="70"/>
      <c r="BR11" s="70"/>
      <c r="BS11" s="70"/>
      <c r="BT11" s="70"/>
      <c r="BU11" s="75"/>
      <c r="BV11" s="101">
        <f t="shared" ref="BV11:BV76" si="0">BR11+BU11</f>
        <v>0</v>
      </c>
    </row>
    <row r="12" spans="1:74">
      <c r="A12" s="886"/>
      <c r="B12" s="30"/>
      <c r="C12" s="307" t="s">
        <v>445</v>
      </c>
      <c r="D12" s="362" t="s">
        <v>65</v>
      </c>
      <c r="E12" s="312" t="s">
        <v>480</v>
      </c>
      <c r="F12" s="37">
        <f>BJ12</f>
        <v>12</v>
      </c>
      <c r="G12" s="177">
        <f>F12*E12</f>
        <v>2400000</v>
      </c>
      <c r="H12" s="177">
        <f>G12*0.2</f>
        <v>480000</v>
      </c>
      <c r="I12" s="177">
        <f>G12*0.8</f>
        <v>1920000</v>
      </c>
      <c r="J12" s="177"/>
      <c r="K12" s="177"/>
      <c r="L12" s="177"/>
      <c r="M12" s="177"/>
      <c r="N12" s="177"/>
      <c r="O12" s="56"/>
      <c r="P12" s="56"/>
      <c r="Q12" s="56"/>
      <c r="R12" s="37">
        <f>F12*0.25</f>
        <v>3</v>
      </c>
      <c r="S12" s="37">
        <f>F12*0.25</f>
        <v>3</v>
      </c>
      <c r="T12" s="37">
        <f>F12*0.25</f>
        <v>3</v>
      </c>
      <c r="U12" s="37">
        <f>F12*0.25</f>
        <v>3</v>
      </c>
      <c r="V12" s="101">
        <f>R12*E12</f>
        <v>600000</v>
      </c>
      <c r="W12" s="101">
        <f>S12*E12</f>
        <v>600000</v>
      </c>
      <c r="X12" s="101">
        <f>T12*E12</f>
        <v>600000</v>
      </c>
      <c r="Y12" s="101">
        <f>U12*E12</f>
        <v>600000</v>
      </c>
      <c r="Z12" s="37"/>
      <c r="AA12" s="101"/>
      <c r="AB12" s="37"/>
      <c r="AC12" s="101"/>
      <c r="AD12" s="37"/>
      <c r="AE12" s="101"/>
      <c r="AF12" s="37"/>
      <c r="AG12" s="101"/>
      <c r="AH12" s="37"/>
      <c r="AI12" s="101"/>
      <c r="AJ12" s="37"/>
      <c r="AK12" s="101"/>
      <c r="AL12" s="37"/>
      <c r="AM12" s="101"/>
      <c r="AN12" s="37"/>
      <c r="AO12" s="101"/>
      <c r="AP12" s="37"/>
      <c r="AQ12" s="101"/>
      <c r="AR12" s="37"/>
      <c r="AS12" s="101"/>
      <c r="AT12" s="37"/>
      <c r="AU12" s="101"/>
      <c r="AV12" s="37"/>
      <c r="AW12" s="101"/>
      <c r="AX12" s="37"/>
      <c r="AY12" s="101"/>
      <c r="AZ12" s="37"/>
      <c r="BA12" s="101"/>
      <c r="BB12" s="37"/>
      <c r="BC12" s="101"/>
      <c r="BD12" s="37"/>
      <c r="BE12" s="101"/>
      <c r="BF12" s="37"/>
      <c r="BG12" s="101"/>
      <c r="BH12" s="37">
        <v>12</v>
      </c>
      <c r="BI12" s="101">
        <f>BH12*E12</f>
        <v>2400000</v>
      </c>
      <c r="BJ12" s="37">
        <f t="shared" ref="BJ12:BJ23" si="1">BH12</f>
        <v>12</v>
      </c>
      <c r="BK12" s="37">
        <f t="shared" ref="BK12:BK23" si="2">BI12</f>
        <v>2400000</v>
      </c>
      <c r="BL12" s="362" t="s">
        <v>224</v>
      </c>
      <c r="BN12" s="70"/>
      <c r="BO12" s="70"/>
      <c r="BP12" s="70"/>
      <c r="BQ12" s="70"/>
      <c r="BR12" s="70">
        <f>BN12+BO12+BP12+BQ12</f>
        <v>0</v>
      </c>
      <c r="BS12" s="70"/>
      <c r="BT12" s="70">
        <f>BK12</f>
        <v>2400000</v>
      </c>
      <c r="BU12" s="75">
        <f>BS12+BT12</f>
        <v>2400000</v>
      </c>
      <c r="BV12" s="101">
        <f t="shared" si="0"/>
        <v>2400000</v>
      </c>
    </row>
    <row r="13" spans="1:74">
      <c r="A13" s="886"/>
      <c r="B13" s="30"/>
      <c r="C13" s="307" t="s">
        <v>446</v>
      </c>
      <c r="D13" s="362" t="s">
        <v>109</v>
      </c>
      <c r="E13" s="312" t="s">
        <v>475</v>
      </c>
      <c r="F13" s="37">
        <f t="shared" ref="F13:F23" si="3">BJ13</f>
        <v>1</v>
      </c>
      <c r="G13" s="177">
        <f t="shared" ref="G13:G23" si="4">F13*E13</f>
        <v>50000</v>
      </c>
      <c r="H13" s="177">
        <f t="shared" ref="H13:H22" si="5">G13*0.2</f>
        <v>10000</v>
      </c>
      <c r="I13" s="177">
        <f t="shared" ref="I13:I22" si="6">G13*0.8</f>
        <v>40000</v>
      </c>
      <c r="J13" s="177"/>
      <c r="K13" s="177"/>
      <c r="L13" s="177"/>
      <c r="M13" s="177"/>
      <c r="N13" s="177"/>
      <c r="O13" s="56"/>
      <c r="P13" s="56"/>
      <c r="Q13" s="56"/>
      <c r="R13" s="37"/>
      <c r="S13" s="37">
        <f>F13</f>
        <v>1</v>
      </c>
      <c r="T13" s="37"/>
      <c r="U13" s="37"/>
      <c r="V13" s="101">
        <f t="shared" ref="V13:V23" si="7">R13*E13</f>
        <v>0</v>
      </c>
      <c r="W13" s="101">
        <f t="shared" ref="W13:W23" si="8">S13*E13</f>
        <v>50000</v>
      </c>
      <c r="X13" s="101">
        <f t="shared" ref="X13:X23" si="9">T13*E13</f>
        <v>0</v>
      </c>
      <c r="Y13" s="101">
        <f t="shared" ref="Y13:Y23" si="10">U13*E13</f>
        <v>0</v>
      </c>
      <c r="Z13" s="37"/>
      <c r="AA13" s="101"/>
      <c r="AB13" s="37"/>
      <c r="AC13" s="101"/>
      <c r="AD13" s="37"/>
      <c r="AE13" s="101"/>
      <c r="AF13" s="37"/>
      <c r="AG13" s="101"/>
      <c r="AH13" s="37"/>
      <c r="AI13" s="101"/>
      <c r="AJ13" s="37"/>
      <c r="AK13" s="101"/>
      <c r="AL13" s="37"/>
      <c r="AM13" s="101"/>
      <c r="AN13" s="37"/>
      <c r="AO13" s="101"/>
      <c r="AP13" s="37"/>
      <c r="AQ13" s="101"/>
      <c r="AR13" s="37"/>
      <c r="AS13" s="101"/>
      <c r="AT13" s="37"/>
      <c r="AU13" s="101"/>
      <c r="AV13" s="37"/>
      <c r="AW13" s="101"/>
      <c r="AX13" s="37"/>
      <c r="AY13" s="101"/>
      <c r="AZ13" s="37"/>
      <c r="BA13" s="101"/>
      <c r="BB13" s="37"/>
      <c r="BC13" s="101"/>
      <c r="BD13" s="37"/>
      <c r="BE13" s="101"/>
      <c r="BF13" s="37"/>
      <c r="BG13" s="101"/>
      <c r="BH13" s="37">
        <v>1</v>
      </c>
      <c r="BI13" s="101">
        <f t="shared" ref="BI13:BI76" si="11">BH13*E13</f>
        <v>50000</v>
      </c>
      <c r="BJ13" s="37">
        <f t="shared" si="1"/>
        <v>1</v>
      </c>
      <c r="BK13" s="37">
        <f t="shared" si="2"/>
        <v>50000</v>
      </c>
      <c r="BL13" s="362" t="s">
        <v>224</v>
      </c>
      <c r="BN13" s="70"/>
      <c r="BO13" s="70"/>
      <c r="BP13" s="70">
        <f>BK13</f>
        <v>50000</v>
      </c>
      <c r="BQ13" s="70"/>
      <c r="BR13" s="70">
        <f t="shared" ref="BR13:BR23" si="12">BN13+BO13+BP13+BQ13</f>
        <v>50000</v>
      </c>
      <c r="BS13" s="70"/>
      <c r="BT13" s="70"/>
      <c r="BU13" s="75">
        <f t="shared" ref="BU13:BU23" si="13">BS13+BT13</f>
        <v>0</v>
      </c>
      <c r="BV13" s="101">
        <f t="shared" si="0"/>
        <v>50000</v>
      </c>
    </row>
    <row r="14" spans="1:74">
      <c r="A14" s="886"/>
      <c r="B14" s="30"/>
      <c r="C14" s="307" t="s">
        <v>447</v>
      </c>
      <c r="D14" s="362" t="s">
        <v>109</v>
      </c>
      <c r="E14" s="312" t="s">
        <v>477</v>
      </c>
      <c r="F14" s="37">
        <f t="shared" si="3"/>
        <v>1</v>
      </c>
      <c r="G14" s="177">
        <f t="shared" si="4"/>
        <v>40000</v>
      </c>
      <c r="H14" s="177">
        <f t="shared" si="5"/>
        <v>8000</v>
      </c>
      <c r="I14" s="177">
        <f t="shared" si="6"/>
        <v>32000</v>
      </c>
      <c r="J14" s="177"/>
      <c r="K14" s="177"/>
      <c r="L14" s="177"/>
      <c r="M14" s="177"/>
      <c r="N14" s="177"/>
      <c r="O14" s="56"/>
      <c r="P14" s="56"/>
      <c r="Q14" s="56"/>
      <c r="R14" s="37"/>
      <c r="S14" s="37">
        <f>F14</f>
        <v>1</v>
      </c>
      <c r="T14" s="37"/>
      <c r="U14" s="37"/>
      <c r="V14" s="101">
        <f t="shared" si="7"/>
        <v>0</v>
      </c>
      <c r="W14" s="101">
        <f t="shared" si="8"/>
        <v>40000</v>
      </c>
      <c r="X14" s="101">
        <f t="shared" si="9"/>
        <v>0</v>
      </c>
      <c r="Y14" s="101">
        <f t="shared" si="10"/>
        <v>0</v>
      </c>
      <c r="Z14" s="37"/>
      <c r="AA14" s="101"/>
      <c r="AB14" s="37"/>
      <c r="AC14" s="101"/>
      <c r="AD14" s="37"/>
      <c r="AE14" s="101"/>
      <c r="AF14" s="37"/>
      <c r="AG14" s="101"/>
      <c r="AH14" s="37"/>
      <c r="AI14" s="101"/>
      <c r="AJ14" s="37"/>
      <c r="AK14" s="101"/>
      <c r="AL14" s="37"/>
      <c r="AM14" s="101"/>
      <c r="AN14" s="37"/>
      <c r="AO14" s="101"/>
      <c r="AP14" s="37"/>
      <c r="AQ14" s="101"/>
      <c r="AR14" s="37"/>
      <c r="AS14" s="101"/>
      <c r="AT14" s="37"/>
      <c r="AU14" s="101"/>
      <c r="AV14" s="37"/>
      <c r="AW14" s="101"/>
      <c r="AX14" s="37"/>
      <c r="AY14" s="101"/>
      <c r="AZ14" s="37"/>
      <c r="BA14" s="101"/>
      <c r="BB14" s="37"/>
      <c r="BC14" s="101"/>
      <c r="BD14" s="37"/>
      <c r="BE14" s="101"/>
      <c r="BF14" s="37"/>
      <c r="BG14" s="101"/>
      <c r="BH14" s="37">
        <v>1</v>
      </c>
      <c r="BI14" s="101">
        <f t="shared" si="11"/>
        <v>40000</v>
      </c>
      <c r="BJ14" s="37">
        <f t="shared" si="1"/>
        <v>1</v>
      </c>
      <c r="BK14" s="37">
        <f t="shared" si="2"/>
        <v>40000</v>
      </c>
      <c r="BL14" s="362" t="s">
        <v>224</v>
      </c>
      <c r="BN14" s="70"/>
      <c r="BO14" s="70"/>
      <c r="BP14" s="70">
        <f t="shared" ref="BP14:BP23" si="14">BK14</f>
        <v>40000</v>
      </c>
      <c r="BQ14" s="70"/>
      <c r="BR14" s="70">
        <f t="shared" si="12"/>
        <v>40000</v>
      </c>
      <c r="BS14" s="70"/>
      <c r="BT14" s="70"/>
      <c r="BU14" s="75">
        <f t="shared" si="13"/>
        <v>0</v>
      </c>
      <c r="BV14" s="101">
        <f t="shared" si="0"/>
        <v>40000</v>
      </c>
    </row>
    <row r="15" spans="1:74">
      <c r="A15" s="886"/>
      <c r="B15" s="30"/>
      <c r="C15" s="307" t="s">
        <v>448</v>
      </c>
      <c r="D15" s="362" t="s">
        <v>109</v>
      </c>
      <c r="E15" s="312" t="s">
        <v>478</v>
      </c>
      <c r="F15" s="37">
        <f t="shared" si="3"/>
        <v>0</v>
      </c>
      <c r="G15" s="177">
        <f t="shared" si="4"/>
        <v>0</v>
      </c>
      <c r="H15" s="177">
        <f t="shared" si="5"/>
        <v>0</v>
      </c>
      <c r="I15" s="177">
        <f t="shared" si="6"/>
        <v>0</v>
      </c>
      <c r="J15" s="177"/>
      <c r="K15" s="177"/>
      <c r="L15" s="177"/>
      <c r="M15" s="177"/>
      <c r="N15" s="177"/>
      <c r="O15" s="56"/>
      <c r="P15" s="56"/>
      <c r="Q15" s="56"/>
      <c r="R15" s="37"/>
      <c r="S15" s="37">
        <f t="shared" ref="S15:S23" si="15">F15</f>
        <v>0</v>
      </c>
      <c r="T15" s="37"/>
      <c r="U15" s="37"/>
      <c r="V15" s="101">
        <f t="shared" si="7"/>
        <v>0</v>
      </c>
      <c r="W15" s="101">
        <f t="shared" si="8"/>
        <v>0</v>
      </c>
      <c r="X15" s="101">
        <f t="shared" si="9"/>
        <v>0</v>
      </c>
      <c r="Y15" s="101">
        <f t="shared" si="10"/>
        <v>0</v>
      </c>
      <c r="Z15" s="37"/>
      <c r="AA15" s="101"/>
      <c r="AB15" s="37"/>
      <c r="AC15" s="101"/>
      <c r="AD15" s="37"/>
      <c r="AE15" s="101"/>
      <c r="AF15" s="37"/>
      <c r="AG15" s="101"/>
      <c r="AH15" s="37"/>
      <c r="AI15" s="101"/>
      <c r="AJ15" s="37"/>
      <c r="AK15" s="101"/>
      <c r="AL15" s="37"/>
      <c r="AM15" s="101"/>
      <c r="AN15" s="37"/>
      <c r="AO15" s="101"/>
      <c r="AP15" s="37"/>
      <c r="AQ15" s="101"/>
      <c r="AR15" s="37"/>
      <c r="AS15" s="101"/>
      <c r="AT15" s="37"/>
      <c r="AU15" s="101"/>
      <c r="AV15" s="37"/>
      <c r="AW15" s="101"/>
      <c r="AX15" s="37"/>
      <c r="AY15" s="101"/>
      <c r="AZ15" s="37"/>
      <c r="BA15" s="101"/>
      <c r="BB15" s="37"/>
      <c r="BC15" s="101"/>
      <c r="BD15" s="37"/>
      <c r="BE15" s="101"/>
      <c r="BF15" s="37"/>
      <c r="BG15" s="101"/>
      <c r="BH15" s="37">
        <v>0</v>
      </c>
      <c r="BI15" s="101">
        <f t="shared" si="11"/>
        <v>0</v>
      </c>
      <c r="BJ15" s="37">
        <f t="shared" si="1"/>
        <v>0</v>
      </c>
      <c r="BK15" s="37">
        <f t="shared" si="2"/>
        <v>0</v>
      </c>
      <c r="BL15" s="362" t="s">
        <v>224</v>
      </c>
      <c r="BN15" s="70"/>
      <c r="BO15" s="70"/>
      <c r="BP15" s="70">
        <f t="shared" si="14"/>
        <v>0</v>
      </c>
      <c r="BQ15" s="70"/>
      <c r="BR15" s="70">
        <f t="shared" si="12"/>
        <v>0</v>
      </c>
      <c r="BS15" s="70"/>
      <c r="BT15" s="70"/>
      <c r="BU15" s="75">
        <f t="shared" si="13"/>
        <v>0</v>
      </c>
      <c r="BV15" s="101">
        <f t="shared" si="0"/>
        <v>0</v>
      </c>
    </row>
    <row r="16" spans="1:74">
      <c r="A16" s="886"/>
      <c r="B16" s="30"/>
      <c r="C16" s="307" t="s">
        <v>449</v>
      </c>
      <c r="D16" s="362" t="s">
        <v>109</v>
      </c>
      <c r="E16" s="312" t="s">
        <v>482</v>
      </c>
      <c r="F16" s="37">
        <f t="shared" si="3"/>
        <v>18</v>
      </c>
      <c r="G16" s="177">
        <f t="shared" si="4"/>
        <v>1080000</v>
      </c>
      <c r="H16" s="177">
        <f t="shared" si="5"/>
        <v>216000</v>
      </c>
      <c r="I16" s="177">
        <f t="shared" si="6"/>
        <v>864000</v>
      </c>
      <c r="J16" s="177"/>
      <c r="K16" s="177"/>
      <c r="L16" s="177"/>
      <c r="M16" s="177"/>
      <c r="N16" s="177"/>
      <c r="O16" s="56"/>
      <c r="P16" s="56"/>
      <c r="Q16" s="56"/>
      <c r="R16" s="37"/>
      <c r="S16" s="37">
        <f t="shared" si="15"/>
        <v>18</v>
      </c>
      <c r="T16" s="37"/>
      <c r="U16" s="37"/>
      <c r="V16" s="101">
        <f t="shared" si="7"/>
        <v>0</v>
      </c>
      <c r="W16" s="101">
        <f t="shared" si="8"/>
        <v>1080000</v>
      </c>
      <c r="X16" s="101">
        <f t="shared" si="9"/>
        <v>0</v>
      </c>
      <c r="Y16" s="101">
        <f t="shared" si="10"/>
        <v>0</v>
      </c>
      <c r="Z16" s="37"/>
      <c r="AA16" s="101"/>
      <c r="AB16" s="37"/>
      <c r="AC16" s="101"/>
      <c r="AD16" s="37"/>
      <c r="AE16" s="101"/>
      <c r="AF16" s="37"/>
      <c r="AG16" s="101"/>
      <c r="AH16" s="37"/>
      <c r="AI16" s="101"/>
      <c r="AJ16" s="37"/>
      <c r="AK16" s="101"/>
      <c r="AL16" s="37"/>
      <c r="AM16" s="101"/>
      <c r="AN16" s="37"/>
      <c r="AO16" s="101"/>
      <c r="AP16" s="37"/>
      <c r="AQ16" s="101"/>
      <c r="AR16" s="37"/>
      <c r="AS16" s="101"/>
      <c r="AT16" s="37"/>
      <c r="AU16" s="101"/>
      <c r="AV16" s="37"/>
      <c r="AW16" s="101"/>
      <c r="AX16" s="37"/>
      <c r="AY16" s="101"/>
      <c r="AZ16" s="37"/>
      <c r="BA16" s="101"/>
      <c r="BB16" s="37"/>
      <c r="BC16" s="101"/>
      <c r="BD16" s="37"/>
      <c r="BE16" s="101"/>
      <c r="BF16" s="37"/>
      <c r="BG16" s="101"/>
      <c r="BH16" s="37">
        <v>18</v>
      </c>
      <c r="BI16" s="101">
        <f t="shared" si="11"/>
        <v>1080000</v>
      </c>
      <c r="BJ16" s="37">
        <f t="shared" si="1"/>
        <v>18</v>
      </c>
      <c r="BK16" s="37">
        <f t="shared" si="2"/>
        <v>1080000</v>
      </c>
      <c r="BL16" s="362" t="s">
        <v>224</v>
      </c>
      <c r="BN16" s="70"/>
      <c r="BO16" s="70"/>
      <c r="BP16" s="70">
        <f t="shared" si="14"/>
        <v>1080000</v>
      </c>
      <c r="BQ16" s="70"/>
      <c r="BR16" s="70">
        <f t="shared" si="12"/>
        <v>1080000</v>
      </c>
      <c r="BS16" s="70"/>
      <c r="BT16" s="70"/>
      <c r="BU16" s="75">
        <f t="shared" si="13"/>
        <v>0</v>
      </c>
      <c r="BV16" s="101">
        <f t="shared" si="0"/>
        <v>1080000</v>
      </c>
    </row>
    <row r="17" spans="1:74" s="90" customFormat="1">
      <c r="A17" s="886"/>
      <c r="B17" s="93"/>
      <c r="C17" s="323" t="s">
        <v>114</v>
      </c>
      <c r="D17" s="377" t="s">
        <v>109</v>
      </c>
      <c r="E17" s="466">
        <v>50000</v>
      </c>
      <c r="F17" s="37">
        <f t="shared" si="3"/>
        <v>1</v>
      </c>
      <c r="G17" s="177">
        <f t="shared" si="4"/>
        <v>50000</v>
      </c>
      <c r="H17" s="177">
        <f t="shared" si="5"/>
        <v>10000</v>
      </c>
      <c r="I17" s="177">
        <f t="shared" si="6"/>
        <v>40000</v>
      </c>
      <c r="J17" s="378"/>
      <c r="K17" s="378"/>
      <c r="L17" s="378"/>
      <c r="M17" s="378"/>
      <c r="N17" s="378"/>
      <c r="O17" s="378"/>
      <c r="P17" s="378"/>
      <c r="Q17" s="378"/>
      <c r="R17" s="93"/>
      <c r="S17" s="37">
        <f t="shared" si="15"/>
        <v>1</v>
      </c>
      <c r="T17" s="93"/>
      <c r="U17" s="93"/>
      <c r="V17" s="101">
        <f t="shared" si="7"/>
        <v>0</v>
      </c>
      <c r="W17" s="101">
        <f t="shared" si="8"/>
        <v>50000</v>
      </c>
      <c r="X17" s="101">
        <f t="shared" si="9"/>
        <v>0</v>
      </c>
      <c r="Y17" s="101">
        <f t="shared" si="10"/>
        <v>0</v>
      </c>
      <c r="Z17" s="93"/>
      <c r="AA17" s="378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>
        <v>1</v>
      </c>
      <c r="BI17" s="101">
        <f t="shared" si="11"/>
        <v>50000</v>
      </c>
      <c r="BJ17" s="37">
        <f t="shared" si="1"/>
        <v>1</v>
      </c>
      <c r="BK17" s="37">
        <f t="shared" si="2"/>
        <v>50000</v>
      </c>
      <c r="BL17" s="377" t="s">
        <v>224</v>
      </c>
      <c r="BN17" s="379"/>
      <c r="BO17" s="379"/>
      <c r="BP17" s="70">
        <f t="shared" si="14"/>
        <v>50000</v>
      </c>
      <c r="BQ17" s="379"/>
      <c r="BR17" s="70">
        <f t="shared" si="12"/>
        <v>50000</v>
      </c>
      <c r="BS17" s="379"/>
      <c r="BT17" s="379"/>
      <c r="BU17" s="75">
        <f t="shared" si="13"/>
        <v>0</v>
      </c>
      <c r="BV17" s="101">
        <f t="shared" si="0"/>
        <v>50000</v>
      </c>
    </row>
    <row r="18" spans="1:74">
      <c r="A18" s="886"/>
      <c r="B18" s="106"/>
      <c r="C18" s="307" t="s">
        <v>450</v>
      </c>
      <c r="D18" s="362" t="s">
        <v>109</v>
      </c>
      <c r="E18" s="504">
        <v>30000</v>
      </c>
      <c r="F18" s="37">
        <f t="shared" si="3"/>
        <v>8</v>
      </c>
      <c r="G18" s="177">
        <f t="shared" si="4"/>
        <v>240000</v>
      </c>
      <c r="H18" s="177">
        <f t="shared" si="5"/>
        <v>48000</v>
      </c>
      <c r="I18" s="177">
        <f t="shared" si="6"/>
        <v>192000</v>
      </c>
      <c r="J18" s="37"/>
      <c r="K18" s="37"/>
      <c r="L18" s="37"/>
      <c r="M18" s="37"/>
      <c r="N18" s="37"/>
      <c r="O18" s="37"/>
      <c r="P18" s="37"/>
      <c r="Q18" s="37"/>
      <c r="R18" s="37"/>
      <c r="S18" s="37">
        <f t="shared" si="15"/>
        <v>8</v>
      </c>
      <c r="T18" s="37"/>
      <c r="U18" s="37"/>
      <c r="V18" s="101">
        <f t="shared" si="7"/>
        <v>0</v>
      </c>
      <c r="W18" s="101">
        <f t="shared" si="8"/>
        <v>240000</v>
      </c>
      <c r="X18" s="101">
        <f t="shared" si="9"/>
        <v>0</v>
      </c>
      <c r="Y18" s="101">
        <f t="shared" si="10"/>
        <v>0</v>
      </c>
      <c r="Z18" s="37"/>
      <c r="AA18" s="37"/>
      <c r="AB18" s="37"/>
      <c r="AC18" s="101"/>
      <c r="AD18" s="37"/>
      <c r="AE18" s="101"/>
      <c r="AF18" s="37"/>
      <c r="AG18" s="101"/>
      <c r="AH18" s="37"/>
      <c r="AI18" s="101"/>
      <c r="AJ18" s="37"/>
      <c r="AK18" s="101"/>
      <c r="AL18" s="37"/>
      <c r="AM18" s="101"/>
      <c r="AN18" s="37"/>
      <c r="AO18" s="101"/>
      <c r="AP18" s="37"/>
      <c r="AQ18" s="101"/>
      <c r="AR18" s="37"/>
      <c r="AS18" s="101"/>
      <c r="AT18" s="37"/>
      <c r="AU18" s="101"/>
      <c r="AV18" s="37"/>
      <c r="AW18" s="101"/>
      <c r="AX18" s="37"/>
      <c r="AY18" s="101"/>
      <c r="AZ18" s="37"/>
      <c r="BA18" s="101"/>
      <c r="BB18" s="37"/>
      <c r="BC18" s="101"/>
      <c r="BD18" s="37"/>
      <c r="BE18" s="101"/>
      <c r="BF18" s="37"/>
      <c r="BG18" s="101"/>
      <c r="BH18" s="37">
        <v>8</v>
      </c>
      <c r="BI18" s="101">
        <f t="shared" si="11"/>
        <v>240000</v>
      </c>
      <c r="BJ18" s="37">
        <f t="shared" si="1"/>
        <v>8</v>
      </c>
      <c r="BK18" s="37">
        <f t="shared" si="2"/>
        <v>240000</v>
      </c>
      <c r="BL18" s="362" t="s">
        <v>224</v>
      </c>
      <c r="BN18" s="70"/>
      <c r="BO18" s="70"/>
      <c r="BP18" s="70">
        <f t="shared" si="14"/>
        <v>240000</v>
      </c>
      <c r="BQ18" s="70"/>
      <c r="BR18" s="70">
        <f t="shared" si="12"/>
        <v>240000</v>
      </c>
      <c r="BS18" s="70"/>
      <c r="BT18" s="70"/>
      <c r="BU18" s="75">
        <f t="shared" si="13"/>
        <v>0</v>
      </c>
      <c r="BV18" s="101">
        <f t="shared" si="0"/>
        <v>240000</v>
      </c>
    </row>
    <row r="19" spans="1:74">
      <c r="A19" s="886"/>
      <c r="B19" s="30"/>
      <c r="C19" s="307" t="s">
        <v>830</v>
      </c>
      <c r="D19" s="362" t="s">
        <v>109</v>
      </c>
      <c r="E19" s="504">
        <v>400000</v>
      </c>
      <c r="F19" s="37">
        <f t="shared" si="3"/>
        <v>1</v>
      </c>
      <c r="G19" s="177">
        <f t="shared" si="4"/>
        <v>400000</v>
      </c>
      <c r="H19" s="177">
        <f t="shared" si="5"/>
        <v>80000</v>
      </c>
      <c r="I19" s="177">
        <f t="shared" si="6"/>
        <v>320000</v>
      </c>
      <c r="J19" s="177"/>
      <c r="K19" s="177"/>
      <c r="L19" s="177"/>
      <c r="M19" s="177"/>
      <c r="N19" s="177"/>
      <c r="O19" s="56"/>
      <c r="P19" s="56"/>
      <c r="Q19" s="56"/>
      <c r="R19" s="37"/>
      <c r="S19" s="37">
        <f t="shared" si="15"/>
        <v>1</v>
      </c>
      <c r="T19" s="37"/>
      <c r="U19" s="37"/>
      <c r="V19" s="101">
        <f t="shared" si="7"/>
        <v>0</v>
      </c>
      <c r="W19" s="101">
        <f t="shared" si="8"/>
        <v>400000</v>
      </c>
      <c r="X19" s="101">
        <f t="shared" si="9"/>
        <v>0</v>
      </c>
      <c r="Y19" s="101">
        <f t="shared" si="10"/>
        <v>0</v>
      </c>
      <c r="Z19" s="37"/>
      <c r="AA19" s="101"/>
      <c r="AB19" s="37"/>
      <c r="AC19" s="101"/>
      <c r="AD19" s="37"/>
      <c r="AE19" s="101"/>
      <c r="AF19" s="37"/>
      <c r="AG19" s="101"/>
      <c r="AH19" s="37"/>
      <c r="AI19" s="101"/>
      <c r="AJ19" s="37"/>
      <c r="AK19" s="101"/>
      <c r="AL19" s="37"/>
      <c r="AM19" s="101"/>
      <c r="AN19" s="37"/>
      <c r="AO19" s="101"/>
      <c r="AP19" s="37"/>
      <c r="AQ19" s="101"/>
      <c r="AR19" s="37"/>
      <c r="AS19" s="101"/>
      <c r="AT19" s="37"/>
      <c r="AU19" s="101"/>
      <c r="AV19" s="37"/>
      <c r="AW19" s="101"/>
      <c r="AX19" s="37"/>
      <c r="AY19" s="101"/>
      <c r="AZ19" s="37"/>
      <c r="BA19" s="101"/>
      <c r="BB19" s="37"/>
      <c r="BC19" s="101"/>
      <c r="BD19" s="37"/>
      <c r="BE19" s="101"/>
      <c r="BF19" s="37"/>
      <c r="BG19" s="101"/>
      <c r="BH19" s="37">
        <v>1</v>
      </c>
      <c r="BI19" s="101">
        <f t="shared" si="11"/>
        <v>400000</v>
      </c>
      <c r="BJ19" s="37">
        <f t="shared" si="1"/>
        <v>1</v>
      </c>
      <c r="BK19" s="37">
        <f t="shared" si="2"/>
        <v>400000</v>
      </c>
      <c r="BL19" s="362" t="s">
        <v>224</v>
      </c>
      <c r="BN19" s="70"/>
      <c r="BO19" s="70"/>
      <c r="BP19" s="70">
        <f t="shared" si="14"/>
        <v>400000</v>
      </c>
      <c r="BQ19" s="70"/>
      <c r="BR19" s="70">
        <f t="shared" si="12"/>
        <v>400000</v>
      </c>
      <c r="BS19" s="70"/>
      <c r="BT19" s="70"/>
      <c r="BU19" s="75">
        <f t="shared" si="13"/>
        <v>0</v>
      </c>
      <c r="BV19" s="101">
        <f t="shared" si="0"/>
        <v>400000</v>
      </c>
    </row>
    <row r="20" spans="1:74">
      <c r="A20" s="886"/>
      <c r="B20" s="30"/>
      <c r="C20" s="307" t="s">
        <v>111</v>
      </c>
      <c r="D20" s="362" t="s">
        <v>109</v>
      </c>
      <c r="E20" s="504">
        <v>50000</v>
      </c>
      <c r="F20" s="37">
        <f t="shared" si="3"/>
        <v>5</v>
      </c>
      <c r="G20" s="177">
        <f t="shared" si="4"/>
        <v>250000</v>
      </c>
      <c r="H20" s="177">
        <f t="shared" si="5"/>
        <v>50000</v>
      </c>
      <c r="I20" s="177">
        <f t="shared" si="6"/>
        <v>200000</v>
      </c>
      <c r="J20" s="177"/>
      <c r="K20" s="177"/>
      <c r="L20" s="177"/>
      <c r="M20" s="177"/>
      <c r="N20" s="177"/>
      <c r="O20" s="56"/>
      <c r="P20" s="56"/>
      <c r="Q20" s="56"/>
      <c r="R20" s="37"/>
      <c r="S20" s="37">
        <f t="shared" si="15"/>
        <v>5</v>
      </c>
      <c r="T20" s="37"/>
      <c r="U20" s="37"/>
      <c r="V20" s="101">
        <f t="shared" si="7"/>
        <v>0</v>
      </c>
      <c r="W20" s="101">
        <f t="shared" si="8"/>
        <v>250000</v>
      </c>
      <c r="X20" s="101">
        <f t="shared" si="9"/>
        <v>0</v>
      </c>
      <c r="Y20" s="101">
        <f t="shared" si="10"/>
        <v>0</v>
      </c>
      <c r="Z20" s="37"/>
      <c r="AA20" s="101"/>
      <c r="AB20" s="37"/>
      <c r="AC20" s="101"/>
      <c r="AD20" s="37"/>
      <c r="AE20" s="101"/>
      <c r="AF20" s="37"/>
      <c r="AG20" s="101"/>
      <c r="AH20" s="37"/>
      <c r="AI20" s="101"/>
      <c r="AJ20" s="37"/>
      <c r="AK20" s="101"/>
      <c r="AL20" s="37"/>
      <c r="AM20" s="101"/>
      <c r="AN20" s="37"/>
      <c r="AO20" s="101"/>
      <c r="AP20" s="37"/>
      <c r="AQ20" s="101"/>
      <c r="AR20" s="37"/>
      <c r="AS20" s="101"/>
      <c r="AT20" s="37"/>
      <c r="AU20" s="101"/>
      <c r="AV20" s="37"/>
      <c r="AW20" s="101"/>
      <c r="AX20" s="37"/>
      <c r="AY20" s="101"/>
      <c r="AZ20" s="37"/>
      <c r="BA20" s="101"/>
      <c r="BB20" s="37"/>
      <c r="BC20" s="101"/>
      <c r="BD20" s="37"/>
      <c r="BE20" s="101"/>
      <c r="BF20" s="37"/>
      <c r="BG20" s="101"/>
      <c r="BH20" s="37">
        <v>5</v>
      </c>
      <c r="BI20" s="101">
        <f t="shared" si="11"/>
        <v>250000</v>
      </c>
      <c r="BJ20" s="37">
        <f t="shared" si="1"/>
        <v>5</v>
      </c>
      <c r="BK20" s="37">
        <f t="shared" si="2"/>
        <v>250000</v>
      </c>
      <c r="BL20" s="362" t="s">
        <v>224</v>
      </c>
      <c r="BN20" s="70"/>
      <c r="BO20" s="70"/>
      <c r="BP20" s="70">
        <f t="shared" si="14"/>
        <v>250000</v>
      </c>
      <c r="BQ20" s="70"/>
      <c r="BR20" s="70">
        <f t="shared" si="12"/>
        <v>250000</v>
      </c>
      <c r="BS20" s="70"/>
      <c r="BT20" s="70"/>
      <c r="BU20" s="75">
        <f t="shared" si="13"/>
        <v>0</v>
      </c>
      <c r="BV20" s="101">
        <f t="shared" si="0"/>
        <v>250000</v>
      </c>
    </row>
    <row r="21" spans="1:74">
      <c r="A21" s="886"/>
      <c r="B21" s="30"/>
      <c r="C21" s="307" t="s">
        <v>720</v>
      </c>
      <c r="D21" s="362" t="s">
        <v>109</v>
      </c>
      <c r="E21" s="312">
        <v>2500</v>
      </c>
      <c r="F21" s="37">
        <f t="shared" si="3"/>
        <v>8</v>
      </c>
      <c r="G21" s="177">
        <f t="shared" si="4"/>
        <v>20000</v>
      </c>
      <c r="H21" s="177">
        <f t="shared" si="5"/>
        <v>4000</v>
      </c>
      <c r="I21" s="177">
        <f t="shared" si="6"/>
        <v>16000</v>
      </c>
      <c r="J21" s="177"/>
      <c r="K21" s="177"/>
      <c r="L21" s="177"/>
      <c r="M21" s="177"/>
      <c r="N21" s="177"/>
      <c r="O21" s="56"/>
      <c r="P21" s="56"/>
      <c r="Q21" s="56"/>
      <c r="R21" s="37"/>
      <c r="S21" s="37">
        <f t="shared" si="15"/>
        <v>8</v>
      </c>
      <c r="T21" s="37"/>
      <c r="U21" s="37"/>
      <c r="V21" s="101">
        <f t="shared" si="7"/>
        <v>0</v>
      </c>
      <c r="W21" s="101">
        <f t="shared" si="8"/>
        <v>20000</v>
      </c>
      <c r="X21" s="101">
        <f t="shared" si="9"/>
        <v>0</v>
      </c>
      <c r="Y21" s="101">
        <f t="shared" si="10"/>
        <v>0</v>
      </c>
      <c r="Z21" s="37"/>
      <c r="AA21" s="101"/>
      <c r="AB21" s="37"/>
      <c r="AC21" s="101"/>
      <c r="AD21" s="37"/>
      <c r="AE21" s="101"/>
      <c r="AF21" s="37"/>
      <c r="AG21" s="101"/>
      <c r="AH21" s="37"/>
      <c r="AI21" s="101"/>
      <c r="AJ21" s="37"/>
      <c r="AK21" s="101"/>
      <c r="AL21" s="37"/>
      <c r="AM21" s="101"/>
      <c r="AN21" s="37"/>
      <c r="AO21" s="101"/>
      <c r="AP21" s="37"/>
      <c r="AQ21" s="101"/>
      <c r="AR21" s="37"/>
      <c r="AS21" s="101"/>
      <c r="AT21" s="37"/>
      <c r="AU21" s="101"/>
      <c r="AV21" s="37"/>
      <c r="AW21" s="101"/>
      <c r="AX21" s="37"/>
      <c r="AY21" s="101"/>
      <c r="AZ21" s="37"/>
      <c r="BA21" s="101"/>
      <c r="BB21" s="37"/>
      <c r="BC21" s="101"/>
      <c r="BD21" s="37"/>
      <c r="BE21" s="101"/>
      <c r="BF21" s="37"/>
      <c r="BG21" s="101"/>
      <c r="BH21" s="37">
        <v>8</v>
      </c>
      <c r="BI21" s="101">
        <f t="shared" si="11"/>
        <v>20000</v>
      </c>
      <c r="BJ21" s="37">
        <f t="shared" si="1"/>
        <v>8</v>
      </c>
      <c r="BK21" s="37">
        <f t="shared" si="2"/>
        <v>20000</v>
      </c>
      <c r="BL21" s="362" t="s">
        <v>224</v>
      </c>
      <c r="BN21" s="70"/>
      <c r="BO21" s="70"/>
      <c r="BP21" s="70">
        <f t="shared" si="14"/>
        <v>20000</v>
      </c>
      <c r="BQ21" s="70"/>
      <c r="BR21" s="70">
        <f t="shared" si="12"/>
        <v>20000</v>
      </c>
      <c r="BS21" s="70"/>
      <c r="BT21" s="70"/>
      <c r="BU21" s="75">
        <f t="shared" si="13"/>
        <v>0</v>
      </c>
      <c r="BV21" s="101">
        <f t="shared" si="0"/>
        <v>20000</v>
      </c>
    </row>
    <row r="22" spans="1:74">
      <c r="A22" s="886"/>
      <c r="B22" s="30"/>
      <c r="C22" s="307" t="s">
        <v>809</v>
      </c>
      <c r="D22" s="362" t="s">
        <v>16</v>
      </c>
      <c r="E22" s="504">
        <v>1000000</v>
      </c>
      <c r="F22" s="37">
        <f t="shared" si="3"/>
        <v>1</v>
      </c>
      <c r="G22" s="177">
        <f t="shared" si="4"/>
        <v>1000000</v>
      </c>
      <c r="H22" s="177">
        <f t="shared" si="5"/>
        <v>200000</v>
      </c>
      <c r="I22" s="177">
        <f t="shared" si="6"/>
        <v>800000</v>
      </c>
      <c r="J22" s="177"/>
      <c r="K22" s="177"/>
      <c r="L22" s="177"/>
      <c r="M22" s="177"/>
      <c r="N22" s="177"/>
      <c r="O22" s="56"/>
      <c r="P22" s="56"/>
      <c r="Q22" s="56"/>
      <c r="R22" s="37"/>
      <c r="S22" s="37">
        <f t="shared" si="15"/>
        <v>1</v>
      </c>
      <c r="T22" s="37"/>
      <c r="U22" s="37"/>
      <c r="V22" s="101">
        <f t="shared" si="7"/>
        <v>0</v>
      </c>
      <c r="W22" s="101">
        <f t="shared" si="8"/>
        <v>1000000</v>
      </c>
      <c r="X22" s="101">
        <f t="shared" si="9"/>
        <v>0</v>
      </c>
      <c r="Y22" s="101">
        <f t="shared" si="10"/>
        <v>0</v>
      </c>
      <c r="Z22" s="37"/>
      <c r="AA22" s="101"/>
      <c r="AB22" s="37"/>
      <c r="AC22" s="101"/>
      <c r="AD22" s="37"/>
      <c r="AE22" s="101"/>
      <c r="AF22" s="37"/>
      <c r="AG22" s="101"/>
      <c r="AH22" s="37"/>
      <c r="AI22" s="101"/>
      <c r="AJ22" s="37"/>
      <c r="AK22" s="101"/>
      <c r="AL22" s="37"/>
      <c r="AM22" s="101"/>
      <c r="AN22" s="37"/>
      <c r="AO22" s="101"/>
      <c r="AP22" s="37"/>
      <c r="AQ22" s="101"/>
      <c r="AR22" s="37"/>
      <c r="AS22" s="101"/>
      <c r="AT22" s="37"/>
      <c r="AU22" s="101"/>
      <c r="AV22" s="37"/>
      <c r="AW22" s="101"/>
      <c r="AX22" s="37"/>
      <c r="AY22" s="101"/>
      <c r="AZ22" s="37"/>
      <c r="BA22" s="101"/>
      <c r="BB22" s="37"/>
      <c r="BC22" s="101"/>
      <c r="BD22" s="37"/>
      <c r="BE22" s="101"/>
      <c r="BF22" s="37"/>
      <c r="BG22" s="101"/>
      <c r="BH22" s="37">
        <v>1</v>
      </c>
      <c r="BI22" s="101">
        <f t="shared" si="11"/>
        <v>1000000</v>
      </c>
      <c r="BJ22" s="37">
        <f t="shared" si="1"/>
        <v>1</v>
      </c>
      <c r="BK22" s="37">
        <f t="shared" si="2"/>
        <v>1000000</v>
      </c>
      <c r="BL22" s="362" t="s">
        <v>224</v>
      </c>
      <c r="BN22" s="70"/>
      <c r="BO22" s="70"/>
      <c r="BP22" s="70">
        <f t="shared" si="14"/>
        <v>1000000</v>
      </c>
      <c r="BQ22" s="70"/>
      <c r="BR22" s="70">
        <f t="shared" si="12"/>
        <v>1000000</v>
      </c>
      <c r="BS22" s="70"/>
      <c r="BT22" s="70"/>
      <c r="BU22" s="75">
        <f t="shared" si="13"/>
        <v>0</v>
      </c>
      <c r="BV22" s="101">
        <f t="shared" si="0"/>
        <v>1000000</v>
      </c>
    </row>
    <row r="23" spans="1:74">
      <c r="A23" s="886"/>
      <c r="B23" s="30"/>
      <c r="C23" s="307" t="s">
        <v>113</v>
      </c>
      <c r="D23" s="362" t="s">
        <v>109</v>
      </c>
      <c r="E23" s="312" t="s">
        <v>479</v>
      </c>
      <c r="F23" s="37">
        <f t="shared" si="3"/>
        <v>1</v>
      </c>
      <c r="G23" s="177">
        <f t="shared" si="4"/>
        <v>150000</v>
      </c>
      <c r="H23" s="177">
        <f>G23*0.2</f>
        <v>30000</v>
      </c>
      <c r="I23" s="177">
        <f>G23*0.8</f>
        <v>120000</v>
      </c>
      <c r="J23" s="177"/>
      <c r="K23" s="177"/>
      <c r="L23" s="177"/>
      <c r="M23" s="177"/>
      <c r="N23" s="177"/>
      <c r="O23" s="56"/>
      <c r="P23" s="56"/>
      <c r="Q23" s="56"/>
      <c r="R23" s="37"/>
      <c r="S23" s="37">
        <f t="shared" si="15"/>
        <v>1</v>
      </c>
      <c r="T23" s="37"/>
      <c r="U23" s="37"/>
      <c r="V23" s="101">
        <f t="shared" si="7"/>
        <v>0</v>
      </c>
      <c r="W23" s="101">
        <f t="shared" si="8"/>
        <v>150000</v>
      </c>
      <c r="X23" s="101">
        <f t="shared" si="9"/>
        <v>0</v>
      </c>
      <c r="Y23" s="101">
        <f t="shared" si="10"/>
        <v>0</v>
      </c>
      <c r="Z23" s="37"/>
      <c r="AA23" s="101"/>
      <c r="AB23" s="37"/>
      <c r="AC23" s="101"/>
      <c r="AD23" s="37"/>
      <c r="AE23" s="101"/>
      <c r="AF23" s="37"/>
      <c r="AG23" s="101"/>
      <c r="AH23" s="37"/>
      <c r="AI23" s="101"/>
      <c r="AJ23" s="37"/>
      <c r="AK23" s="101"/>
      <c r="AL23" s="37"/>
      <c r="AM23" s="101"/>
      <c r="AN23" s="37"/>
      <c r="AO23" s="101"/>
      <c r="AP23" s="37"/>
      <c r="AQ23" s="101"/>
      <c r="AR23" s="37"/>
      <c r="AS23" s="101"/>
      <c r="AT23" s="37"/>
      <c r="AU23" s="101"/>
      <c r="AV23" s="37"/>
      <c r="AW23" s="101"/>
      <c r="AX23" s="37"/>
      <c r="AY23" s="101"/>
      <c r="AZ23" s="37"/>
      <c r="BA23" s="101"/>
      <c r="BB23" s="37"/>
      <c r="BC23" s="101"/>
      <c r="BD23" s="37"/>
      <c r="BE23" s="101"/>
      <c r="BF23" s="37"/>
      <c r="BG23" s="101"/>
      <c r="BH23" s="37">
        <v>1</v>
      </c>
      <c r="BI23" s="101">
        <f t="shared" si="11"/>
        <v>150000</v>
      </c>
      <c r="BJ23" s="37">
        <f t="shared" si="1"/>
        <v>1</v>
      </c>
      <c r="BK23" s="37">
        <f t="shared" si="2"/>
        <v>150000</v>
      </c>
      <c r="BL23" s="362" t="s">
        <v>224</v>
      </c>
      <c r="BN23" s="70"/>
      <c r="BO23" s="70"/>
      <c r="BP23" s="70">
        <f t="shared" si="14"/>
        <v>150000</v>
      </c>
      <c r="BQ23" s="70"/>
      <c r="BR23" s="70">
        <f t="shared" si="12"/>
        <v>150000</v>
      </c>
      <c r="BS23" s="70"/>
      <c r="BT23" s="70"/>
      <c r="BU23" s="75">
        <f t="shared" si="13"/>
        <v>0</v>
      </c>
      <c r="BV23" s="101">
        <f t="shared" si="0"/>
        <v>150000</v>
      </c>
    </row>
    <row r="24" spans="1:74" s="240" customFormat="1">
      <c r="A24" s="886"/>
      <c r="B24" s="363"/>
      <c r="C24" s="336" t="s">
        <v>513</v>
      </c>
      <c r="D24" s="439" t="s">
        <v>121</v>
      </c>
      <c r="E24" s="440" t="s">
        <v>121</v>
      </c>
      <c r="F24" s="429">
        <f>SUM(F12:F23)</f>
        <v>57</v>
      </c>
      <c r="G24" s="429">
        <f t="shared" ref="G24:BK24" si="16">SUM(G12:G23)</f>
        <v>5680000</v>
      </c>
      <c r="H24" s="429">
        <f t="shared" si="16"/>
        <v>1136000</v>
      </c>
      <c r="I24" s="429">
        <f t="shared" si="16"/>
        <v>4544000</v>
      </c>
      <c r="J24" s="429">
        <f t="shared" si="16"/>
        <v>0</v>
      </c>
      <c r="K24" s="429">
        <f t="shared" si="16"/>
        <v>0</v>
      </c>
      <c r="L24" s="429">
        <f t="shared" si="16"/>
        <v>0</v>
      </c>
      <c r="M24" s="429">
        <f t="shared" si="16"/>
        <v>0</v>
      </c>
      <c r="N24" s="429">
        <f t="shared" si="16"/>
        <v>0</v>
      </c>
      <c r="O24" s="429">
        <f t="shared" si="16"/>
        <v>0</v>
      </c>
      <c r="P24" s="429">
        <f t="shared" si="16"/>
        <v>0</v>
      </c>
      <c r="Q24" s="429">
        <f t="shared" si="16"/>
        <v>0</v>
      </c>
      <c r="R24" s="429">
        <f t="shared" si="16"/>
        <v>3</v>
      </c>
      <c r="S24" s="429">
        <f t="shared" si="16"/>
        <v>48</v>
      </c>
      <c r="T24" s="429">
        <f t="shared" si="16"/>
        <v>3</v>
      </c>
      <c r="U24" s="429">
        <f t="shared" si="16"/>
        <v>3</v>
      </c>
      <c r="V24" s="429">
        <f t="shared" si="16"/>
        <v>600000</v>
      </c>
      <c r="W24" s="429">
        <f t="shared" si="16"/>
        <v>3880000</v>
      </c>
      <c r="X24" s="429">
        <f t="shared" si="16"/>
        <v>600000</v>
      </c>
      <c r="Y24" s="429">
        <f t="shared" si="16"/>
        <v>600000</v>
      </c>
      <c r="Z24" s="429">
        <f t="shared" si="16"/>
        <v>0</v>
      </c>
      <c r="AA24" s="429">
        <f t="shared" si="16"/>
        <v>0</v>
      </c>
      <c r="AB24" s="429">
        <f t="shared" si="16"/>
        <v>0</v>
      </c>
      <c r="AC24" s="429">
        <f t="shared" si="16"/>
        <v>0</v>
      </c>
      <c r="AD24" s="429">
        <f t="shared" si="16"/>
        <v>0</v>
      </c>
      <c r="AE24" s="429">
        <f t="shared" si="16"/>
        <v>0</v>
      </c>
      <c r="AF24" s="429">
        <f t="shared" si="16"/>
        <v>0</v>
      </c>
      <c r="AG24" s="429">
        <f t="shared" si="16"/>
        <v>0</v>
      </c>
      <c r="AH24" s="429">
        <f t="shared" si="16"/>
        <v>0</v>
      </c>
      <c r="AI24" s="429">
        <f t="shared" si="16"/>
        <v>0</v>
      </c>
      <c r="AJ24" s="429">
        <f t="shared" si="16"/>
        <v>0</v>
      </c>
      <c r="AK24" s="429">
        <f t="shared" si="16"/>
        <v>0</v>
      </c>
      <c r="AL24" s="429">
        <f t="shared" si="16"/>
        <v>0</v>
      </c>
      <c r="AM24" s="429">
        <f t="shared" si="16"/>
        <v>0</v>
      </c>
      <c r="AN24" s="429">
        <f t="shared" si="16"/>
        <v>0</v>
      </c>
      <c r="AO24" s="429">
        <f t="shared" si="16"/>
        <v>0</v>
      </c>
      <c r="AP24" s="429">
        <f t="shared" si="16"/>
        <v>0</v>
      </c>
      <c r="AQ24" s="429">
        <f t="shared" si="16"/>
        <v>0</v>
      </c>
      <c r="AR24" s="429">
        <f t="shared" si="16"/>
        <v>0</v>
      </c>
      <c r="AS24" s="429">
        <f t="shared" si="16"/>
        <v>0</v>
      </c>
      <c r="AT24" s="429">
        <f t="shared" si="16"/>
        <v>0</v>
      </c>
      <c r="AU24" s="429">
        <f t="shared" si="16"/>
        <v>0</v>
      </c>
      <c r="AV24" s="429">
        <f t="shared" si="16"/>
        <v>0</v>
      </c>
      <c r="AW24" s="429">
        <f t="shared" si="16"/>
        <v>0</v>
      </c>
      <c r="AX24" s="429">
        <f t="shared" si="16"/>
        <v>0</v>
      </c>
      <c r="AY24" s="429">
        <f t="shared" si="16"/>
        <v>0</v>
      </c>
      <c r="AZ24" s="429">
        <f t="shared" si="16"/>
        <v>0</v>
      </c>
      <c r="BA24" s="429">
        <f t="shared" si="16"/>
        <v>0</v>
      </c>
      <c r="BB24" s="429">
        <f t="shared" si="16"/>
        <v>0</v>
      </c>
      <c r="BC24" s="429">
        <f t="shared" si="16"/>
        <v>0</v>
      </c>
      <c r="BD24" s="429">
        <f t="shared" si="16"/>
        <v>0</v>
      </c>
      <c r="BE24" s="429">
        <f t="shared" si="16"/>
        <v>0</v>
      </c>
      <c r="BF24" s="429">
        <f t="shared" si="16"/>
        <v>0</v>
      </c>
      <c r="BG24" s="429">
        <f t="shared" si="16"/>
        <v>0</v>
      </c>
      <c r="BH24" s="429">
        <f t="shared" si="16"/>
        <v>57</v>
      </c>
      <c r="BI24" s="429">
        <f t="shared" si="16"/>
        <v>5680000</v>
      </c>
      <c r="BJ24" s="429">
        <f t="shared" si="16"/>
        <v>57</v>
      </c>
      <c r="BK24" s="429">
        <f t="shared" si="16"/>
        <v>5680000</v>
      </c>
      <c r="BL24" s="439" t="s">
        <v>121</v>
      </c>
      <c r="BN24" s="344"/>
      <c r="BO24" s="344"/>
      <c r="BP24" s="344">
        <f t="shared" ref="BP24:BP32" si="17">G24</f>
        <v>5680000</v>
      </c>
      <c r="BQ24" s="344"/>
      <c r="BR24" s="344">
        <f t="shared" ref="BR24:BR46" si="18">BN24+BO24+BP24+BQ24</f>
        <v>5680000</v>
      </c>
      <c r="BS24" s="344"/>
      <c r="BT24" s="344"/>
      <c r="BU24" s="476">
        <f t="shared" ref="BU24:BU46" si="19">BS24+BT24</f>
        <v>0</v>
      </c>
      <c r="BV24" s="101">
        <f t="shared" si="0"/>
        <v>5680000</v>
      </c>
    </row>
    <row r="25" spans="1:74">
      <c r="A25" s="886"/>
      <c r="B25" s="30"/>
      <c r="C25" s="309" t="s">
        <v>514</v>
      </c>
      <c r="D25" s="362"/>
      <c r="E25" s="362"/>
      <c r="F25" s="37"/>
      <c r="G25" s="177"/>
      <c r="H25" s="177"/>
      <c r="I25" s="177"/>
      <c r="J25" s="177"/>
      <c r="K25" s="177"/>
      <c r="L25" s="177"/>
      <c r="M25" s="177"/>
      <c r="N25" s="177"/>
      <c r="O25" s="56"/>
      <c r="P25" s="56"/>
      <c r="Q25" s="56"/>
      <c r="R25" s="37"/>
      <c r="S25" s="37"/>
      <c r="T25" s="37"/>
      <c r="U25" s="37"/>
      <c r="V25" s="101"/>
      <c r="W25" s="101"/>
      <c r="X25" s="101"/>
      <c r="Y25" s="101"/>
      <c r="Z25" s="37"/>
      <c r="AA25" s="101"/>
      <c r="AB25" s="37"/>
      <c r="AC25" s="101"/>
      <c r="AD25" s="37"/>
      <c r="AE25" s="101"/>
      <c r="AF25" s="37"/>
      <c r="AG25" s="101"/>
      <c r="AH25" s="37"/>
      <c r="AI25" s="101"/>
      <c r="AJ25" s="37"/>
      <c r="AK25" s="101"/>
      <c r="AL25" s="37"/>
      <c r="AM25" s="101"/>
      <c r="AN25" s="37"/>
      <c r="AO25" s="101"/>
      <c r="AP25" s="37"/>
      <c r="AQ25" s="101"/>
      <c r="AR25" s="37"/>
      <c r="AS25" s="101"/>
      <c r="AT25" s="37"/>
      <c r="AU25" s="101"/>
      <c r="AV25" s="37"/>
      <c r="AW25" s="101"/>
      <c r="AX25" s="37"/>
      <c r="AY25" s="101"/>
      <c r="AZ25" s="37"/>
      <c r="BA25" s="101"/>
      <c r="BB25" s="37"/>
      <c r="BC25" s="101"/>
      <c r="BD25" s="37"/>
      <c r="BE25" s="101"/>
      <c r="BF25" s="37"/>
      <c r="BG25" s="101"/>
      <c r="BH25" s="37"/>
      <c r="BI25" s="101">
        <f t="shared" si="11"/>
        <v>0</v>
      </c>
      <c r="BJ25" s="37">
        <f t="shared" ref="BJ25:BJ85" si="20">BH25</f>
        <v>0</v>
      </c>
      <c r="BK25" s="56">
        <f t="shared" ref="BK25:BK85" si="21">BI25</f>
        <v>0</v>
      </c>
      <c r="BL25" s="362"/>
      <c r="BN25" s="70"/>
      <c r="BO25" s="70"/>
      <c r="BP25" s="70">
        <f t="shared" si="17"/>
        <v>0</v>
      </c>
      <c r="BQ25" s="70"/>
      <c r="BR25" s="70">
        <f t="shared" si="18"/>
        <v>0</v>
      </c>
      <c r="BS25" s="70"/>
      <c r="BT25" s="70"/>
      <c r="BU25" s="75">
        <f t="shared" si="19"/>
        <v>0</v>
      </c>
      <c r="BV25" s="101">
        <f t="shared" si="0"/>
        <v>0</v>
      </c>
    </row>
    <row r="26" spans="1:74">
      <c r="A26" s="886"/>
      <c r="B26" s="30"/>
      <c r="C26" s="309" t="s">
        <v>115</v>
      </c>
      <c r="D26" s="362"/>
      <c r="E26" s="362"/>
      <c r="F26" s="37"/>
      <c r="G26" s="177"/>
      <c r="H26" s="177"/>
      <c r="I26" s="177"/>
      <c r="J26" s="177"/>
      <c r="K26" s="177"/>
      <c r="L26" s="177"/>
      <c r="M26" s="177"/>
      <c r="N26" s="177"/>
      <c r="O26" s="56"/>
      <c r="P26" s="56"/>
      <c r="Q26" s="56"/>
      <c r="R26" s="37"/>
      <c r="S26" s="37"/>
      <c r="T26" s="37"/>
      <c r="U26" s="37"/>
      <c r="V26" s="101"/>
      <c r="W26" s="101"/>
      <c r="X26" s="101"/>
      <c r="Y26" s="101"/>
      <c r="Z26" s="37"/>
      <c r="AA26" s="101"/>
      <c r="AB26" s="37"/>
      <c r="AC26" s="101"/>
      <c r="AD26" s="37"/>
      <c r="AE26" s="101"/>
      <c r="AF26" s="37"/>
      <c r="AG26" s="101"/>
      <c r="AH26" s="37"/>
      <c r="AI26" s="101"/>
      <c r="AJ26" s="37"/>
      <c r="AK26" s="101"/>
      <c r="AL26" s="37"/>
      <c r="AM26" s="101"/>
      <c r="AN26" s="37"/>
      <c r="AO26" s="101"/>
      <c r="AP26" s="37"/>
      <c r="AQ26" s="101"/>
      <c r="AR26" s="37"/>
      <c r="AS26" s="101"/>
      <c r="AT26" s="37"/>
      <c r="AU26" s="101"/>
      <c r="AV26" s="37"/>
      <c r="AW26" s="101"/>
      <c r="AX26" s="37"/>
      <c r="AY26" s="101"/>
      <c r="AZ26" s="37"/>
      <c r="BA26" s="101"/>
      <c r="BB26" s="37"/>
      <c r="BC26" s="101"/>
      <c r="BD26" s="37"/>
      <c r="BE26" s="101"/>
      <c r="BF26" s="37"/>
      <c r="BG26" s="101"/>
      <c r="BH26" s="37"/>
      <c r="BI26" s="101">
        <f t="shared" si="11"/>
        <v>0</v>
      </c>
      <c r="BJ26" s="37">
        <f t="shared" si="20"/>
        <v>0</v>
      </c>
      <c r="BK26" s="56">
        <f t="shared" si="21"/>
        <v>0</v>
      </c>
      <c r="BL26" s="362"/>
      <c r="BN26" s="70"/>
      <c r="BO26" s="70"/>
      <c r="BP26" s="70">
        <f t="shared" si="17"/>
        <v>0</v>
      </c>
      <c r="BQ26" s="70"/>
      <c r="BR26" s="70">
        <f t="shared" si="18"/>
        <v>0</v>
      </c>
      <c r="BS26" s="70"/>
      <c r="BT26" s="70"/>
      <c r="BU26" s="75">
        <f t="shared" si="19"/>
        <v>0</v>
      </c>
      <c r="BV26" s="101">
        <f t="shared" si="0"/>
        <v>0</v>
      </c>
    </row>
    <row r="27" spans="1:74">
      <c r="A27" s="886"/>
      <c r="B27" s="30"/>
      <c r="C27" s="307" t="s">
        <v>515</v>
      </c>
      <c r="D27" s="362" t="s">
        <v>16</v>
      </c>
      <c r="E27" s="312" t="s">
        <v>538</v>
      </c>
      <c r="F27" s="37">
        <f>BJ27</f>
        <v>0</v>
      </c>
      <c r="G27" s="177">
        <f>F27*E27</f>
        <v>0</v>
      </c>
      <c r="H27" s="177">
        <f>G27*0.2</f>
        <v>0</v>
      </c>
      <c r="I27" s="177">
        <f>G27*0.8</f>
        <v>0</v>
      </c>
      <c r="J27" s="177"/>
      <c r="K27" s="177"/>
      <c r="L27" s="177"/>
      <c r="M27" s="177"/>
      <c r="N27" s="177"/>
      <c r="O27" s="56"/>
      <c r="P27" s="56"/>
      <c r="Q27" s="56"/>
      <c r="R27" s="37"/>
      <c r="S27" s="37">
        <f>F27</f>
        <v>0</v>
      </c>
      <c r="T27" s="37"/>
      <c r="U27" s="37"/>
      <c r="V27" s="101"/>
      <c r="W27" s="101">
        <f>S27*E27</f>
        <v>0</v>
      </c>
      <c r="X27" s="101"/>
      <c r="Y27" s="101"/>
      <c r="Z27" s="37"/>
      <c r="AA27" s="101"/>
      <c r="AB27" s="37"/>
      <c r="AC27" s="101"/>
      <c r="AD27" s="37"/>
      <c r="AE27" s="101"/>
      <c r="AF27" s="37"/>
      <c r="AG27" s="101"/>
      <c r="AH27" s="37"/>
      <c r="AI27" s="101"/>
      <c r="AJ27" s="37"/>
      <c r="AK27" s="101"/>
      <c r="AL27" s="37"/>
      <c r="AM27" s="101"/>
      <c r="AN27" s="37"/>
      <c r="AO27" s="101"/>
      <c r="AP27" s="37"/>
      <c r="AQ27" s="101"/>
      <c r="AR27" s="37"/>
      <c r="AS27" s="101"/>
      <c r="AT27" s="37"/>
      <c r="AU27" s="101"/>
      <c r="AV27" s="37"/>
      <c r="AW27" s="101"/>
      <c r="AX27" s="37"/>
      <c r="AY27" s="101"/>
      <c r="AZ27" s="37"/>
      <c r="BA27" s="101"/>
      <c r="BB27" s="37"/>
      <c r="BC27" s="101"/>
      <c r="BD27" s="37"/>
      <c r="BE27" s="101"/>
      <c r="BF27" s="37"/>
      <c r="BG27" s="101"/>
      <c r="BH27" s="37">
        <v>0</v>
      </c>
      <c r="BI27" s="101">
        <f t="shared" si="11"/>
        <v>0</v>
      </c>
      <c r="BJ27" s="37">
        <f t="shared" si="20"/>
        <v>0</v>
      </c>
      <c r="BK27" s="56">
        <f t="shared" si="21"/>
        <v>0</v>
      </c>
      <c r="BL27" s="362" t="s">
        <v>224</v>
      </c>
      <c r="BN27" s="70"/>
      <c r="BO27" s="70"/>
      <c r="BP27" s="70">
        <f t="shared" si="17"/>
        <v>0</v>
      </c>
      <c r="BQ27" s="70"/>
      <c r="BR27" s="70">
        <f t="shared" si="18"/>
        <v>0</v>
      </c>
      <c r="BS27" s="70"/>
      <c r="BT27" s="70"/>
      <c r="BU27" s="75">
        <f t="shared" si="19"/>
        <v>0</v>
      </c>
      <c r="BV27" s="101">
        <f t="shared" si="0"/>
        <v>0</v>
      </c>
    </row>
    <row r="28" spans="1:74">
      <c r="A28" s="886"/>
      <c r="B28" s="30"/>
      <c r="C28" s="307" t="s">
        <v>116</v>
      </c>
      <c r="D28" s="362" t="s">
        <v>117</v>
      </c>
      <c r="E28" s="312" t="s">
        <v>538</v>
      </c>
      <c r="F28" s="37">
        <f>BJ28</f>
        <v>0</v>
      </c>
      <c r="G28" s="177">
        <f>F28*E28</f>
        <v>0</v>
      </c>
      <c r="H28" s="177">
        <f>G28*0.2</f>
        <v>0</v>
      </c>
      <c r="I28" s="177">
        <f>G28*0.8</f>
        <v>0</v>
      </c>
      <c r="J28" s="177"/>
      <c r="K28" s="177"/>
      <c r="L28" s="177"/>
      <c r="M28" s="177"/>
      <c r="N28" s="177"/>
      <c r="O28" s="56"/>
      <c r="P28" s="56"/>
      <c r="Q28" s="56"/>
      <c r="R28" s="37"/>
      <c r="S28" s="37">
        <f>F28</f>
        <v>0</v>
      </c>
      <c r="T28" s="37"/>
      <c r="U28" s="37"/>
      <c r="V28" s="101"/>
      <c r="W28" s="101">
        <f>S28*E28</f>
        <v>0</v>
      </c>
      <c r="X28" s="101"/>
      <c r="Y28" s="101"/>
      <c r="Z28" s="37"/>
      <c r="AA28" s="101"/>
      <c r="AB28" s="37"/>
      <c r="AC28" s="101"/>
      <c r="AD28" s="37"/>
      <c r="AE28" s="101"/>
      <c r="AF28" s="37"/>
      <c r="AG28" s="101"/>
      <c r="AH28" s="37"/>
      <c r="AI28" s="101"/>
      <c r="AJ28" s="37"/>
      <c r="AK28" s="101"/>
      <c r="AL28" s="37"/>
      <c r="AM28" s="101"/>
      <c r="AN28" s="37"/>
      <c r="AO28" s="101"/>
      <c r="AP28" s="37"/>
      <c r="AQ28" s="101"/>
      <c r="AR28" s="37"/>
      <c r="AS28" s="101"/>
      <c r="AT28" s="37"/>
      <c r="AU28" s="101"/>
      <c r="AV28" s="37"/>
      <c r="AW28" s="101"/>
      <c r="AX28" s="37"/>
      <c r="AY28" s="101"/>
      <c r="AZ28" s="37"/>
      <c r="BA28" s="101"/>
      <c r="BB28" s="37"/>
      <c r="BC28" s="101"/>
      <c r="BD28" s="37"/>
      <c r="BE28" s="101"/>
      <c r="BF28" s="37"/>
      <c r="BG28" s="101"/>
      <c r="BH28" s="37">
        <v>0</v>
      </c>
      <c r="BI28" s="101">
        <f t="shared" si="11"/>
        <v>0</v>
      </c>
      <c r="BJ28" s="37">
        <f t="shared" si="20"/>
        <v>0</v>
      </c>
      <c r="BK28" s="56">
        <f t="shared" si="21"/>
        <v>0</v>
      </c>
      <c r="BL28" s="362" t="s">
        <v>224</v>
      </c>
      <c r="BN28" s="70"/>
      <c r="BO28" s="70"/>
      <c r="BP28" s="70">
        <f t="shared" si="17"/>
        <v>0</v>
      </c>
      <c r="BQ28" s="70"/>
      <c r="BR28" s="70">
        <f t="shared" si="18"/>
        <v>0</v>
      </c>
      <c r="BS28" s="70"/>
      <c r="BT28" s="70"/>
      <c r="BU28" s="75">
        <f t="shared" si="19"/>
        <v>0</v>
      </c>
      <c r="BV28" s="101">
        <f t="shared" si="0"/>
        <v>0</v>
      </c>
    </row>
    <row r="29" spans="1:74">
      <c r="A29" s="886"/>
      <c r="B29" s="30"/>
      <c r="C29" s="307" t="s">
        <v>118</v>
      </c>
      <c r="D29" s="362" t="s">
        <v>117</v>
      </c>
      <c r="E29" s="466">
        <v>1000000</v>
      </c>
      <c r="F29" s="37">
        <f>BJ29</f>
        <v>1</v>
      </c>
      <c r="G29" s="177">
        <f>F29*E29</f>
        <v>1000000</v>
      </c>
      <c r="H29" s="177">
        <f>G29*0.2</f>
        <v>200000</v>
      </c>
      <c r="I29" s="177">
        <f>G29*0.8</f>
        <v>800000</v>
      </c>
      <c r="J29" s="177"/>
      <c r="K29" s="177"/>
      <c r="L29" s="177"/>
      <c r="M29" s="177"/>
      <c r="N29" s="177"/>
      <c r="O29" s="56"/>
      <c r="P29" s="56"/>
      <c r="Q29" s="56"/>
      <c r="R29" s="37"/>
      <c r="S29" s="37">
        <f>F29</f>
        <v>1</v>
      </c>
      <c r="T29" s="37"/>
      <c r="U29" s="37"/>
      <c r="V29" s="101"/>
      <c r="W29" s="101">
        <f>S29*E29</f>
        <v>1000000</v>
      </c>
      <c r="X29" s="101"/>
      <c r="Y29" s="101"/>
      <c r="Z29" s="37"/>
      <c r="AA29" s="101"/>
      <c r="AB29" s="37"/>
      <c r="AC29" s="101"/>
      <c r="AD29" s="37"/>
      <c r="AE29" s="101"/>
      <c r="AF29" s="37"/>
      <c r="AG29" s="101"/>
      <c r="AH29" s="37"/>
      <c r="AI29" s="101"/>
      <c r="AJ29" s="37"/>
      <c r="AK29" s="101"/>
      <c r="AL29" s="37"/>
      <c r="AM29" s="101"/>
      <c r="AN29" s="37"/>
      <c r="AO29" s="101"/>
      <c r="AP29" s="37"/>
      <c r="AQ29" s="101"/>
      <c r="AR29" s="37"/>
      <c r="AS29" s="101"/>
      <c r="AT29" s="37"/>
      <c r="AU29" s="101"/>
      <c r="AV29" s="37"/>
      <c r="AW29" s="101"/>
      <c r="AX29" s="37"/>
      <c r="AY29" s="101"/>
      <c r="AZ29" s="37"/>
      <c r="BA29" s="101"/>
      <c r="BB29" s="37"/>
      <c r="BC29" s="101"/>
      <c r="BD29" s="37"/>
      <c r="BE29" s="101"/>
      <c r="BF29" s="37"/>
      <c r="BG29" s="101"/>
      <c r="BH29" s="37">
        <v>1</v>
      </c>
      <c r="BI29" s="101">
        <f t="shared" si="11"/>
        <v>1000000</v>
      </c>
      <c r="BJ29" s="37">
        <f t="shared" si="20"/>
        <v>1</v>
      </c>
      <c r="BK29" s="56">
        <f t="shared" si="21"/>
        <v>1000000</v>
      </c>
      <c r="BL29" s="362" t="s">
        <v>224</v>
      </c>
      <c r="BN29" s="70"/>
      <c r="BO29" s="70"/>
      <c r="BP29" s="70">
        <f t="shared" si="17"/>
        <v>1000000</v>
      </c>
      <c r="BQ29" s="70"/>
      <c r="BR29" s="70">
        <f t="shared" si="18"/>
        <v>1000000</v>
      </c>
      <c r="BS29" s="70"/>
      <c r="BT29" s="70"/>
      <c r="BU29" s="75">
        <f t="shared" si="19"/>
        <v>0</v>
      </c>
      <c r="BV29" s="101">
        <f t="shared" si="0"/>
        <v>1000000</v>
      </c>
    </row>
    <row r="30" spans="1:74">
      <c r="A30" s="886"/>
      <c r="B30" s="30"/>
      <c r="C30" s="307" t="s">
        <v>119</v>
      </c>
      <c r="D30" s="362" t="s">
        <v>72</v>
      </c>
      <c r="E30" s="312" t="s">
        <v>538</v>
      </c>
      <c r="F30" s="37">
        <f>BJ30</f>
        <v>0</v>
      </c>
      <c r="G30" s="177">
        <f>F30*E30</f>
        <v>0</v>
      </c>
      <c r="H30" s="177">
        <f>G30*0.2</f>
        <v>0</v>
      </c>
      <c r="I30" s="177">
        <f>G30*0.8</f>
        <v>0</v>
      </c>
      <c r="J30" s="177"/>
      <c r="K30" s="177"/>
      <c r="L30" s="177"/>
      <c r="M30" s="177"/>
      <c r="N30" s="177"/>
      <c r="O30" s="56"/>
      <c r="P30" s="56"/>
      <c r="Q30" s="56"/>
      <c r="R30" s="37"/>
      <c r="S30" s="37">
        <f>F30</f>
        <v>0</v>
      </c>
      <c r="T30" s="37"/>
      <c r="U30" s="37"/>
      <c r="V30" s="101"/>
      <c r="W30" s="101">
        <f>S30*E30</f>
        <v>0</v>
      </c>
      <c r="X30" s="101"/>
      <c r="Y30" s="101"/>
      <c r="Z30" s="37"/>
      <c r="AA30" s="101"/>
      <c r="AB30" s="37"/>
      <c r="AC30" s="101"/>
      <c r="AD30" s="37"/>
      <c r="AE30" s="101"/>
      <c r="AF30" s="37"/>
      <c r="AG30" s="101"/>
      <c r="AH30" s="37"/>
      <c r="AI30" s="101"/>
      <c r="AJ30" s="37"/>
      <c r="AK30" s="101"/>
      <c r="AL30" s="37"/>
      <c r="AM30" s="101"/>
      <c r="AN30" s="37"/>
      <c r="AO30" s="101"/>
      <c r="AP30" s="37"/>
      <c r="AQ30" s="101"/>
      <c r="AR30" s="37"/>
      <c r="AS30" s="101"/>
      <c r="AT30" s="37"/>
      <c r="AU30" s="101"/>
      <c r="AV30" s="37"/>
      <c r="AW30" s="101"/>
      <c r="AX30" s="37"/>
      <c r="AY30" s="101"/>
      <c r="AZ30" s="37"/>
      <c r="BA30" s="101"/>
      <c r="BB30" s="37"/>
      <c r="BC30" s="101"/>
      <c r="BD30" s="37"/>
      <c r="BE30" s="101"/>
      <c r="BF30" s="37"/>
      <c r="BG30" s="101"/>
      <c r="BH30" s="37">
        <v>0</v>
      </c>
      <c r="BI30" s="101">
        <f t="shared" si="11"/>
        <v>0</v>
      </c>
      <c r="BJ30" s="37">
        <f t="shared" si="20"/>
        <v>0</v>
      </c>
      <c r="BK30" s="56">
        <f t="shared" si="21"/>
        <v>0</v>
      </c>
      <c r="BL30" s="362" t="s">
        <v>224</v>
      </c>
      <c r="BN30" s="70"/>
      <c r="BO30" s="70"/>
      <c r="BP30" s="70">
        <f t="shared" si="17"/>
        <v>0</v>
      </c>
      <c r="BQ30" s="70"/>
      <c r="BR30" s="70">
        <f t="shared" si="18"/>
        <v>0</v>
      </c>
      <c r="BS30" s="70"/>
      <c r="BT30" s="70"/>
      <c r="BU30" s="75">
        <f t="shared" si="19"/>
        <v>0</v>
      </c>
      <c r="BV30" s="101">
        <f t="shared" si="0"/>
        <v>0</v>
      </c>
    </row>
    <row r="31" spans="1:74">
      <c r="A31" s="886"/>
      <c r="B31" s="30"/>
      <c r="C31" s="307" t="s">
        <v>516</v>
      </c>
      <c r="D31" s="362" t="s">
        <v>72</v>
      </c>
      <c r="E31" s="312" t="s">
        <v>474</v>
      </c>
      <c r="F31" s="37">
        <f>BJ31</f>
        <v>0</v>
      </c>
      <c r="G31" s="177">
        <f>F31*E31</f>
        <v>0</v>
      </c>
      <c r="H31" s="177">
        <f>G31*0.2</f>
        <v>0</v>
      </c>
      <c r="I31" s="177">
        <f>G31*0.8</f>
        <v>0</v>
      </c>
      <c r="J31" s="177"/>
      <c r="K31" s="177"/>
      <c r="L31" s="177"/>
      <c r="M31" s="177"/>
      <c r="N31" s="177"/>
      <c r="O31" s="56"/>
      <c r="P31" s="56"/>
      <c r="Q31" s="56"/>
      <c r="R31" s="37"/>
      <c r="S31" s="37">
        <f>F31</f>
        <v>0</v>
      </c>
      <c r="T31" s="37"/>
      <c r="U31" s="37"/>
      <c r="V31" s="101"/>
      <c r="W31" s="101">
        <f>S31*E31</f>
        <v>0</v>
      </c>
      <c r="X31" s="101"/>
      <c r="Y31" s="101"/>
      <c r="Z31" s="37"/>
      <c r="AA31" s="101"/>
      <c r="AB31" s="37"/>
      <c r="AC31" s="101"/>
      <c r="AD31" s="37"/>
      <c r="AE31" s="101"/>
      <c r="AF31" s="37"/>
      <c r="AG31" s="101"/>
      <c r="AH31" s="37"/>
      <c r="AI31" s="101"/>
      <c r="AJ31" s="37"/>
      <c r="AK31" s="101"/>
      <c r="AL31" s="37"/>
      <c r="AM31" s="101"/>
      <c r="AN31" s="37"/>
      <c r="AO31" s="101"/>
      <c r="AP31" s="37"/>
      <c r="AQ31" s="101"/>
      <c r="AR31" s="37"/>
      <c r="AS31" s="101"/>
      <c r="AT31" s="37"/>
      <c r="AU31" s="101"/>
      <c r="AV31" s="37"/>
      <c r="AW31" s="101"/>
      <c r="AX31" s="37"/>
      <c r="AY31" s="101"/>
      <c r="AZ31" s="37"/>
      <c r="BA31" s="101"/>
      <c r="BB31" s="37"/>
      <c r="BC31" s="101"/>
      <c r="BD31" s="37"/>
      <c r="BE31" s="101"/>
      <c r="BF31" s="37"/>
      <c r="BG31" s="101"/>
      <c r="BH31" s="37">
        <v>0</v>
      </c>
      <c r="BI31" s="101">
        <f t="shared" si="11"/>
        <v>0</v>
      </c>
      <c r="BJ31" s="37">
        <f t="shared" si="20"/>
        <v>0</v>
      </c>
      <c r="BK31" s="56">
        <f t="shared" si="21"/>
        <v>0</v>
      </c>
      <c r="BL31" s="362" t="s">
        <v>224</v>
      </c>
      <c r="BN31" s="70"/>
      <c r="BO31" s="70"/>
      <c r="BP31" s="70">
        <f t="shared" si="17"/>
        <v>0</v>
      </c>
      <c r="BQ31" s="70"/>
      <c r="BR31" s="70">
        <f t="shared" si="18"/>
        <v>0</v>
      </c>
      <c r="BS31" s="70"/>
      <c r="BT31" s="70"/>
      <c r="BU31" s="75">
        <f t="shared" si="19"/>
        <v>0</v>
      </c>
      <c r="BV31" s="101">
        <f t="shared" si="0"/>
        <v>0</v>
      </c>
    </row>
    <row r="32" spans="1:74" s="240" customFormat="1">
      <c r="A32" s="886"/>
      <c r="B32" s="363"/>
      <c r="C32" s="336" t="s">
        <v>120</v>
      </c>
      <c r="D32" s="439" t="s">
        <v>121</v>
      </c>
      <c r="E32" s="440" t="s">
        <v>121</v>
      </c>
      <c r="F32" s="429">
        <f>SUM(F27:F31)</f>
        <v>1</v>
      </c>
      <c r="G32" s="429">
        <f t="shared" ref="G32:BK32" si="22">SUM(G27:G31)</f>
        <v>1000000</v>
      </c>
      <c r="H32" s="429">
        <f t="shared" si="22"/>
        <v>200000</v>
      </c>
      <c r="I32" s="429">
        <f t="shared" si="22"/>
        <v>800000</v>
      </c>
      <c r="J32" s="429">
        <f t="shared" si="22"/>
        <v>0</v>
      </c>
      <c r="K32" s="429">
        <f t="shared" si="22"/>
        <v>0</v>
      </c>
      <c r="L32" s="429">
        <f t="shared" si="22"/>
        <v>0</v>
      </c>
      <c r="M32" s="429">
        <f t="shared" si="22"/>
        <v>0</v>
      </c>
      <c r="N32" s="429">
        <f t="shared" si="22"/>
        <v>0</v>
      </c>
      <c r="O32" s="429">
        <f t="shared" si="22"/>
        <v>0</v>
      </c>
      <c r="P32" s="429">
        <f t="shared" si="22"/>
        <v>0</v>
      </c>
      <c r="Q32" s="429">
        <f t="shared" si="22"/>
        <v>0</v>
      </c>
      <c r="R32" s="429">
        <f t="shared" si="22"/>
        <v>0</v>
      </c>
      <c r="S32" s="429">
        <f t="shared" si="22"/>
        <v>1</v>
      </c>
      <c r="T32" s="429">
        <f t="shared" si="22"/>
        <v>0</v>
      </c>
      <c r="U32" s="429">
        <f t="shared" si="22"/>
        <v>0</v>
      </c>
      <c r="V32" s="429">
        <f t="shared" si="22"/>
        <v>0</v>
      </c>
      <c r="W32" s="429">
        <f t="shared" si="22"/>
        <v>1000000</v>
      </c>
      <c r="X32" s="429">
        <f t="shared" si="22"/>
        <v>0</v>
      </c>
      <c r="Y32" s="429">
        <f t="shared" si="22"/>
        <v>0</v>
      </c>
      <c r="Z32" s="429">
        <f t="shared" si="22"/>
        <v>0</v>
      </c>
      <c r="AA32" s="429">
        <f t="shared" si="22"/>
        <v>0</v>
      </c>
      <c r="AB32" s="429">
        <f t="shared" si="22"/>
        <v>0</v>
      </c>
      <c r="AC32" s="429">
        <f t="shared" si="22"/>
        <v>0</v>
      </c>
      <c r="AD32" s="429">
        <f t="shared" si="22"/>
        <v>0</v>
      </c>
      <c r="AE32" s="429">
        <f t="shared" si="22"/>
        <v>0</v>
      </c>
      <c r="AF32" s="429">
        <f t="shared" si="22"/>
        <v>0</v>
      </c>
      <c r="AG32" s="429">
        <f t="shared" si="22"/>
        <v>0</v>
      </c>
      <c r="AH32" s="429">
        <f t="shared" si="22"/>
        <v>0</v>
      </c>
      <c r="AI32" s="429">
        <f t="shared" si="22"/>
        <v>0</v>
      </c>
      <c r="AJ32" s="429">
        <f t="shared" si="22"/>
        <v>0</v>
      </c>
      <c r="AK32" s="429">
        <f t="shared" si="22"/>
        <v>0</v>
      </c>
      <c r="AL32" s="429">
        <f t="shared" si="22"/>
        <v>0</v>
      </c>
      <c r="AM32" s="429">
        <f t="shared" si="22"/>
        <v>0</v>
      </c>
      <c r="AN32" s="429">
        <f t="shared" si="22"/>
        <v>0</v>
      </c>
      <c r="AO32" s="429">
        <f t="shared" si="22"/>
        <v>0</v>
      </c>
      <c r="AP32" s="429">
        <f t="shared" si="22"/>
        <v>0</v>
      </c>
      <c r="AQ32" s="429">
        <f t="shared" si="22"/>
        <v>0</v>
      </c>
      <c r="AR32" s="429">
        <f t="shared" si="22"/>
        <v>0</v>
      </c>
      <c r="AS32" s="429">
        <f t="shared" si="22"/>
        <v>0</v>
      </c>
      <c r="AT32" s="429">
        <f t="shared" si="22"/>
        <v>0</v>
      </c>
      <c r="AU32" s="429">
        <f t="shared" si="22"/>
        <v>0</v>
      </c>
      <c r="AV32" s="429">
        <f t="shared" si="22"/>
        <v>0</v>
      </c>
      <c r="AW32" s="429">
        <f t="shared" si="22"/>
        <v>0</v>
      </c>
      <c r="AX32" s="429">
        <f t="shared" si="22"/>
        <v>0</v>
      </c>
      <c r="AY32" s="429">
        <f t="shared" si="22"/>
        <v>0</v>
      </c>
      <c r="AZ32" s="429">
        <f t="shared" si="22"/>
        <v>0</v>
      </c>
      <c r="BA32" s="429">
        <f t="shared" si="22"/>
        <v>0</v>
      </c>
      <c r="BB32" s="429">
        <f t="shared" si="22"/>
        <v>0</v>
      </c>
      <c r="BC32" s="429">
        <f t="shared" si="22"/>
        <v>0</v>
      </c>
      <c r="BD32" s="429">
        <f t="shared" si="22"/>
        <v>0</v>
      </c>
      <c r="BE32" s="429">
        <f t="shared" si="22"/>
        <v>0</v>
      </c>
      <c r="BF32" s="429">
        <f t="shared" si="22"/>
        <v>0</v>
      </c>
      <c r="BG32" s="429">
        <f t="shared" si="22"/>
        <v>0</v>
      </c>
      <c r="BH32" s="429">
        <f t="shared" si="22"/>
        <v>1</v>
      </c>
      <c r="BI32" s="429">
        <f t="shared" si="22"/>
        <v>1000000</v>
      </c>
      <c r="BJ32" s="429">
        <f t="shared" si="22"/>
        <v>1</v>
      </c>
      <c r="BK32" s="429">
        <f t="shared" si="22"/>
        <v>1000000</v>
      </c>
      <c r="BL32" s="439" t="s">
        <v>121</v>
      </c>
      <c r="BN32" s="344"/>
      <c r="BO32" s="344"/>
      <c r="BP32" s="344">
        <f t="shared" si="17"/>
        <v>1000000</v>
      </c>
      <c r="BQ32" s="344"/>
      <c r="BR32" s="344">
        <f t="shared" si="18"/>
        <v>1000000</v>
      </c>
      <c r="BS32" s="344"/>
      <c r="BT32" s="344"/>
      <c r="BU32" s="476">
        <f t="shared" si="19"/>
        <v>0</v>
      </c>
      <c r="BV32" s="477">
        <f t="shared" si="0"/>
        <v>1000000</v>
      </c>
    </row>
    <row r="33" spans="1:74">
      <c r="A33" s="886"/>
      <c r="B33" s="30"/>
      <c r="C33" s="309" t="s">
        <v>517</v>
      </c>
      <c r="D33" s="362"/>
      <c r="E33" s="362"/>
      <c r="F33" s="37"/>
      <c r="G33" s="177"/>
      <c r="H33" s="177"/>
      <c r="I33" s="177"/>
      <c r="J33" s="177"/>
      <c r="K33" s="177"/>
      <c r="L33" s="177"/>
      <c r="M33" s="177"/>
      <c r="N33" s="177"/>
      <c r="O33" s="56"/>
      <c r="P33" s="56"/>
      <c r="Q33" s="56"/>
      <c r="R33" s="37"/>
      <c r="S33" s="37"/>
      <c r="T33" s="37"/>
      <c r="U33" s="37"/>
      <c r="V33" s="101"/>
      <c r="W33" s="101"/>
      <c r="X33" s="101"/>
      <c r="Y33" s="101"/>
      <c r="Z33" s="37"/>
      <c r="AA33" s="101"/>
      <c r="AB33" s="37"/>
      <c r="AC33" s="101"/>
      <c r="AD33" s="37"/>
      <c r="AE33" s="101"/>
      <c r="AF33" s="37"/>
      <c r="AG33" s="101"/>
      <c r="AH33" s="37"/>
      <c r="AI33" s="101"/>
      <c r="AJ33" s="37"/>
      <c r="AK33" s="101"/>
      <c r="AL33" s="37"/>
      <c r="AM33" s="101"/>
      <c r="AN33" s="37"/>
      <c r="AO33" s="101"/>
      <c r="AP33" s="37"/>
      <c r="AQ33" s="101"/>
      <c r="AR33" s="37"/>
      <c r="AS33" s="101"/>
      <c r="AT33" s="37"/>
      <c r="AU33" s="101"/>
      <c r="AV33" s="37"/>
      <c r="AW33" s="101"/>
      <c r="AX33" s="37"/>
      <c r="AY33" s="101"/>
      <c r="AZ33" s="37"/>
      <c r="BA33" s="101"/>
      <c r="BB33" s="37"/>
      <c r="BC33" s="101"/>
      <c r="BD33" s="37"/>
      <c r="BE33" s="101"/>
      <c r="BF33" s="37"/>
      <c r="BG33" s="101"/>
      <c r="BH33" s="37"/>
      <c r="BI33" s="101">
        <f t="shared" si="11"/>
        <v>0</v>
      </c>
      <c r="BJ33" s="37">
        <f t="shared" si="20"/>
        <v>0</v>
      </c>
      <c r="BK33" s="56"/>
      <c r="BL33" s="362"/>
      <c r="BN33" s="70"/>
      <c r="BO33" s="70"/>
      <c r="BP33" s="70"/>
      <c r="BQ33" s="70"/>
      <c r="BR33" s="70"/>
      <c r="BS33" s="70"/>
      <c r="BT33" s="70"/>
      <c r="BU33" s="75"/>
      <c r="BV33" s="101"/>
    </row>
    <row r="34" spans="1:74">
      <c r="A34" s="886"/>
      <c r="B34" s="30"/>
      <c r="C34" s="307" t="s">
        <v>34</v>
      </c>
      <c r="D34" s="362" t="s">
        <v>39</v>
      </c>
      <c r="E34" s="312" t="s">
        <v>539</v>
      </c>
      <c r="F34" s="37">
        <f>BJ34</f>
        <v>1</v>
      </c>
      <c r="G34" s="177">
        <f>F34*E34</f>
        <v>1500000</v>
      </c>
      <c r="H34" s="177">
        <f t="shared" ref="H34:H46" si="23">G34*0.2</f>
        <v>300000</v>
      </c>
      <c r="I34" s="177">
        <f>G34*0.8</f>
        <v>1200000</v>
      </c>
      <c r="J34" s="177"/>
      <c r="K34" s="177"/>
      <c r="L34" s="177"/>
      <c r="M34" s="177"/>
      <c r="N34" s="177"/>
      <c r="O34" s="56"/>
      <c r="P34" s="56"/>
      <c r="Q34" s="56"/>
      <c r="R34" s="37"/>
      <c r="S34" s="37"/>
      <c r="T34" s="37">
        <f>F34</f>
        <v>1</v>
      </c>
      <c r="U34" s="37"/>
      <c r="V34" s="101"/>
      <c r="W34" s="101"/>
      <c r="X34" s="101">
        <f>T34*E34</f>
        <v>1500000</v>
      </c>
      <c r="Y34" s="101"/>
      <c r="Z34" s="37"/>
      <c r="AA34" s="101"/>
      <c r="AB34" s="37"/>
      <c r="AC34" s="101"/>
      <c r="AD34" s="37"/>
      <c r="AE34" s="101"/>
      <c r="AF34" s="37"/>
      <c r="AG34" s="101"/>
      <c r="AH34" s="37"/>
      <c r="AI34" s="101"/>
      <c r="AJ34" s="37"/>
      <c r="AK34" s="101"/>
      <c r="AL34" s="37"/>
      <c r="AM34" s="101"/>
      <c r="AN34" s="37"/>
      <c r="AO34" s="101"/>
      <c r="AP34" s="37"/>
      <c r="AQ34" s="101"/>
      <c r="AR34" s="37"/>
      <c r="AS34" s="101"/>
      <c r="AT34" s="37"/>
      <c r="AU34" s="101"/>
      <c r="AV34" s="37"/>
      <c r="AW34" s="101"/>
      <c r="AX34" s="37"/>
      <c r="AY34" s="101"/>
      <c r="AZ34" s="37"/>
      <c r="BA34" s="101"/>
      <c r="BB34" s="37"/>
      <c r="BC34" s="101"/>
      <c r="BD34" s="37"/>
      <c r="BE34" s="101"/>
      <c r="BF34" s="37"/>
      <c r="BG34" s="101"/>
      <c r="BH34" s="37">
        <v>1</v>
      </c>
      <c r="BI34" s="101">
        <f t="shared" si="11"/>
        <v>1500000</v>
      </c>
      <c r="BJ34" s="37">
        <f t="shared" si="20"/>
        <v>1</v>
      </c>
      <c r="BK34" s="56">
        <f t="shared" si="21"/>
        <v>1500000</v>
      </c>
      <c r="BL34" s="362" t="s">
        <v>224</v>
      </c>
      <c r="BN34" s="70"/>
      <c r="BO34" s="70"/>
      <c r="BP34" s="70">
        <f>BK34</f>
        <v>1500000</v>
      </c>
      <c r="BQ34" s="70"/>
      <c r="BR34" s="70">
        <f t="shared" si="18"/>
        <v>1500000</v>
      </c>
      <c r="BS34" s="70"/>
      <c r="BT34" s="70"/>
      <c r="BU34" s="75">
        <f t="shared" si="19"/>
        <v>0</v>
      </c>
      <c r="BV34" s="101">
        <f t="shared" si="0"/>
        <v>1500000</v>
      </c>
    </row>
    <row r="35" spans="1:74" s="48" customFormat="1">
      <c r="A35" s="886"/>
      <c r="B35" s="30"/>
      <c r="C35" s="307" t="s">
        <v>122</v>
      </c>
      <c r="D35" s="362" t="s">
        <v>39</v>
      </c>
      <c r="E35" s="312" t="s">
        <v>474</v>
      </c>
      <c r="F35" s="37">
        <f t="shared" ref="F35:F46" si="24">BJ35</f>
        <v>1</v>
      </c>
      <c r="G35" s="177">
        <f t="shared" ref="G35:G46" si="25">F35*E35</f>
        <v>500000</v>
      </c>
      <c r="H35" s="177">
        <f t="shared" si="23"/>
        <v>100000</v>
      </c>
      <c r="I35" s="177">
        <f t="shared" ref="I35:I46" si="26">G35*0.8</f>
        <v>400000</v>
      </c>
      <c r="J35" s="177"/>
      <c r="K35" s="177"/>
      <c r="L35" s="177"/>
      <c r="M35" s="177"/>
      <c r="N35" s="177"/>
      <c r="O35" s="56"/>
      <c r="P35" s="56"/>
      <c r="Q35" s="56"/>
      <c r="R35" s="37"/>
      <c r="S35" s="37"/>
      <c r="T35" s="37">
        <f t="shared" ref="T35:T46" si="27">F35</f>
        <v>1</v>
      </c>
      <c r="U35" s="37"/>
      <c r="V35" s="101"/>
      <c r="W35" s="101"/>
      <c r="X35" s="101">
        <f t="shared" ref="X35:X40" si="28">T35*E35</f>
        <v>500000</v>
      </c>
      <c r="Y35" s="101"/>
      <c r="Z35" s="37"/>
      <c r="AA35" s="101"/>
      <c r="AB35" s="37"/>
      <c r="AC35" s="101"/>
      <c r="AD35" s="37"/>
      <c r="AE35" s="101"/>
      <c r="AF35" s="37"/>
      <c r="AG35" s="101"/>
      <c r="AH35" s="37"/>
      <c r="AI35" s="101"/>
      <c r="AJ35" s="37"/>
      <c r="AK35" s="101"/>
      <c r="AL35" s="37"/>
      <c r="AM35" s="101"/>
      <c r="AN35" s="37"/>
      <c r="AO35" s="101"/>
      <c r="AP35" s="37"/>
      <c r="AQ35" s="101"/>
      <c r="AR35" s="37"/>
      <c r="AS35" s="101"/>
      <c r="AT35" s="37"/>
      <c r="AU35" s="101"/>
      <c r="AV35" s="37"/>
      <c r="AW35" s="101"/>
      <c r="AX35" s="37"/>
      <c r="AY35" s="101"/>
      <c r="AZ35" s="37"/>
      <c r="BA35" s="101"/>
      <c r="BB35" s="37"/>
      <c r="BC35" s="101"/>
      <c r="BD35" s="37"/>
      <c r="BE35" s="101"/>
      <c r="BF35" s="37"/>
      <c r="BG35" s="101"/>
      <c r="BH35" s="37">
        <v>1</v>
      </c>
      <c r="BI35" s="101">
        <f t="shared" si="11"/>
        <v>500000</v>
      </c>
      <c r="BJ35" s="37">
        <f t="shared" si="20"/>
        <v>1</v>
      </c>
      <c r="BK35" s="56">
        <f t="shared" si="21"/>
        <v>500000</v>
      </c>
      <c r="BL35" s="362" t="s">
        <v>224</v>
      </c>
      <c r="BN35" s="70"/>
      <c r="BO35" s="70"/>
      <c r="BP35" s="70">
        <f>BK35</f>
        <v>500000</v>
      </c>
      <c r="BQ35" s="70"/>
      <c r="BR35" s="70">
        <f t="shared" si="18"/>
        <v>500000</v>
      </c>
      <c r="BS35" s="70"/>
      <c r="BT35" s="70"/>
      <c r="BU35" s="75">
        <f t="shared" si="19"/>
        <v>0</v>
      </c>
      <c r="BV35" s="101">
        <f t="shared" si="0"/>
        <v>500000</v>
      </c>
    </row>
    <row r="36" spans="1:74">
      <c r="A36" s="886"/>
      <c r="B36" s="30"/>
      <c r="C36" s="307" t="s">
        <v>518</v>
      </c>
      <c r="D36" s="362" t="s">
        <v>39</v>
      </c>
      <c r="E36" s="312">
        <v>2500</v>
      </c>
      <c r="F36" s="37">
        <f t="shared" si="24"/>
        <v>1000</v>
      </c>
      <c r="G36" s="177">
        <f t="shared" si="25"/>
        <v>2500000</v>
      </c>
      <c r="H36" s="177">
        <f t="shared" si="23"/>
        <v>500000</v>
      </c>
      <c r="I36" s="177">
        <f t="shared" si="26"/>
        <v>2000000</v>
      </c>
      <c r="J36" s="177"/>
      <c r="K36" s="177"/>
      <c r="L36" s="177"/>
      <c r="M36" s="177"/>
      <c r="N36" s="177"/>
      <c r="O36" s="56"/>
      <c r="P36" s="56"/>
      <c r="Q36" s="56"/>
      <c r="R36" s="37"/>
      <c r="S36" s="37"/>
      <c r="T36" s="37">
        <f t="shared" si="27"/>
        <v>1000</v>
      </c>
      <c r="U36" s="37"/>
      <c r="V36" s="101"/>
      <c r="W36" s="101"/>
      <c r="X36" s="101">
        <f t="shared" si="28"/>
        <v>2500000</v>
      </c>
      <c r="Y36" s="101"/>
      <c r="Z36" s="37"/>
      <c r="AA36" s="101"/>
      <c r="AB36" s="37"/>
      <c r="AC36" s="101"/>
      <c r="AD36" s="37"/>
      <c r="AE36" s="101"/>
      <c r="AF36" s="37"/>
      <c r="AG36" s="101"/>
      <c r="AH36" s="37"/>
      <c r="AI36" s="101"/>
      <c r="AJ36" s="37"/>
      <c r="AK36" s="101"/>
      <c r="AL36" s="37"/>
      <c r="AM36" s="101"/>
      <c r="AN36" s="37"/>
      <c r="AO36" s="101"/>
      <c r="AP36" s="37"/>
      <c r="AQ36" s="101"/>
      <c r="AR36" s="37"/>
      <c r="AS36" s="101"/>
      <c r="AT36" s="37"/>
      <c r="AU36" s="101"/>
      <c r="AV36" s="37"/>
      <c r="AW36" s="101"/>
      <c r="AX36" s="37"/>
      <c r="AY36" s="101"/>
      <c r="AZ36" s="37"/>
      <c r="BA36" s="101"/>
      <c r="BB36" s="37"/>
      <c r="BC36" s="101"/>
      <c r="BD36" s="37"/>
      <c r="BE36" s="101"/>
      <c r="BF36" s="37"/>
      <c r="BG36" s="101"/>
      <c r="BH36" s="37">
        <v>1000</v>
      </c>
      <c r="BI36" s="101">
        <f t="shared" si="11"/>
        <v>2500000</v>
      </c>
      <c r="BJ36" s="37">
        <f t="shared" si="20"/>
        <v>1000</v>
      </c>
      <c r="BK36" s="56">
        <f t="shared" si="21"/>
        <v>2500000</v>
      </c>
      <c r="BL36" s="362" t="s">
        <v>224</v>
      </c>
      <c r="BN36" s="70"/>
      <c r="BO36" s="70"/>
      <c r="BP36" s="70">
        <f>BK36</f>
        <v>2500000</v>
      </c>
      <c r="BQ36" s="70"/>
      <c r="BR36" s="70">
        <f t="shared" si="18"/>
        <v>2500000</v>
      </c>
      <c r="BS36" s="70"/>
      <c r="BT36" s="70"/>
      <c r="BU36" s="75">
        <f t="shared" si="19"/>
        <v>0</v>
      </c>
      <c r="BV36" s="101">
        <f t="shared" si="0"/>
        <v>2500000</v>
      </c>
    </row>
    <row r="37" spans="1:74">
      <c r="A37" s="886"/>
      <c r="B37" s="30"/>
      <c r="C37" s="307" t="s">
        <v>519</v>
      </c>
      <c r="D37" s="362" t="s">
        <v>74</v>
      </c>
      <c r="E37" s="312" t="s">
        <v>480</v>
      </c>
      <c r="F37" s="37">
        <f t="shared" si="24"/>
        <v>0</v>
      </c>
      <c r="G37" s="177">
        <f t="shared" si="25"/>
        <v>0</v>
      </c>
      <c r="H37" s="177">
        <f t="shared" si="23"/>
        <v>0</v>
      </c>
      <c r="I37" s="177">
        <f t="shared" si="26"/>
        <v>0</v>
      </c>
      <c r="J37" s="177"/>
      <c r="K37" s="177"/>
      <c r="L37" s="177"/>
      <c r="M37" s="177"/>
      <c r="N37" s="177"/>
      <c r="O37" s="56"/>
      <c r="P37" s="56"/>
      <c r="Q37" s="56"/>
      <c r="R37" s="37"/>
      <c r="S37" s="37"/>
      <c r="T37" s="37">
        <f t="shared" si="27"/>
        <v>0</v>
      </c>
      <c r="U37" s="37"/>
      <c r="V37" s="101"/>
      <c r="W37" s="101"/>
      <c r="X37" s="101">
        <f t="shared" si="28"/>
        <v>0</v>
      </c>
      <c r="Y37" s="101"/>
      <c r="Z37" s="37"/>
      <c r="AA37" s="101"/>
      <c r="AB37" s="37"/>
      <c r="AC37" s="101"/>
      <c r="AD37" s="37"/>
      <c r="AE37" s="101"/>
      <c r="AF37" s="37"/>
      <c r="AG37" s="101"/>
      <c r="AH37" s="37"/>
      <c r="AI37" s="101"/>
      <c r="AJ37" s="37"/>
      <c r="AK37" s="101"/>
      <c r="AL37" s="37"/>
      <c r="AM37" s="101"/>
      <c r="AN37" s="37"/>
      <c r="AO37" s="101"/>
      <c r="AP37" s="37"/>
      <c r="AQ37" s="101"/>
      <c r="AR37" s="37"/>
      <c r="AS37" s="101"/>
      <c r="AT37" s="37"/>
      <c r="AU37" s="101"/>
      <c r="AV37" s="37"/>
      <c r="AW37" s="101"/>
      <c r="AX37" s="37"/>
      <c r="AY37" s="101"/>
      <c r="AZ37" s="37"/>
      <c r="BA37" s="101"/>
      <c r="BB37" s="37"/>
      <c r="BC37" s="101"/>
      <c r="BD37" s="37"/>
      <c r="BE37" s="101"/>
      <c r="BF37" s="37"/>
      <c r="BG37" s="101"/>
      <c r="BH37" s="37">
        <v>0</v>
      </c>
      <c r="BI37" s="101">
        <f t="shared" si="11"/>
        <v>0</v>
      </c>
      <c r="BJ37" s="37">
        <f t="shared" si="20"/>
        <v>0</v>
      </c>
      <c r="BK37" s="56">
        <f t="shared" si="21"/>
        <v>0</v>
      </c>
      <c r="BL37" s="362" t="s">
        <v>224</v>
      </c>
      <c r="BN37" s="70"/>
      <c r="BO37" s="70">
        <f>BK37</f>
        <v>0</v>
      </c>
      <c r="BP37" s="70"/>
      <c r="BQ37" s="70"/>
      <c r="BR37" s="70">
        <f t="shared" si="18"/>
        <v>0</v>
      </c>
      <c r="BS37" s="70"/>
      <c r="BT37" s="70"/>
      <c r="BU37" s="75">
        <f t="shared" si="19"/>
        <v>0</v>
      </c>
      <c r="BV37" s="101">
        <f t="shared" si="0"/>
        <v>0</v>
      </c>
    </row>
    <row r="38" spans="1:74">
      <c r="A38" s="886"/>
      <c r="B38" s="30"/>
      <c r="C38" s="307" t="s">
        <v>520</v>
      </c>
      <c r="D38" s="362" t="s">
        <v>74</v>
      </c>
      <c r="E38" s="312" t="s">
        <v>479</v>
      </c>
      <c r="F38" s="37">
        <f t="shared" si="24"/>
        <v>1</v>
      </c>
      <c r="G38" s="177">
        <f t="shared" si="25"/>
        <v>150000</v>
      </c>
      <c r="H38" s="177">
        <f t="shared" si="23"/>
        <v>30000</v>
      </c>
      <c r="I38" s="177">
        <f t="shared" si="26"/>
        <v>120000</v>
      </c>
      <c r="J38" s="177"/>
      <c r="K38" s="177"/>
      <c r="L38" s="177"/>
      <c r="M38" s="177"/>
      <c r="N38" s="177"/>
      <c r="O38" s="56"/>
      <c r="P38" s="56"/>
      <c r="Q38" s="56"/>
      <c r="R38" s="37"/>
      <c r="S38" s="37"/>
      <c r="T38" s="37">
        <f t="shared" si="27"/>
        <v>1</v>
      </c>
      <c r="U38" s="37"/>
      <c r="V38" s="101"/>
      <c r="W38" s="101"/>
      <c r="X38" s="101">
        <f t="shared" si="28"/>
        <v>150000</v>
      </c>
      <c r="Y38" s="101"/>
      <c r="Z38" s="37"/>
      <c r="AA38" s="101"/>
      <c r="AB38" s="37"/>
      <c r="AC38" s="101"/>
      <c r="AD38" s="37"/>
      <c r="AE38" s="101"/>
      <c r="AF38" s="37"/>
      <c r="AG38" s="101"/>
      <c r="AH38" s="37"/>
      <c r="AI38" s="101"/>
      <c r="AJ38" s="37"/>
      <c r="AK38" s="101"/>
      <c r="AL38" s="37"/>
      <c r="AM38" s="101"/>
      <c r="AN38" s="37"/>
      <c r="AO38" s="101"/>
      <c r="AP38" s="37"/>
      <c r="AQ38" s="101"/>
      <c r="AR38" s="37"/>
      <c r="AS38" s="101"/>
      <c r="AT38" s="37"/>
      <c r="AU38" s="101"/>
      <c r="AV38" s="37"/>
      <c r="AW38" s="101"/>
      <c r="AX38" s="37"/>
      <c r="AY38" s="101"/>
      <c r="AZ38" s="37"/>
      <c r="BA38" s="101"/>
      <c r="BB38" s="37"/>
      <c r="BC38" s="101"/>
      <c r="BD38" s="37"/>
      <c r="BE38" s="101"/>
      <c r="BF38" s="37"/>
      <c r="BG38" s="101"/>
      <c r="BH38" s="37">
        <v>1</v>
      </c>
      <c r="BI38" s="101">
        <f t="shared" si="11"/>
        <v>150000</v>
      </c>
      <c r="BJ38" s="37">
        <f t="shared" si="20"/>
        <v>1</v>
      </c>
      <c r="BK38" s="56">
        <f t="shared" si="21"/>
        <v>150000</v>
      </c>
      <c r="BL38" s="362" t="s">
        <v>224</v>
      </c>
      <c r="BN38" s="70"/>
      <c r="BO38" s="70"/>
      <c r="BP38" s="70"/>
      <c r="BQ38" s="70"/>
      <c r="BR38" s="70">
        <f t="shared" si="18"/>
        <v>0</v>
      </c>
      <c r="BS38" s="70"/>
      <c r="BT38" s="70">
        <f>BK38</f>
        <v>150000</v>
      </c>
      <c r="BU38" s="75">
        <f t="shared" si="19"/>
        <v>150000</v>
      </c>
      <c r="BV38" s="101">
        <f t="shared" si="0"/>
        <v>150000</v>
      </c>
    </row>
    <row r="39" spans="1:74">
      <c r="A39" s="886"/>
      <c r="B39" s="30"/>
      <c r="C39" s="309" t="s">
        <v>123</v>
      </c>
      <c r="D39" s="362" t="s">
        <v>121</v>
      </c>
      <c r="E39" s="312"/>
      <c r="F39" s="37">
        <f t="shared" si="24"/>
        <v>0</v>
      </c>
      <c r="G39" s="177">
        <f t="shared" si="25"/>
        <v>0</v>
      </c>
      <c r="H39" s="177">
        <f t="shared" si="23"/>
        <v>0</v>
      </c>
      <c r="I39" s="177">
        <f t="shared" si="26"/>
        <v>0</v>
      </c>
      <c r="J39" s="177"/>
      <c r="K39" s="177"/>
      <c r="L39" s="177"/>
      <c r="M39" s="177"/>
      <c r="N39" s="177"/>
      <c r="O39" s="56"/>
      <c r="P39" s="56"/>
      <c r="Q39" s="56"/>
      <c r="R39" s="37"/>
      <c r="S39" s="37"/>
      <c r="T39" s="37">
        <f t="shared" si="27"/>
        <v>0</v>
      </c>
      <c r="U39" s="37"/>
      <c r="V39" s="101"/>
      <c r="W39" s="101"/>
      <c r="X39" s="101">
        <f t="shared" si="28"/>
        <v>0</v>
      </c>
      <c r="Y39" s="101"/>
      <c r="Z39" s="37"/>
      <c r="AA39" s="101"/>
      <c r="AB39" s="37"/>
      <c r="AC39" s="101"/>
      <c r="AD39" s="37"/>
      <c r="AE39" s="101"/>
      <c r="AF39" s="37"/>
      <c r="AG39" s="101"/>
      <c r="AH39" s="37"/>
      <c r="AI39" s="101"/>
      <c r="AJ39" s="37"/>
      <c r="AK39" s="101"/>
      <c r="AL39" s="37"/>
      <c r="AM39" s="101"/>
      <c r="AN39" s="37"/>
      <c r="AO39" s="101"/>
      <c r="AP39" s="37"/>
      <c r="AQ39" s="101"/>
      <c r="AR39" s="37"/>
      <c r="AS39" s="101"/>
      <c r="AT39" s="37"/>
      <c r="AU39" s="101"/>
      <c r="AV39" s="37"/>
      <c r="AW39" s="101"/>
      <c r="AX39" s="37"/>
      <c r="AY39" s="101"/>
      <c r="AZ39" s="37"/>
      <c r="BA39" s="101"/>
      <c r="BB39" s="37"/>
      <c r="BC39" s="101"/>
      <c r="BD39" s="37"/>
      <c r="BE39" s="101"/>
      <c r="BF39" s="37"/>
      <c r="BG39" s="101"/>
      <c r="BH39" s="37"/>
      <c r="BI39" s="101">
        <f t="shared" si="11"/>
        <v>0</v>
      </c>
      <c r="BJ39" s="37">
        <f t="shared" si="20"/>
        <v>0</v>
      </c>
      <c r="BK39" s="56">
        <f t="shared" si="21"/>
        <v>0</v>
      </c>
      <c r="BL39" s="362" t="s">
        <v>121</v>
      </c>
      <c r="BN39" s="70"/>
      <c r="BO39" s="70"/>
      <c r="BP39" s="70"/>
      <c r="BQ39" s="70"/>
      <c r="BR39" s="70"/>
      <c r="BS39" s="70"/>
      <c r="BT39" s="70"/>
      <c r="BU39" s="75">
        <f t="shared" si="19"/>
        <v>0</v>
      </c>
      <c r="BV39" s="101">
        <f t="shared" si="0"/>
        <v>0</v>
      </c>
    </row>
    <row r="40" spans="1:74">
      <c r="A40" s="886"/>
      <c r="B40" s="30"/>
      <c r="C40" s="309" t="s">
        <v>521</v>
      </c>
      <c r="D40" s="362"/>
      <c r="E40" s="362"/>
      <c r="F40" s="37">
        <f t="shared" si="24"/>
        <v>0</v>
      </c>
      <c r="G40" s="177">
        <f t="shared" si="25"/>
        <v>0</v>
      </c>
      <c r="H40" s="177">
        <f t="shared" si="23"/>
        <v>0</v>
      </c>
      <c r="I40" s="177">
        <f t="shared" si="26"/>
        <v>0</v>
      </c>
      <c r="J40" s="177"/>
      <c r="K40" s="177"/>
      <c r="L40" s="177"/>
      <c r="M40" s="177"/>
      <c r="N40" s="177"/>
      <c r="O40" s="56"/>
      <c r="P40" s="56"/>
      <c r="Q40" s="56"/>
      <c r="R40" s="37"/>
      <c r="S40" s="37"/>
      <c r="T40" s="37">
        <f t="shared" si="27"/>
        <v>0</v>
      </c>
      <c r="U40" s="37"/>
      <c r="V40" s="101"/>
      <c r="W40" s="101"/>
      <c r="X40" s="101">
        <f t="shared" si="28"/>
        <v>0</v>
      </c>
      <c r="Y40" s="101"/>
      <c r="Z40" s="37"/>
      <c r="AA40" s="101"/>
      <c r="AB40" s="37"/>
      <c r="AC40" s="101"/>
      <c r="AD40" s="37"/>
      <c r="AE40" s="101"/>
      <c r="AF40" s="37"/>
      <c r="AG40" s="101"/>
      <c r="AH40" s="37"/>
      <c r="AI40" s="101"/>
      <c r="AJ40" s="37"/>
      <c r="AK40" s="101"/>
      <c r="AL40" s="37"/>
      <c r="AM40" s="101"/>
      <c r="AN40" s="37"/>
      <c r="AO40" s="101"/>
      <c r="AP40" s="37"/>
      <c r="AQ40" s="101"/>
      <c r="AR40" s="37"/>
      <c r="AS40" s="101"/>
      <c r="AT40" s="37"/>
      <c r="AU40" s="101"/>
      <c r="AV40" s="37"/>
      <c r="AW40" s="101"/>
      <c r="AX40" s="37"/>
      <c r="AY40" s="101"/>
      <c r="AZ40" s="37"/>
      <c r="BA40" s="101"/>
      <c r="BB40" s="37"/>
      <c r="BC40" s="101"/>
      <c r="BD40" s="37"/>
      <c r="BE40" s="101"/>
      <c r="BF40" s="37"/>
      <c r="BG40" s="101"/>
      <c r="BH40" s="37"/>
      <c r="BI40" s="101">
        <f t="shared" si="11"/>
        <v>0</v>
      </c>
      <c r="BJ40" s="37">
        <f t="shared" si="20"/>
        <v>0</v>
      </c>
      <c r="BK40" s="56">
        <f t="shared" si="21"/>
        <v>0</v>
      </c>
      <c r="BL40" s="362"/>
      <c r="BN40" s="70"/>
      <c r="BO40" s="70"/>
      <c r="BP40" s="70">
        <f>G40</f>
        <v>0</v>
      </c>
      <c r="BQ40" s="70"/>
      <c r="BR40" s="70">
        <f t="shared" si="18"/>
        <v>0</v>
      </c>
      <c r="BS40" s="70"/>
      <c r="BT40" s="70"/>
      <c r="BU40" s="75">
        <f t="shared" si="19"/>
        <v>0</v>
      </c>
      <c r="BV40" s="101">
        <f t="shared" si="0"/>
        <v>0</v>
      </c>
    </row>
    <row r="41" spans="1:74">
      <c r="A41" s="886"/>
      <c r="B41" s="30"/>
      <c r="C41" s="307" t="s">
        <v>522</v>
      </c>
      <c r="D41" s="362" t="s">
        <v>65</v>
      </c>
      <c r="E41" s="312" t="s">
        <v>480</v>
      </c>
      <c r="F41" s="37">
        <f t="shared" si="24"/>
        <v>0</v>
      </c>
      <c r="G41" s="177">
        <f t="shared" si="25"/>
        <v>0</v>
      </c>
      <c r="H41" s="177">
        <f>G41*0.2</f>
        <v>0</v>
      </c>
      <c r="I41" s="177">
        <f>G41*0.8</f>
        <v>0</v>
      </c>
      <c r="J41" s="177">
        <f t="shared" ref="J41:BC41" si="29">I41*H41</f>
        <v>0</v>
      </c>
      <c r="K41" s="177">
        <f t="shared" si="29"/>
        <v>0</v>
      </c>
      <c r="L41" s="177">
        <f t="shared" si="29"/>
        <v>0</v>
      </c>
      <c r="M41" s="177">
        <f t="shared" si="29"/>
        <v>0</v>
      </c>
      <c r="N41" s="177">
        <f t="shared" si="29"/>
        <v>0</v>
      </c>
      <c r="O41" s="177">
        <f t="shared" si="29"/>
        <v>0</v>
      </c>
      <c r="P41" s="177">
        <f t="shared" si="29"/>
        <v>0</v>
      </c>
      <c r="Q41" s="177">
        <f t="shared" si="29"/>
        <v>0</v>
      </c>
      <c r="R41" s="177">
        <f t="shared" si="29"/>
        <v>0</v>
      </c>
      <c r="S41" s="177">
        <f t="shared" si="29"/>
        <v>0</v>
      </c>
      <c r="T41" s="177">
        <f t="shared" si="29"/>
        <v>0</v>
      </c>
      <c r="U41" s="177">
        <f t="shared" si="29"/>
        <v>0</v>
      </c>
      <c r="V41" s="177">
        <f t="shared" si="29"/>
        <v>0</v>
      </c>
      <c r="W41" s="177">
        <f t="shared" si="29"/>
        <v>0</v>
      </c>
      <c r="X41" s="177">
        <f t="shared" si="29"/>
        <v>0</v>
      </c>
      <c r="Y41" s="177">
        <f t="shared" si="29"/>
        <v>0</v>
      </c>
      <c r="Z41" s="177">
        <f t="shared" si="29"/>
        <v>0</v>
      </c>
      <c r="AA41" s="177">
        <f t="shared" si="29"/>
        <v>0</v>
      </c>
      <c r="AB41" s="177">
        <f t="shared" si="29"/>
        <v>0</v>
      </c>
      <c r="AC41" s="177">
        <f t="shared" si="29"/>
        <v>0</v>
      </c>
      <c r="AD41" s="177">
        <f t="shared" si="29"/>
        <v>0</v>
      </c>
      <c r="AE41" s="177">
        <f t="shared" si="29"/>
        <v>0</v>
      </c>
      <c r="AF41" s="177">
        <f t="shared" si="29"/>
        <v>0</v>
      </c>
      <c r="AG41" s="177">
        <f t="shared" si="29"/>
        <v>0</v>
      </c>
      <c r="AH41" s="177">
        <f t="shared" si="29"/>
        <v>0</v>
      </c>
      <c r="AI41" s="177">
        <f t="shared" si="29"/>
        <v>0</v>
      </c>
      <c r="AJ41" s="177">
        <f t="shared" si="29"/>
        <v>0</v>
      </c>
      <c r="AK41" s="177">
        <f t="shared" si="29"/>
        <v>0</v>
      </c>
      <c r="AL41" s="177">
        <f t="shared" si="29"/>
        <v>0</v>
      </c>
      <c r="AM41" s="177">
        <f t="shared" si="29"/>
        <v>0</v>
      </c>
      <c r="AN41" s="177">
        <f t="shared" si="29"/>
        <v>0</v>
      </c>
      <c r="AO41" s="177">
        <f t="shared" si="29"/>
        <v>0</v>
      </c>
      <c r="AP41" s="177">
        <f t="shared" si="29"/>
        <v>0</v>
      </c>
      <c r="AQ41" s="177">
        <f t="shared" si="29"/>
        <v>0</v>
      </c>
      <c r="AR41" s="177">
        <f t="shared" si="29"/>
        <v>0</v>
      </c>
      <c r="AS41" s="177">
        <f t="shared" si="29"/>
        <v>0</v>
      </c>
      <c r="AT41" s="177">
        <f t="shared" si="29"/>
        <v>0</v>
      </c>
      <c r="AU41" s="177">
        <f t="shared" si="29"/>
        <v>0</v>
      </c>
      <c r="AV41" s="177">
        <f t="shared" si="29"/>
        <v>0</v>
      </c>
      <c r="AW41" s="177">
        <f t="shared" si="29"/>
        <v>0</v>
      </c>
      <c r="AX41" s="177">
        <f t="shared" si="29"/>
        <v>0</v>
      </c>
      <c r="AY41" s="177">
        <f t="shared" si="29"/>
        <v>0</v>
      </c>
      <c r="AZ41" s="177">
        <f t="shared" si="29"/>
        <v>0</v>
      </c>
      <c r="BA41" s="177">
        <f t="shared" si="29"/>
        <v>0</v>
      </c>
      <c r="BB41" s="177">
        <f t="shared" si="29"/>
        <v>0</v>
      </c>
      <c r="BC41" s="177">
        <f t="shared" si="29"/>
        <v>0</v>
      </c>
      <c r="BD41" s="37"/>
      <c r="BE41" s="101"/>
      <c r="BF41" s="37"/>
      <c r="BG41" s="101"/>
      <c r="BH41" s="37">
        <v>0</v>
      </c>
      <c r="BI41" s="101">
        <f t="shared" si="11"/>
        <v>0</v>
      </c>
      <c r="BJ41" s="37">
        <f t="shared" si="20"/>
        <v>0</v>
      </c>
      <c r="BK41" s="56">
        <f t="shared" si="21"/>
        <v>0</v>
      </c>
      <c r="BL41" s="362" t="s">
        <v>224</v>
      </c>
      <c r="BN41" s="70"/>
      <c r="BO41" s="70"/>
      <c r="BP41" s="70">
        <f>G41</f>
        <v>0</v>
      </c>
      <c r="BQ41" s="70"/>
      <c r="BR41" s="70">
        <f t="shared" si="18"/>
        <v>0</v>
      </c>
      <c r="BS41" s="70"/>
      <c r="BT41" s="70"/>
      <c r="BU41" s="75">
        <f t="shared" si="19"/>
        <v>0</v>
      </c>
      <c r="BV41" s="101">
        <f t="shared" si="0"/>
        <v>0</v>
      </c>
    </row>
    <row r="42" spans="1:74" ht="31.5">
      <c r="A42" s="886"/>
      <c r="B42" s="30"/>
      <c r="C42" s="421" t="s">
        <v>717</v>
      </c>
      <c r="D42" s="362" t="s">
        <v>16</v>
      </c>
      <c r="E42" s="312">
        <v>9000000</v>
      </c>
      <c r="F42" s="37">
        <f t="shared" si="24"/>
        <v>1</v>
      </c>
      <c r="G42" s="177">
        <f t="shared" si="25"/>
        <v>9000000</v>
      </c>
      <c r="H42" s="177">
        <f>G42*0.2</f>
        <v>1800000</v>
      </c>
      <c r="I42" s="177">
        <f>G42*0.8</f>
        <v>7200000</v>
      </c>
      <c r="J42" s="177"/>
      <c r="K42" s="177"/>
      <c r="L42" s="177"/>
      <c r="M42" s="177"/>
      <c r="N42" s="177"/>
      <c r="O42" s="56"/>
      <c r="P42" s="56"/>
      <c r="Q42" s="56"/>
      <c r="R42" s="37"/>
      <c r="S42" s="37"/>
      <c r="T42" s="37">
        <f>F42*0.25</f>
        <v>0.25</v>
      </c>
      <c r="U42" s="37"/>
      <c r="V42" s="101"/>
      <c r="W42" s="101"/>
      <c r="X42" s="101"/>
      <c r="Y42" s="101"/>
      <c r="Z42" s="37"/>
      <c r="AA42" s="101"/>
      <c r="AB42" s="37"/>
      <c r="AC42" s="101"/>
      <c r="AD42" s="37"/>
      <c r="AE42" s="101"/>
      <c r="AF42" s="37"/>
      <c r="AG42" s="101"/>
      <c r="AH42" s="37"/>
      <c r="AI42" s="101"/>
      <c r="AJ42" s="37"/>
      <c r="AK42" s="101"/>
      <c r="AL42" s="37"/>
      <c r="AM42" s="101"/>
      <c r="AN42" s="37"/>
      <c r="AO42" s="101"/>
      <c r="AP42" s="37"/>
      <c r="AQ42" s="101"/>
      <c r="AR42" s="37"/>
      <c r="AS42" s="101"/>
      <c r="AT42" s="37"/>
      <c r="AU42" s="101"/>
      <c r="AV42" s="37"/>
      <c r="AW42" s="101"/>
      <c r="AX42" s="37"/>
      <c r="AY42" s="101"/>
      <c r="AZ42" s="37"/>
      <c r="BA42" s="101"/>
      <c r="BB42" s="37"/>
      <c r="BC42" s="101"/>
      <c r="BD42" s="37"/>
      <c r="BE42" s="101"/>
      <c r="BF42" s="37"/>
      <c r="BG42" s="101"/>
      <c r="BH42" s="37">
        <v>1</v>
      </c>
      <c r="BI42" s="101">
        <f t="shared" si="11"/>
        <v>9000000</v>
      </c>
      <c r="BJ42" s="37">
        <f t="shared" si="20"/>
        <v>1</v>
      </c>
      <c r="BK42" s="56">
        <f t="shared" si="21"/>
        <v>9000000</v>
      </c>
      <c r="BL42" s="362"/>
      <c r="BN42" s="70"/>
      <c r="BO42" s="70"/>
      <c r="BP42" s="70">
        <f>BK42</f>
        <v>9000000</v>
      </c>
      <c r="BQ42" s="70"/>
      <c r="BR42" s="70">
        <f t="shared" si="18"/>
        <v>9000000</v>
      </c>
      <c r="BS42" s="70"/>
      <c r="BT42" s="70"/>
      <c r="BU42" s="75">
        <f t="shared" si="19"/>
        <v>0</v>
      </c>
      <c r="BV42" s="101">
        <f t="shared" si="0"/>
        <v>9000000</v>
      </c>
    </row>
    <row r="43" spans="1:74">
      <c r="A43" s="886"/>
      <c r="B43" s="30"/>
      <c r="C43" s="307" t="s">
        <v>124</v>
      </c>
      <c r="D43" s="362" t="s">
        <v>16</v>
      </c>
      <c r="E43" s="504">
        <v>50000</v>
      </c>
      <c r="F43" s="37">
        <f t="shared" si="24"/>
        <v>1</v>
      </c>
      <c r="G43" s="177">
        <f t="shared" si="25"/>
        <v>50000</v>
      </c>
      <c r="H43" s="177">
        <f t="shared" si="23"/>
        <v>10000</v>
      </c>
      <c r="I43" s="177">
        <f t="shared" si="26"/>
        <v>40000</v>
      </c>
      <c r="J43" s="177"/>
      <c r="K43" s="177"/>
      <c r="L43" s="177"/>
      <c r="M43" s="177"/>
      <c r="N43" s="177"/>
      <c r="O43" s="56"/>
      <c r="P43" s="56"/>
      <c r="Q43" s="56"/>
      <c r="R43" s="37"/>
      <c r="S43" s="37"/>
      <c r="T43" s="37">
        <f t="shared" si="27"/>
        <v>1</v>
      </c>
      <c r="U43" s="37"/>
      <c r="V43" s="101"/>
      <c r="W43" s="101"/>
      <c r="X43" s="101">
        <f>T43*E43</f>
        <v>50000</v>
      </c>
      <c r="Y43" s="101"/>
      <c r="Z43" s="37"/>
      <c r="AA43" s="101"/>
      <c r="AB43" s="37"/>
      <c r="AC43" s="101"/>
      <c r="AD43" s="37"/>
      <c r="AE43" s="101"/>
      <c r="AF43" s="37"/>
      <c r="AG43" s="101"/>
      <c r="AH43" s="37"/>
      <c r="AI43" s="101"/>
      <c r="AJ43" s="37"/>
      <c r="AK43" s="101"/>
      <c r="AL43" s="37"/>
      <c r="AM43" s="101"/>
      <c r="AN43" s="37"/>
      <c r="AO43" s="101"/>
      <c r="AP43" s="37"/>
      <c r="AQ43" s="101"/>
      <c r="AR43" s="37"/>
      <c r="AS43" s="101"/>
      <c r="AT43" s="37"/>
      <c r="AU43" s="101"/>
      <c r="AV43" s="37"/>
      <c r="AW43" s="101"/>
      <c r="AX43" s="37"/>
      <c r="AY43" s="101"/>
      <c r="AZ43" s="37"/>
      <c r="BA43" s="101"/>
      <c r="BB43" s="37"/>
      <c r="BC43" s="101"/>
      <c r="BD43" s="37"/>
      <c r="BE43" s="101"/>
      <c r="BF43" s="37"/>
      <c r="BG43" s="101"/>
      <c r="BH43" s="37">
        <v>1</v>
      </c>
      <c r="BI43" s="101">
        <f t="shared" si="11"/>
        <v>50000</v>
      </c>
      <c r="BJ43" s="37">
        <f t="shared" si="20"/>
        <v>1</v>
      </c>
      <c r="BK43" s="56">
        <f t="shared" si="21"/>
        <v>50000</v>
      </c>
      <c r="BL43" s="362" t="s">
        <v>224</v>
      </c>
      <c r="BN43" s="70"/>
      <c r="BO43" s="70"/>
      <c r="BP43" s="70"/>
      <c r="BQ43" s="70"/>
      <c r="BR43" s="70">
        <f t="shared" si="18"/>
        <v>0</v>
      </c>
      <c r="BS43" s="70"/>
      <c r="BT43" s="70">
        <f>BK43</f>
        <v>50000</v>
      </c>
      <c r="BU43" s="75">
        <f t="shared" si="19"/>
        <v>50000</v>
      </c>
      <c r="BV43" s="101">
        <f t="shared" si="0"/>
        <v>50000</v>
      </c>
    </row>
    <row r="44" spans="1:74" ht="14.25" customHeight="1">
      <c r="A44" s="886"/>
      <c r="B44" s="30"/>
      <c r="C44" s="307" t="s">
        <v>523</v>
      </c>
      <c r="D44" s="362" t="s">
        <v>16</v>
      </c>
      <c r="E44" s="312" t="s">
        <v>474</v>
      </c>
      <c r="F44" s="37">
        <f t="shared" si="24"/>
        <v>0</v>
      </c>
      <c r="G44" s="177">
        <f t="shared" si="25"/>
        <v>0</v>
      </c>
      <c r="H44" s="177">
        <f t="shared" si="23"/>
        <v>0</v>
      </c>
      <c r="I44" s="177">
        <f t="shared" si="26"/>
        <v>0</v>
      </c>
      <c r="J44" s="177"/>
      <c r="K44" s="177"/>
      <c r="L44" s="177"/>
      <c r="M44" s="177"/>
      <c r="N44" s="177"/>
      <c r="O44" s="56"/>
      <c r="P44" s="56"/>
      <c r="Q44" s="56"/>
      <c r="R44" s="37"/>
      <c r="S44" s="37"/>
      <c r="T44" s="37">
        <f t="shared" si="27"/>
        <v>0</v>
      </c>
      <c r="U44" s="37"/>
      <c r="V44" s="101"/>
      <c r="W44" s="101"/>
      <c r="X44" s="101">
        <f>T44*E44</f>
        <v>0</v>
      </c>
      <c r="Y44" s="101"/>
      <c r="Z44" s="37"/>
      <c r="AA44" s="101"/>
      <c r="AB44" s="37"/>
      <c r="AC44" s="101"/>
      <c r="AD44" s="37"/>
      <c r="AE44" s="101"/>
      <c r="AF44" s="37"/>
      <c r="AG44" s="101"/>
      <c r="AH44" s="37"/>
      <c r="AI44" s="101"/>
      <c r="AJ44" s="37"/>
      <c r="AK44" s="101"/>
      <c r="AL44" s="37"/>
      <c r="AM44" s="101"/>
      <c r="AN44" s="37"/>
      <c r="AO44" s="101"/>
      <c r="AP44" s="37"/>
      <c r="AQ44" s="101"/>
      <c r="AR44" s="37"/>
      <c r="AS44" s="101"/>
      <c r="AT44" s="37"/>
      <c r="AU44" s="101"/>
      <c r="AV44" s="37"/>
      <c r="AW44" s="101"/>
      <c r="AX44" s="37"/>
      <c r="AY44" s="101"/>
      <c r="AZ44" s="37"/>
      <c r="BA44" s="101"/>
      <c r="BB44" s="37"/>
      <c r="BC44" s="101"/>
      <c r="BD44" s="37"/>
      <c r="BE44" s="101"/>
      <c r="BF44" s="37"/>
      <c r="BG44" s="101"/>
      <c r="BH44" s="37">
        <v>0</v>
      </c>
      <c r="BI44" s="101">
        <f t="shared" si="11"/>
        <v>0</v>
      </c>
      <c r="BJ44" s="37">
        <f t="shared" si="20"/>
        <v>0</v>
      </c>
      <c r="BK44" s="56">
        <f t="shared" si="21"/>
        <v>0</v>
      </c>
      <c r="BL44" s="362" t="s">
        <v>224</v>
      </c>
      <c r="BN44" s="70"/>
      <c r="BO44" s="70"/>
      <c r="BP44" s="70">
        <f>G44</f>
        <v>0</v>
      </c>
      <c r="BQ44" s="70"/>
      <c r="BR44" s="70">
        <f t="shared" si="18"/>
        <v>0</v>
      </c>
      <c r="BS44" s="70"/>
      <c r="BT44" s="70">
        <f>BK44</f>
        <v>0</v>
      </c>
      <c r="BU44" s="75">
        <f t="shared" si="19"/>
        <v>0</v>
      </c>
      <c r="BV44" s="101">
        <f t="shared" si="0"/>
        <v>0</v>
      </c>
    </row>
    <row r="45" spans="1:74" s="90" customFormat="1">
      <c r="A45" s="886"/>
      <c r="B45" s="93"/>
      <c r="C45" s="323" t="s">
        <v>524</v>
      </c>
      <c r="D45" s="377"/>
      <c r="E45" s="377"/>
      <c r="F45" s="37">
        <f t="shared" si="24"/>
        <v>0</v>
      </c>
      <c r="G45" s="177">
        <f t="shared" si="25"/>
        <v>0</v>
      </c>
      <c r="H45" s="177">
        <f t="shared" si="23"/>
        <v>0</v>
      </c>
      <c r="I45" s="177">
        <f t="shared" si="26"/>
        <v>0</v>
      </c>
      <c r="J45" s="378"/>
      <c r="K45" s="378"/>
      <c r="L45" s="378"/>
      <c r="M45" s="378"/>
      <c r="N45" s="378"/>
      <c r="O45" s="378"/>
      <c r="P45" s="378"/>
      <c r="Q45" s="378"/>
      <c r="R45" s="93"/>
      <c r="S45" s="93"/>
      <c r="T45" s="37">
        <f t="shared" si="27"/>
        <v>0</v>
      </c>
      <c r="U45" s="93"/>
      <c r="V45" s="378"/>
      <c r="W45" s="378"/>
      <c r="X45" s="101">
        <f>T45*E45</f>
        <v>0</v>
      </c>
      <c r="Y45" s="378"/>
      <c r="Z45" s="93"/>
      <c r="AA45" s="378"/>
      <c r="AB45" s="93"/>
      <c r="AC45" s="378"/>
      <c r="AD45" s="93"/>
      <c r="AE45" s="378"/>
      <c r="AF45" s="93"/>
      <c r="AG45" s="378"/>
      <c r="AH45" s="93"/>
      <c r="AI45" s="378"/>
      <c r="AJ45" s="93"/>
      <c r="AK45" s="378"/>
      <c r="AL45" s="93"/>
      <c r="AM45" s="378"/>
      <c r="AN45" s="93"/>
      <c r="AO45" s="378"/>
      <c r="AP45" s="93"/>
      <c r="AQ45" s="378"/>
      <c r="AR45" s="93"/>
      <c r="AS45" s="378"/>
      <c r="AT45" s="93"/>
      <c r="AU45" s="378"/>
      <c r="AV45" s="93"/>
      <c r="AW45" s="378"/>
      <c r="AX45" s="93"/>
      <c r="AY45" s="378"/>
      <c r="AZ45" s="93"/>
      <c r="BA45" s="378"/>
      <c r="BB45" s="93"/>
      <c r="BC45" s="378"/>
      <c r="BD45" s="93"/>
      <c r="BE45" s="378"/>
      <c r="BF45" s="93"/>
      <c r="BG45" s="378"/>
      <c r="BH45" s="93"/>
      <c r="BI45" s="101">
        <f t="shared" si="11"/>
        <v>0</v>
      </c>
      <c r="BJ45" s="93">
        <f t="shared" si="20"/>
        <v>0</v>
      </c>
      <c r="BK45" s="378">
        <f t="shared" si="21"/>
        <v>0</v>
      </c>
      <c r="BL45" s="377"/>
      <c r="BN45" s="575">
        <f t="shared" ref="BN45:BS45" si="30">SUM(BN19:BN44)</f>
        <v>0</v>
      </c>
      <c r="BO45" s="575">
        <f t="shared" si="30"/>
        <v>0</v>
      </c>
      <c r="BP45" s="575"/>
      <c r="BQ45" s="575">
        <f t="shared" si="30"/>
        <v>0</v>
      </c>
      <c r="BR45" s="70">
        <f t="shared" si="18"/>
        <v>0</v>
      </c>
      <c r="BS45" s="575">
        <f t="shared" si="30"/>
        <v>0</v>
      </c>
      <c r="BT45" s="575"/>
      <c r="BU45" s="75">
        <f t="shared" si="19"/>
        <v>0</v>
      </c>
      <c r="BV45" s="101">
        <f t="shared" si="0"/>
        <v>0</v>
      </c>
    </row>
    <row r="46" spans="1:74" s="90" customFormat="1">
      <c r="A46" s="886"/>
      <c r="B46" s="93"/>
      <c r="C46" s="323" t="s">
        <v>719</v>
      </c>
      <c r="D46" s="377" t="s">
        <v>16</v>
      </c>
      <c r="E46" s="325">
        <v>500000</v>
      </c>
      <c r="F46" s="37">
        <f t="shared" si="24"/>
        <v>1</v>
      </c>
      <c r="G46" s="177">
        <f t="shared" si="25"/>
        <v>500000</v>
      </c>
      <c r="H46" s="177">
        <f t="shared" si="23"/>
        <v>100000</v>
      </c>
      <c r="I46" s="177">
        <f t="shared" si="26"/>
        <v>400000</v>
      </c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37">
        <f t="shared" si="27"/>
        <v>1</v>
      </c>
      <c r="U46" s="79"/>
      <c r="V46" s="79"/>
      <c r="W46" s="79"/>
      <c r="X46" s="101">
        <f>T46*E46</f>
        <v>500000</v>
      </c>
      <c r="Y46" s="79"/>
      <c r="Z46" s="79"/>
      <c r="AA46" s="79"/>
      <c r="AB46" s="79"/>
      <c r="AC46" s="102"/>
      <c r="AD46" s="79"/>
      <c r="AE46" s="102"/>
      <c r="AF46" s="79"/>
      <c r="AG46" s="102"/>
      <c r="AH46" s="79"/>
      <c r="AI46" s="102"/>
      <c r="AJ46" s="79"/>
      <c r="AK46" s="102"/>
      <c r="AL46" s="79"/>
      <c r="AM46" s="102"/>
      <c r="AN46" s="79"/>
      <c r="AO46" s="102"/>
      <c r="AP46" s="79"/>
      <c r="AQ46" s="102"/>
      <c r="AR46" s="79"/>
      <c r="AS46" s="102"/>
      <c r="AT46" s="79"/>
      <c r="AU46" s="102"/>
      <c r="AV46" s="79"/>
      <c r="AW46" s="102"/>
      <c r="AX46" s="79"/>
      <c r="AY46" s="102"/>
      <c r="AZ46" s="79"/>
      <c r="BA46" s="102"/>
      <c r="BB46" s="79"/>
      <c r="BC46" s="102"/>
      <c r="BD46" s="79"/>
      <c r="BE46" s="102"/>
      <c r="BF46" s="79"/>
      <c r="BG46" s="102"/>
      <c r="BH46" s="79">
        <v>1</v>
      </c>
      <c r="BI46" s="101">
        <f t="shared" si="11"/>
        <v>500000</v>
      </c>
      <c r="BJ46" s="79">
        <f t="shared" si="20"/>
        <v>1</v>
      </c>
      <c r="BK46" s="79">
        <f t="shared" si="21"/>
        <v>500000</v>
      </c>
      <c r="BL46" s="377" t="s">
        <v>224</v>
      </c>
      <c r="BN46" s="98"/>
      <c r="BO46" s="98">
        <f>BK46</f>
        <v>500000</v>
      </c>
      <c r="BP46" s="98"/>
      <c r="BQ46" s="98"/>
      <c r="BR46" s="70">
        <f t="shared" si="18"/>
        <v>500000</v>
      </c>
      <c r="BS46" s="98"/>
      <c r="BT46" s="98"/>
      <c r="BU46" s="75">
        <f t="shared" si="19"/>
        <v>0</v>
      </c>
      <c r="BV46" s="101">
        <f t="shared" si="0"/>
        <v>500000</v>
      </c>
    </row>
    <row r="47" spans="1:74" s="240" customFormat="1">
      <c r="A47" s="886"/>
      <c r="B47" s="363"/>
      <c r="C47" s="336" t="s">
        <v>125</v>
      </c>
      <c r="D47" s="439" t="s">
        <v>121</v>
      </c>
      <c r="E47" s="440" t="s">
        <v>121</v>
      </c>
      <c r="F47" s="429">
        <f>SUM(F34:F46)</f>
        <v>1006</v>
      </c>
      <c r="G47" s="429">
        <f t="shared" ref="G47:BR47" si="31">SUM(G34:G46)</f>
        <v>14200000</v>
      </c>
      <c r="H47" s="429">
        <f t="shared" si="31"/>
        <v>2840000</v>
      </c>
      <c r="I47" s="429">
        <f t="shared" si="31"/>
        <v>11360000</v>
      </c>
      <c r="J47" s="429">
        <f t="shared" si="31"/>
        <v>0</v>
      </c>
      <c r="K47" s="429">
        <f t="shared" si="31"/>
        <v>0</v>
      </c>
      <c r="L47" s="429">
        <f t="shared" si="31"/>
        <v>0</v>
      </c>
      <c r="M47" s="429">
        <f t="shared" si="31"/>
        <v>0</v>
      </c>
      <c r="N47" s="429">
        <f t="shared" si="31"/>
        <v>0</v>
      </c>
      <c r="O47" s="429">
        <f t="shared" si="31"/>
        <v>0</v>
      </c>
      <c r="P47" s="429">
        <f t="shared" si="31"/>
        <v>0</v>
      </c>
      <c r="Q47" s="429">
        <f t="shared" si="31"/>
        <v>0</v>
      </c>
      <c r="R47" s="429">
        <f t="shared" si="31"/>
        <v>0</v>
      </c>
      <c r="S47" s="429">
        <f t="shared" si="31"/>
        <v>0</v>
      </c>
      <c r="T47" s="429">
        <f t="shared" si="31"/>
        <v>1005.25</v>
      </c>
      <c r="U47" s="429">
        <f t="shared" si="31"/>
        <v>0</v>
      </c>
      <c r="V47" s="429">
        <f t="shared" si="31"/>
        <v>0</v>
      </c>
      <c r="W47" s="429">
        <f t="shared" si="31"/>
        <v>0</v>
      </c>
      <c r="X47" s="429">
        <f t="shared" si="31"/>
        <v>5200000</v>
      </c>
      <c r="Y47" s="429">
        <f t="shared" si="31"/>
        <v>0</v>
      </c>
      <c r="Z47" s="429">
        <f t="shared" si="31"/>
        <v>0</v>
      </c>
      <c r="AA47" s="429">
        <f t="shared" si="31"/>
        <v>0</v>
      </c>
      <c r="AB47" s="429">
        <f t="shared" si="31"/>
        <v>0</v>
      </c>
      <c r="AC47" s="429">
        <f t="shared" si="31"/>
        <v>0</v>
      </c>
      <c r="AD47" s="429">
        <f t="shared" si="31"/>
        <v>0</v>
      </c>
      <c r="AE47" s="429">
        <f t="shared" si="31"/>
        <v>0</v>
      </c>
      <c r="AF47" s="429">
        <f t="shared" si="31"/>
        <v>0</v>
      </c>
      <c r="AG47" s="429">
        <f t="shared" si="31"/>
        <v>0</v>
      </c>
      <c r="AH47" s="429">
        <f t="shared" si="31"/>
        <v>0</v>
      </c>
      <c r="AI47" s="429">
        <f t="shared" si="31"/>
        <v>0</v>
      </c>
      <c r="AJ47" s="429">
        <f t="shared" si="31"/>
        <v>0</v>
      </c>
      <c r="AK47" s="429">
        <f t="shared" si="31"/>
        <v>0</v>
      </c>
      <c r="AL47" s="429">
        <f t="shared" si="31"/>
        <v>0</v>
      </c>
      <c r="AM47" s="429">
        <f t="shared" si="31"/>
        <v>0</v>
      </c>
      <c r="AN47" s="429">
        <f t="shared" si="31"/>
        <v>0</v>
      </c>
      <c r="AO47" s="429">
        <f t="shared" si="31"/>
        <v>0</v>
      </c>
      <c r="AP47" s="429">
        <f t="shared" si="31"/>
        <v>0</v>
      </c>
      <c r="AQ47" s="429">
        <f t="shared" si="31"/>
        <v>0</v>
      </c>
      <c r="AR47" s="429">
        <f t="shared" si="31"/>
        <v>0</v>
      </c>
      <c r="AS47" s="429">
        <f t="shared" si="31"/>
        <v>0</v>
      </c>
      <c r="AT47" s="429">
        <f t="shared" si="31"/>
        <v>0</v>
      </c>
      <c r="AU47" s="429">
        <f t="shared" si="31"/>
        <v>0</v>
      </c>
      <c r="AV47" s="429">
        <f t="shared" si="31"/>
        <v>0</v>
      </c>
      <c r="AW47" s="429">
        <f t="shared" si="31"/>
        <v>0</v>
      </c>
      <c r="AX47" s="429">
        <f t="shared" si="31"/>
        <v>0</v>
      </c>
      <c r="AY47" s="429">
        <f t="shared" si="31"/>
        <v>0</v>
      </c>
      <c r="AZ47" s="429">
        <f t="shared" si="31"/>
        <v>0</v>
      </c>
      <c r="BA47" s="429">
        <f t="shared" si="31"/>
        <v>0</v>
      </c>
      <c r="BB47" s="429">
        <f t="shared" si="31"/>
        <v>0</v>
      </c>
      <c r="BC47" s="429">
        <f t="shared" si="31"/>
        <v>0</v>
      </c>
      <c r="BD47" s="429">
        <f t="shared" si="31"/>
        <v>0</v>
      </c>
      <c r="BE47" s="429">
        <f t="shared" si="31"/>
        <v>0</v>
      </c>
      <c r="BF47" s="429">
        <f t="shared" si="31"/>
        <v>0</v>
      </c>
      <c r="BG47" s="429">
        <f t="shared" si="31"/>
        <v>0</v>
      </c>
      <c r="BH47" s="429">
        <f t="shared" si="31"/>
        <v>1006</v>
      </c>
      <c r="BI47" s="429">
        <f t="shared" si="31"/>
        <v>14200000</v>
      </c>
      <c r="BJ47" s="429">
        <f t="shared" si="31"/>
        <v>1006</v>
      </c>
      <c r="BK47" s="429">
        <f t="shared" si="31"/>
        <v>14200000</v>
      </c>
      <c r="BL47" s="429">
        <f t="shared" si="31"/>
        <v>0</v>
      </c>
      <c r="BM47" s="429">
        <f t="shared" si="31"/>
        <v>0</v>
      </c>
      <c r="BN47" s="429">
        <f t="shared" si="31"/>
        <v>0</v>
      </c>
      <c r="BO47" s="429">
        <f t="shared" si="31"/>
        <v>500000</v>
      </c>
      <c r="BP47" s="429">
        <f t="shared" si="31"/>
        <v>13500000</v>
      </c>
      <c r="BQ47" s="429">
        <f t="shared" si="31"/>
        <v>0</v>
      </c>
      <c r="BR47" s="429">
        <f t="shared" si="31"/>
        <v>14000000</v>
      </c>
      <c r="BS47" s="429">
        <f>SUM(BS34:BS46)</f>
        <v>0</v>
      </c>
      <c r="BT47" s="429">
        <f>SUM(BT34:BT46)</f>
        <v>200000</v>
      </c>
      <c r="BU47" s="429">
        <f>SUM(BU34:BU46)</f>
        <v>200000</v>
      </c>
      <c r="BV47" s="429">
        <f>SUM(BV34:BV46)</f>
        <v>14200000</v>
      </c>
    </row>
    <row r="48" spans="1:74" s="90" customFormat="1">
      <c r="A48" s="886"/>
      <c r="B48" s="93"/>
      <c r="C48" s="332" t="s">
        <v>525</v>
      </c>
      <c r="D48" s="377" t="s">
        <v>121</v>
      </c>
      <c r="E48" s="325"/>
      <c r="F48" s="79"/>
      <c r="G48" s="331"/>
      <c r="H48" s="331"/>
      <c r="I48" s="331"/>
      <c r="J48" s="331"/>
      <c r="K48" s="331"/>
      <c r="L48" s="331"/>
      <c r="M48" s="331"/>
      <c r="N48" s="331"/>
      <c r="O48" s="78"/>
      <c r="P48" s="78"/>
      <c r="Q48" s="78"/>
      <c r="R48" s="79"/>
      <c r="S48" s="79"/>
      <c r="T48" s="79"/>
      <c r="U48" s="79"/>
      <c r="V48" s="102"/>
      <c r="W48" s="102"/>
      <c r="X48" s="102"/>
      <c r="Y48" s="102"/>
      <c r="Z48" s="79"/>
      <c r="AA48" s="102"/>
      <c r="AB48" s="79"/>
      <c r="AC48" s="102"/>
      <c r="AD48" s="79"/>
      <c r="AE48" s="102"/>
      <c r="AF48" s="79"/>
      <c r="AG48" s="102"/>
      <c r="AH48" s="79"/>
      <c r="AI48" s="102"/>
      <c r="AJ48" s="79"/>
      <c r="AK48" s="102"/>
      <c r="AL48" s="79"/>
      <c r="AM48" s="102"/>
      <c r="AN48" s="79"/>
      <c r="AO48" s="102"/>
      <c r="AP48" s="79"/>
      <c r="AQ48" s="102"/>
      <c r="AR48" s="79"/>
      <c r="AS48" s="102"/>
      <c r="AT48" s="79"/>
      <c r="AU48" s="102"/>
      <c r="AV48" s="79"/>
      <c r="AW48" s="102"/>
      <c r="AX48" s="79"/>
      <c r="AY48" s="102"/>
      <c r="AZ48" s="79"/>
      <c r="BA48" s="102"/>
      <c r="BB48" s="79"/>
      <c r="BC48" s="102"/>
      <c r="BD48" s="79"/>
      <c r="BE48" s="102"/>
      <c r="BF48" s="79"/>
      <c r="BG48" s="102"/>
      <c r="BH48" s="79"/>
      <c r="BI48" s="101">
        <f t="shared" si="11"/>
        <v>0</v>
      </c>
      <c r="BJ48" s="79">
        <f t="shared" si="20"/>
        <v>0</v>
      </c>
      <c r="BK48" s="78">
        <f t="shared" si="21"/>
        <v>0</v>
      </c>
      <c r="BL48" s="377" t="s">
        <v>121</v>
      </c>
      <c r="BN48" s="98"/>
      <c r="BO48" s="98"/>
      <c r="BP48" s="98">
        <f>G48</f>
        <v>0</v>
      </c>
      <c r="BQ48" s="98"/>
      <c r="BR48" s="98">
        <f>BN48+BO48+BP48+BQ48</f>
        <v>0</v>
      </c>
      <c r="BS48" s="98"/>
      <c r="BT48" s="98"/>
      <c r="BU48" s="91">
        <f t="shared" ref="BU48:BU54" si="32">BS48+BT48</f>
        <v>0</v>
      </c>
      <c r="BV48" s="102">
        <f t="shared" si="0"/>
        <v>0</v>
      </c>
    </row>
    <row r="49" spans="1:74" s="90" customFormat="1">
      <c r="A49" s="886"/>
      <c r="B49" s="93"/>
      <c r="C49" s="332" t="s">
        <v>454</v>
      </c>
      <c r="D49" s="377" t="s">
        <v>121</v>
      </c>
      <c r="E49" s="325"/>
      <c r="F49" s="79"/>
      <c r="G49" s="331"/>
      <c r="H49" s="331"/>
      <c r="I49" s="331"/>
      <c r="J49" s="331"/>
      <c r="K49" s="331"/>
      <c r="L49" s="331"/>
      <c r="M49" s="331"/>
      <c r="N49" s="331"/>
      <c r="O49" s="78"/>
      <c r="P49" s="78"/>
      <c r="Q49" s="78"/>
      <c r="R49" s="79"/>
      <c r="S49" s="79"/>
      <c r="T49" s="79"/>
      <c r="U49" s="79"/>
      <c r="V49" s="102"/>
      <c r="W49" s="102"/>
      <c r="X49" s="102"/>
      <c r="Y49" s="102"/>
      <c r="Z49" s="79"/>
      <c r="AA49" s="102"/>
      <c r="AB49" s="79"/>
      <c r="AC49" s="102"/>
      <c r="AD49" s="79"/>
      <c r="AE49" s="102"/>
      <c r="AF49" s="79"/>
      <c r="AG49" s="102"/>
      <c r="AH49" s="79"/>
      <c r="AI49" s="102"/>
      <c r="AJ49" s="79"/>
      <c r="AK49" s="102"/>
      <c r="AL49" s="79"/>
      <c r="AM49" s="102"/>
      <c r="AN49" s="79"/>
      <c r="AO49" s="102"/>
      <c r="AP49" s="79"/>
      <c r="AQ49" s="102"/>
      <c r="AR49" s="79"/>
      <c r="AS49" s="102"/>
      <c r="AT49" s="79"/>
      <c r="AU49" s="102"/>
      <c r="AV49" s="79"/>
      <c r="AW49" s="102"/>
      <c r="AX49" s="79"/>
      <c r="AY49" s="102"/>
      <c r="AZ49" s="79"/>
      <c r="BA49" s="102"/>
      <c r="BB49" s="79"/>
      <c r="BC49" s="102"/>
      <c r="BD49" s="79"/>
      <c r="BE49" s="102"/>
      <c r="BF49" s="79"/>
      <c r="BG49" s="102"/>
      <c r="BH49" s="79"/>
      <c r="BI49" s="101">
        <f t="shared" si="11"/>
        <v>0</v>
      </c>
      <c r="BJ49" s="79">
        <f t="shared" si="20"/>
        <v>0</v>
      </c>
      <c r="BK49" s="78">
        <f t="shared" si="21"/>
        <v>0</v>
      </c>
      <c r="BL49" s="377" t="s">
        <v>121</v>
      </c>
      <c r="BN49" s="98"/>
      <c r="BO49" s="98"/>
      <c r="BP49" s="98">
        <f>G49</f>
        <v>0</v>
      </c>
      <c r="BQ49" s="98"/>
      <c r="BR49" s="98">
        <f>BN49+BO49+BP49+BQ49</f>
        <v>0</v>
      </c>
      <c r="BS49" s="98"/>
      <c r="BT49" s="98"/>
      <c r="BU49" s="91">
        <f t="shared" si="32"/>
        <v>0</v>
      </c>
      <c r="BV49" s="102">
        <f t="shared" si="0"/>
        <v>0</v>
      </c>
    </row>
    <row r="50" spans="1:74" s="90" customFormat="1">
      <c r="A50" s="886"/>
      <c r="B50" s="93"/>
      <c r="C50" s="332" t="s">
        <v>455</v>
      </c>
      <c r="D50" s="377"/>
      <c r="E50" s="377"/>
      <c r="F50" s="79"/>
      <c r="G50" s="331"/>
      <c r="H50" s="331"/>
      <c r="I50" s="331"/>
      <c r="J50" s="331"/>
      <c r="K50" s="331"/>
      <c r="L50" s="331"/>
      <c r="M50" s="331"/>
      <c r="N50" s="331"/>
      <c r="O50" s="78"/>
      <c r="P50" s="78"/>
      <c r="Q50" s="78"/>
      <c r="R50" s="79"/>
      <c r="S50" s="79"/>
      <c r="T50" s="79"/>
      <c r="U50" s="79"/>
      <c r="V50" s="102"/>
      <c r="W50" s="102"/>
      <c r="X50" s="102"/>
      <c r="Y50" s="102"/>
      <c r="Z50" s="79"/>
      <c r="AA50" s="102"/>
      <c r="AB50" s="79"/>
      <c r="AC50" s="102"/>
      <c r="AD50" s="79"/>
      <c r="AE50" s="102"/>
      <c r="AF50" s="79"/>
      <c r="AG50" s="102"/>
      <c r="AH50" s="79"/>
      <c r="AI50" s="102"/>
      <c r="AJ50" s="79"/>
      <c r="AK50" s="102"/>
      <c r="AL50" s="79"/>
      <c r="AM50" s="102"/>
      <c r="AN50" s="79"/>
      <c r="AO50" s="102"/>
      <c r="AP50" s="79"/>
      <c r="AQ50" s="102"/>
      <c r="AR50" s="79"/>
      <c r="AS50" s="102"/>
      <c r="AT50" s="79"/>
      <c r="AU50" s="102"/>
      <c r="AV50" s="79"/>
      <c r="AW50" s="102"/>
      <c r="AX50" s="79"/>
      <c r="AY50" s="102"/>
      <c r="AZ50" s="79"/>
      <c r="BA50" s="102"/>
      <c r="BB50" s="79"/>
      <c r="BC50" s="102"/>
      <c r="BD50" s="79"/>
      <c r="BE50" s="102"/>
      <c r="BF50" s="79"/>
      <c r="BG50" s="102"/>
      <c r="BH50" s="79"/>
      <c r="BI50" s="101">
        <f t="shared" si="11"/>
        <v>0</v>
      </c>
      <c r="BJ50" s="79">
        <f t="shared" si="20"/>
        <v>0</v>
      </c>
      <c r="BK50" s="78">
        <f t="shared" si="21"/>
        <v>0</v>
      </c>
      <c r="BL50" s="377"/>
      <c r="BN50" s="98"/>
      <c r="BO50" s="98"/>
      <c r="BP50" s="98"/>
      <c r="BQ50" s="98"/>
      <c r="BR50" s="98">
        <f>BN50+BO50+BP50+BQ50</f>
        <v>0</v>
      </c>
      <c r="BS50" s="98"/>
      <c r="BT50" s="98"/>
      <c r="BU50" s="91">
        <f t="shared" si="32"/>
        <v>0</v>
      </c>
      <c r="BV50" s="102">
        <f t="shared" si="0"/>
        <v>0</v>
      </c>
    </row>
    <row r="51" spans="1:74" s="90" customFormat="1">
      <c r="A51" s="886"/>
      <c r="B51" s="93"/>
      <c r="C51" s="332" t="s">
        <v>456</v>
      </c>
      <c r="D51" s="377"/>
      <c r="E51" s="377"/>
      <c r="F51" s="79"/>
      <c r="G51" s="331"/>
      <c r="H51" s="331"/>
      <c r="I51" s="331"/>
      <c r="J51" s="331"/>
      <c r="K51" s="331"/>
      <c r="L51" s="331"/>
      <c r="M51" s="331"/>
      <c r="N51" s="331"/>
      <c r="O51" s="78"/>
      <c r="P51" s="78"/>
      <c r="Q51" s="78"/>
      <c r="R51" s="79"/>
      <c r="S51" s="79"/>
      <c r="T51" s="79"/>
      <c r="U51" s="79"/>
      <c r="V51" s="102"/>
      <c r="W51" s="102"/>
      <c r="X51" s="102"/>
      <c r="Y51" s="102"/>
      <c r="Z51" s="79"/>
      <c r="AA51" s="102"/>
      <c r="AB51" s="79"/>
      <c r="AC51" s="102"/>
      <c r="AD51" s="79"/>
      <c r="AE51" s="102"/>
      <c r="AF51" s="79"/>
      <c r="AG51" s="102"/>
      <c r="AH51" s="79"/>
      <c r="AI51" s="102"/>
      <c r="AJ51" s="79"/>
      <c r="AK51" s="102"/>
      <c r="AL51" s="79"/>
      <c r="AM51" s="102"/>
      <c r="AN51" s="79"/>
      <c r="AO51" s="102"/>
      <c r="AP51" s="79"/>
      <c r="AQ51" s="102"/>
      <c r="AR51" s="79"/>
      <c r="AS51" s="102"/>
      <c r="AT51" s="79"/>
      <c r="AU51" s="102"/>
      <c r="AV51" s="79"/>
      <c r="AW51" s="102"/>
      <c r="AX51" s="79"/>
      <c r="AY51" s="102"/>
      <c r="AZ51" s="79"/>
      <c r="BA51" s="102"/>
      <c r="BB51" s="79"/>
      <c r="BC51" s="102"/>
      <c r="BD51" s="79"/>
      <c r="BE51" s="102"/>
      <c r="BF51" s="79"/>
      <c r="BG51" s="102"/>
      <c r="BH51" s="79"/>
      <c r="BI51" s="101">
        <f t="shared" si="11"/>
        <v>0</v>
      </c>
      <c r="BJ51" s="79">
        <f t="shared" si="20"/>
        <v>0</v>
      </c>
      <c r="BK51" s="78">
        <f t="shared" si="21"/>
        <v>0</v>
      </c>
      <c r="BL51" s="377"/>
      <c r="BN51" s="98"/>
      <c r="BO51" s="98"/>
      <c r="BP51" s="98"/>
      <c r="BQ51" s="98"/>
      <c r="BR51" s="98">
        <f>BN51+BO51+BP51+BQ51</f>
        <v>0</v>
      </c>
      <c r="BS51" s="98"/>
      <c r="BT51" s="98"/>
      <c r="BU51" s="91">
        <f t="shared" si="32"/>
        <v>0</v>
      </c>
      <c r="BV51" s="102">
        <f t="shared" si="0"/>
        <v>0</v>
      </c>
    </row>
    <row r="52" spans="1:74" s="90" customFormat="1">
      <c r="A52" s="886"/>
      <c r="B52" s="93"/>
      <c r="C52" s="323" t="s">
        <v>126</v>
      </c>
      <c r="D52" s="377" t="s">
        <v>65</v>
      </c>
      <c r="E52" s="325" t="s">
        <v>541</v>
      </c>
      <c r="F52" s="79">
        <f>BJ52</f>
        <v>0</v>
      </c>
      <c r="G52" s="331">
        <f>F52*E52</f>
        <v>0</v>
      </c>
      <c r="H52" s="331">
        <f>G52*0.5</f>
        <v>0</v>
      </c>
      <c r="I52" s="331">
        <f>G52*0.5</f>
        <v>0</v>
      </c>
      <c r="J52" s="331"/>
      <c r="K52" s="331"/>
      <c r="L52" s="331"/>
      <c r="M52" s="331"/>
      <c r="N52" s="331"/>
      <c r="O52" s="78"/>
      <c r="P52" s="78"/>
      <c r="Q52" s="78"/>
      <c r="R52" s="79">
        <f>F52*0.25</f>
        <v>0</v>
      </c>
      <c r="S52" s="79">
        <f>F52*0.25</f>
        <v>0</v>
      </c>
      <c r="T52" s="79">
        <f>F52*0.25</f>
        <v>0</v>
      </c>
      <c r="U52" s="79">
        <f>F52*0.25</f>
        <v>0</v>
      </c>
      <c r="V52" s="102">
        <f>R52*E52</f>
        <v>0</v>
      </c>
      <c r="W52" s="102">
        <f>S52*E52</f>
        <v>0</v>
      </c>
      <c r="X52" s="102">
        <f>T52*E52</f>
        <v>0</v>
      </c>
      <c r="Y52" s="102">
        <f>U52*E52</f>
        <v>0</v>
      </c>
      <c r="Z52" s="79"/>
      <c r="AA52" s="102"/>
      <c r="AB52" s="79"/>
      <c r="AC52" s="102"/>
      <c r="AD52" s="79"/>
      <c r="AE52" s="102"/>
      <c r="AF52" s="79"/>
      <c r="AG52" s="102"/>
      <c r="AH52" s="79"/>
      <c r="AI52" s="102"/>
      <c r="AJ52" s="79"/>
      <c r="AK52" s="102"/>
      <c r="AL52" s="79"/>
      <c r="AM52" s="102"/>
      <c r="AN52" s="79"/>
      <c r="AO52" s="102"/>
      <c r="AP52" s="79"/>
      <c r="AQ52" s="102"/>
      <c r="AR52" s="79"/>
      <c r="AS52" s="102"/>
      <c r="AT52" s="79"/>
      <c r="AU52" s="102"/>
      <c r="AV52" s="79"/>
      <c r="AW52" s="102"/>
      <c r="AX52" s="79"/>
      <c r="AY52" s="102"/>
      <c r="AZ52" s="79"/>
      <c r="BA52" s="102"/>
      <c r="BB52" s="79"/>
      <c r="BC52" s="102"/>
      <c r="BD52" s="79"/>
      <c r="BE52" s="102"/>
      <c r="BF52" s="79"/>
      <c r="BG52" s="102"/>
      <c r="BH52" s="79">
        <v>0</v>
      </c>
      <c r="BI52" s="101">
        <f t="shared" si="11"/>
        <v>0</v>
      </c>
      <c r="BJ52" s="79">
        <f t="shared" si="20"/>
        <v>0</v>
      </c>
      <c r="BK52" s="78">
        <f t="shared" si="21"/>
        <v>0</v>
      </c>
      <c r="BL52" s="377" t="s">
        <v>226</v>
      </c>
      <c r="BN52" s="98"/>
      <c r="BO52" s="98"/>
      <c r="BP52" s="98"/>
      <c r="BQ52" s="98"/>
      <c r="BR52" s="98">
        <f>BN52+BO52+BP52+BQ52</f>
        <v>0</v>
      </c>
      <c r="BS52" s="98">
        <f>BK52</f>
        <v>0</v>
      </c>
      <c r="BT52" s="98">
        <f>BK52</f>
        <v>0</v>
      </c>
      <c r="BU52" s="91">
        <f t="shared" si="32"/>
        <v>0</v>
      </c>
      <c r="BV52" s="102">
        <f t="shared" si="0"/>
        <v>0</v>
      </c>
    </row>
    <row r="53" spans="1:74" s="90" customFormat="1">
      <c r="A53" s="886"/>
      <c r="B53" s="93"/>
      <c r="C53" s="323" t="s">
        <v>127</v>
      </c>
      <c r="D53" s="377" t="s">
        <v>65</v>
      </c>
      <c r="E53" s="466">
        <v>90000</v>
      </c>
      <c r="F53" s="79">
        <f t="shared" ref="F53:F76" si="33">BJ53</f>
        <v>12</v>
      </c>
      <c r="G53" s="331">
        <f t="shared" ref="G53:G76" si="34">F53*E53</f>
        <v>1080000</v>
      </c>
      <c r="H53" s="331">
        <f t="shared" ref="H53:H76" si="35">G53*0.5</f>
        <v>540000</v>
      </c>
      <c r="I53" s="331">
        <f t="shared" ref="I53:I61" si="36">G53*0.5</f>
        <v>540000</v>
      </c>
      <c r="J53" s="378"/>
      <c r="K53" s="378"/>
      <c r="L53" s="378"/>
      <c r="M53" s="378"/>
      <c r="N53" s="378"/>
      <c r="O53" s="378"/>
      <c r="P53" s="378"/>
      <c r="Q53" s="378"/>
      <c r="R53" s="79">
        <f t="shared" ref="R53:R61" si="37">F53*0.25</f>
        <v>3</v>
      </c>
      <c r="S53" s="79">
        <f t="shared" ref="S53:S61" si="38">F53*0.25</f>
        <v>3</v>
      </c>
      <c r="T53" s="79">
        <f t="shared" ref="T53:T61" si="39">F53*0.25</f>
        <v>3</v>
      </c>
      <c r="U53" s="79">
        <f t="shared" ref="U53:U61" si="40">F53*0.25</f>
        <v>3</v>
      </c>
      <c r="V53" s="102">
        <f t="shared" ref="V53:V61" si="41">R53*E53</f>
        <v>270000</v>
      </c>
      <c r="W53" s="102">
        <f t="shared" ref="W53:W61" si="42">S53*E53</f>
        <v>270000</v>
      </c>
      <c r="X53" s="102">
        <f t="shared" ref="X53:X61" si="43">T53*E53</f>
        <v>270000</v>
      </c>
      <c r="Y53" s="102">
        <f t="shared" ref="Y53:Y61" si="44">U53*E53</f>
        <v>270000</v>
      </c>
      <c r="Z53" s="93"/>
      <c r="AA53" s="378"/>
      <c r="AB53" s="93"/>
      <c r="AC53" s="378"/>
      <c r="AD53" s="93"/>
      <c r="AE53" s="378"/>
      <c r="AF53" s="93"/>
      <c r="AG53" s="378"/>
      <c r="AH53" s="93"/>
      <c r="AI53" s="378"/>
      <c r="AJ53" s="93"/>
      <c r="AK53" s="378"/>
      <c r="AL53" s="93"/>
      <c r="AM53" s="378"/>
      <c r="AN53" s="93"/>
      <c r="AO53" s="378"/>
      <c r="AP53" s="93"/>
      <c r="AQ53" s="378"/>
      <c r="AR53" s="93"/>
      <c r="AS53" s="378"/>
      <c r="AT53" s="93"/>
      <c r="AU53" s="378"/>
      <c r="AV53" s="93"/>
      <c r="AW53" s="378"/>
      <c r="AX53" s="93"/>
      <c r="AY53" s="378"/>
      <c r="AZ53" s="93"/>
      <c r="BA53" s="378"/>
      <c r="BB53" s="93"/>
      <c r="BC53" s="378"/>
      <c r="BD53" s="93"/>
      <c r="BE53" s="378"/>
      <c r="BF53" s="93"/>
      <c r="BG53" s="378"/>
      <c r="BH53" s="79">
        <v>12</v>
      </c>
      <c r="BI53" s="101">
        <f t="shared" si="11"/>
        <v>1080000</v>
      </c>
      <c r="BJ53" s="93">
        <f t="shared" si="20"/>
        <v>12</v>
      </c>
      <c r="BK53" s="95">
        <f t="shared" si="21"/>
        <v>1080000</v>
      </c>
      <c r="BL53" s="377" t="s">
        <v>226</v>
      </c>
      <c r="BN53" s="575"/>
      <c r="BO53" s="575"/>
      <c r="BP53" s="575"/>
      <c r="BQ53" s="575"/>
      <c r="BR53" s="575">
        <f>SUM(BR48:BR52)</f>
        <v>0</v>
      </c>
      <c r="BS53" s="98">
        <f t="shared" ref="BS53:BS76" si="45">BK53</f>
        <v>1080000</v>
      </c>
      <c r="BT53" s="575"/>
      <c r="BU53" s="91">
        <f t="shared" si="32"/>
        <v>1080000</v>
      </c>
      <c r="BV53" s="102">
        <f t="shared" si="0"/>
        <v>1080000</v>
      </c>
    </row>
    <row r="54" spans="1:74" s="90" customFormat="1">
      <c r="A54" s="886"/>
      <c r="B54" s="93"/>
      <c r="C54" s="323" t="s">
        <v>128</v>
      </c>
      <c r="D54" s="377" t="s">
        <v>65</v>
      </c>
      <c r="E54" s="325">
        <v>70000</v>
      </c>
      <c r="F54" s="79">
        <f t="shared" si="33"/>
        <v>12</v>
      </c>
      <c r="G54" s="331">
        <f t="shared" si="34"/>
        <v>840000</v>
      </c>
      <c r="H54" s="331">
        <f t="shared" si="35"/>
        <v>420000</v>
      </c>
      <c r="I54" s="331">
        <f t="shared" si="36"/>
        <v>420000</v>
      </c>
      <c r="J54" s="79"/>
      <c r="K54" s="79"/>
      <c r="L54" s="79"/>
      <c r="M54" s="79"/>
      <c r="N54" s="79"/>
      <c r="O54" s="79"/>
      <c r="P54" s="79"/>
      <c r="Q54" s="79"/>
      <c r="R54" s="79">
        <f t="shared" si="37"/>
        <v>3</v>
      </c>
      <c r="S54" s="79">
        <f t="shared" si="38"/>
        <v>3</v>
      </c>
      <c r="T54" s="79">
        <f t="shared" si="39"/>
        <v>3</v>
      </c>
      <c r="U54" s="79">
        <f t="shared" si="40"/>
        <v>3</v>
      </c>
      <c r="V54" s="102">
        <f t="shared" si="41"/>
        <v>210000</v>
      </c>
      <c r="W54" s="102">
        <f t="shared" si="42"/>
        <v>210000</v>
      </c>
      <c r="X54" s="102">
        <f t="shared" si="43"/>
        <v>210000</v>
      </c>
      <c r="Y54" s="102">
        <f t="shared" si="44"/>
        <v>210000</v>
      </c>
      <c r="Z54" s="79"/>
      <c r="AA54" s="79"/>
      <c r="AB54" s="79"/>
      <c r="AC54" s="102"/>
      <c r="AD54" s="79"/>
      <c r="AE54" s="102"/>
      <c r="AF54" s="79"/>
      <c r="AG54" s="102"/>
      <c r="AH54" s="79"/>
      <c r="AI54" s="102"/>
      <c r="AJ54" s="79"/>
      <c r="AK54" s="102"/>
      <c r="AL54" s="79"/>
      <c r="AM54" s="102"/>
      <c r="AN54" s="79"/>
      <c r="AO54" s="102"/>
      <c r="AP54" s="79"/>
      <c r="AQ54" s="102"/>
      <c r="AR54" s="79"/>
      <c r="AS54" s="102"/>
      <c r="AT54" s="79"/>
      <c r="AU54" s="102"/>
      <c r="AV54" s="79"/>
      <c r="AW54" s="102"/>
      <c r="AX54" s="79"/>
      <c r="AY54" s="102"/>
      <c r="AZ54" s="79"/>
      <c r="BA54" s="102"/>
      <c r="BB54" s="79"/>
      <c r="BC54" s="102"/>
      <c r="BD54" s="79"/>
      <c r="BE54" s="102"/>
      <c r="BF54" s="79"/>
      <c r="BG54" s="102"/>
      <c r="BH54" s="79">
        <v>12</v>
      </c>
      <c r="BI54" s="101">
        <f t="shared" si="11"/>
        <v>840000</v>
      </c>
      <c r="BJ54" s="79">
        <f t="shared" si="20"/>
        <v>12</v>
      </c>
      <c r="BK54" s="79">
        <f t="shared" si="21"/>
        <v>840000</v>
      </c>
      <c r="BL54" s="377" t="s">
        <v>226</v>
      </c>
      <c r="BN54" s="98"/>
      <c r="BO54" s="98"/>
      <c r="BP54" s="98"/>
      <c r="BQ54" s="98"/>
      <c r="BR54" s="98"/>
      <c r="BS54" s="98">
        <f t="shared" si="45"/>
        <v>840000</v>
      </c>
      <c r="BT54" s="98"/>
      <c r="BU54" s="91">
        <f t="shared" si="32"/>
        <v>840000</v>
      </c>
      <c r="BV54" s="102">
        <f t="shared" si="0"/>
        <v>840000</v>
      </c>
    </row>
    <row r="55" spans="1:74" s="90" customFormat="1">
      <c r="A55" s="886"/>
      <c r="B55" s="93"/>
      <c r="C55" s="323" t="s">
        <v>129</v>
      </c>
      <c r="D55" s="377" t="s">
        <v>65</v>
      </c>
      <c r="E55" s="325">
        <v>70000</v>
      </c>
      <c r="F55" s="79">
        <f t="shared" si="33"/>
        <v>12</v>
      </c>
      <c r="G55" s="331">
        <f t="shared" si="34"/>
        <v>840000</v>
      </c>
      <c r="H55" s="331">
        <f t="shared" si="35"/>
        <v>420000</v>
      </c>
      <c r="I55" s="331">
        <f t="shared" si="36"/>
        <v>420000</v>
      </c>
      <c r="J55" s="331"/>
      <c r="K55" s="331"/>
      <c r="L55" s="331"/>
      <c r="M55" s="331"/>
      <c r="N55" s="331"/>
      <c r="O55" s="78"/>
      <c r="P55" s="78"/>
      <c r="Q55" s="78"/>
      <c r="R55" s="79">
        <f t="shared" si="37"/>
        <v>3</v>
      </c>
      <c r="S55" s="79">
        <f t="shared" si="38"/>
        <v>3</v>
      </c>
      <c r="T55" s="79">
        <f t="shared" si="39"/>
        <v>3</v>
      </c>
      <c r="U55" s="79">
        <f t="shared" si="40"/>
        <v>3</v>
      </c>
      <c r="V55" s="102">
        <f t="shared" si="41"/>
        <v>210000</v>
      </c>
      <c r="W55" s="102">
        <f t="shared" si="42"/>
        <v>210000</v>
      </c>
      <c r="X55" s="102">
        <f t="shared" si="43"/>
        <v>210000</v>
      </c>
      <c r="Y55" s="102">
        <f t="shared" si="44"/>
        <v>210000</v>
      </c>
      <c r="Z55" s="79"/>
      <c r="AA55" s="102"/>
      <c r="AB55" s="79"/>
      <c r="AC55" s="102"/>
      <c r="AD55" s="79"/>
      <c r="AE55" s="102"/>
      <c r="AF55" s="79"/>
      <c r="AG55" s="102"/>
      <c r="AH55" s="79"/>
      <c r="AI55" s="102"/>
      <c r="AJ55" s="79"/>
      <c r="AK55" s="102"/>
      <c r="AL55" s="79"/>
      <c r="AM55" s="102"/>
      <c r="AN55" s="79"/>
      <c r="AO55" s="102"/>
      <c r="AP55" s="79"/>
      <c r="AQ55" s="102"/>
      <c r="AR55" s="79"/>
      <c r="AS55" s="102"/>
      <c r="AT55" s="79"/>
      <c r="AU55" s="102"/>
      <c r="AV55" s="79"/>
      <c r="AW55" s="102"/>
      <c r="AX55" s="79"/>
      <c r="AY55" s="102"/>
      <c r="AZ55" s="79"/>
      <c r="BA55" s="102"/>
      <c r="BB55" s="79"/>
      <c r="BC55" s="102"/>
      <c r="BD55" s="79"/>
      <c r="BE55" s="102"/>
      <c r="BF55" s="79"/>
      <c r="BG55" s="102"/>
      <c r="BH55" s="79">
        <v>12</v>
      </c>
      <c r="BI55" s="101">
        <f t="shared" si="11"/>
        <v>840000</v>
      </c>
      <c r="BJ55" s="79">
        <f t="shared" si="20"/>
        <v>12</v>
      </c>
      <c r="BK55" s="78">
        <f t="shared" si="21"/>
        <v>840000</v>
      </c>
      <c r="BL55" s="377" t="s">
        <v>226</v>
      </c>
      <c r="BN55" s="98"/>
      <c r="BO55" s="98"/>
      <c r="BP55" s="98"/>
      <c r="BQ55" s="98"/>
      <c r="BR55" s="98">
        <f>BN55+BO55+BP55+BQ55</f>
        <v>0</v>
      </c>
      <c r="BS55" s="98">
        <f t="shared" si="45"/>
        <v>840000</v>
      </c>
      <c r="BT55" s="98"/>
      <c r="BU55" s="91">
        <f>BS55+BT55</f>
        <v>840000</v>
      </c>
      <c r="BV55" s="102">
        <f t="shared" si="0"/>
        <v>840000</v>
      </c>
    </row>
    <row r="56" spans="1:74">
      <c r="A56" s="886"/>
      <c r="B56" s="30"/>
      <c r="C56" s="307" t="s">
        <v>526</v>
      </c>
      <c r="D56" s="362" t="s">
        <v>65</v>
      </c>
      <c r="E56" s="325">
        <v>70000</v>
      </c>
      <c r="F56" s="79">
        <f t="shared" si="33"/>
        <v>12</v>
      </c>
      <c r="G56" s="331">
        <f t="shared" si="34"/>
        <v>840000</v>
      </c>
      <c r="H56" s="331">
        <f t="shared" si="35"/>
        <v>420000</v>
      </c>
      <c r="I56" s="331">
        <f t="shared" si="36"/>
        <v>420000</v>
      </c>
      <c r="J56" s="177"/>
      <c r="K56" s="177"/>
      <c r="L56" s="177"/>
      <c r="M56" s="177"/>
      <c r="N56" s="177"/>
      <c r="O56" s="56"/>
      <c r="P56" s="56"/>
      <c r="Q56" s="56"/>
      <c r="R56" s="79">
        <f t="shared" si="37"/>
        <v>3</v>
      </c>
      <c r="S56" s="79">
        <f t="shared" si="38"/>
        <v>3</v>
      </c>
      <c r="T56" s="79">
        <f t="shared" si="39"/>
        <v>3</v>
      </c>
      <c r="U56" s="79">
        <f t="shared" si="40"/>
        <v>3</v>
      </c>
      <c r="V56" s="102">
        <f t="shared" si="41"/>
        <v>210000</v>
      </c>
      <c r="W56" s="102">
        <f t="shared" si="42"/>
        <v>210000</v>
      </c>
      <c r="X56" s="102">
        <f t="shared" si="43"/>
        <v>210000</v>
      </c>
      <c r="Y56" s="102">
        <f t="shared" si="44"/>
        <v>210000</v>
      </c>
      <c r="Z56" s="37"/>
      <c r="AA56" s="101"/>
      <c r="AB56" s="37"/>
      <c r="AC56" s="101"/>
      <c r="AD56" s="37"/>
      <c r="AE56" s="101"/>
      <c r="AF56" s="37"/>
      <c r="AG56" s="101"/>
      <c r="AH56" s="37"/>
      <c r="AI56" s="101"/>
      <c r="AJ56" s="37"/>
      <c r="AK56" s="101"/>
      <c r="AL56" s="37"/>
      <c r="AM56" s="101"/>
      <c r="AN56" s="37"/>
      <c r="AO56" s="101"/>
      <c r="AP56" s="37"/>
      <c r="AQ56" s="101"/>
      <c r="AR56" s="37"/>
      <c r="AS56" s="101"/>
      <c r="AT56" s="37"/>
      <c r="AU56" s="101"/>
      <c r="AV56" s="37"/>
      <c r="AW56" s="101"/>
      <c r="AX56" s="37"/>
      <c r="AY56" s="101"/>
      <c r="AZ56" s="37"/>
      <c r="BA56" s="101"/>
      <c r="BB56" s="37"/>
      <c r="BC56" s="101"/>
      <c r="BD56" s="37"/>
      <c r="BE56" s="101"/>
      <c r="BF56" s="37"/>
      <c r="BG56" s="101"/>
      <c r="BH56" s="79">
        <v>12</v>
      </c>
      <c r="BI56" s="101">
        <f t="shared" si="11"/>
        <v>840000</v>
      </c>
      <c r="BJ56" s="37">
        <f t="shared" si="20"/>
        <v>12</v>
      </c>
      <c r="BK56" s="56">
        <f t="shared" si="21"/>
        <v>840000</v>
      </c>
      <c r="BL56" s="362" t="s">
        <v>226</v>
      </c>
      <c r="BN56" s="70"/>
      <c r="BO56" s="70"/>
      <c r="BP56" s="70"/>
      <c r="BQ56" s="70"/>
      <c r="BR56" s="70">
        <f>BN56+BO56+BP56+BQ56</f>
        <v>0</v>
      </c>
      <c r="BS56" s="98">
        <f t="shared" si="45"/>
        <v>840000</v>
      </c>
      <c r="BT56" s="70"/>
      <c r="BU56" s="91">
        <f t="shared" ref="BU56:BU76" si="46">BS56+BT56</f>
        <v>840000</v>
      </c>
      <c r="BV56" s="101">
        <f t="shared" si="0"/>
        <v>840000</v>
      </c>
    </row>
    <row r="57" spans="1:74">
      <c r="A57" s="886"/>
      <c r="B57" s="30"/>
      <c r="C57" s="307" t="s">
        <v>527</v>
      </c>
      <c r="D57" s="362" t="s">
        <v>65</v>
      </c>
      <c r="E57" s="325">
        <v>70000</v>
      </c>
      <c r="F57" s="79">
        <f t="shared" si="33"/>
        <v>12</v>
      </c>
      <c r="G57" s="331">
        <f t="shared" si="34"/>
        <v>840000</v>
      </c>
      <c r="H57" s="331">
        <f t="shared" si="35"/>
        <v>420000</v>
      </c>
      <c r="I57" s="331">
        <f t="shared" si="36"/>
        <v>420000</v>
      </c>
      <c r="J57" s="177"/>
      <c r="K57" s="177"/>
      <c r="L57" s="177"/>
      <c r="M57" s="177"/>
      <c r="N57" s="177"/>
      <c r="O57" s="56"/>
      <c r="P57" s="56"/>
      <c r="Q57" s="56"/>
      <c r="R57" s="79">
        <f t="shared" si="37"/>
        <v>3</v>
      </c>
      <c r="S57" s="79">
        <f t="shared" si="38"/>
        <v>3</v>
      </c>
      <c r="T57" s="79">
        <f t="shared" si="39"/>
        <v>3</v>
      </c>
      <c r="U57" s="79">
        <f t="shared" si="40"/>
        <v>3</v>
      </c>
      <c r="V57" s="102">
        <f t="shared" si="41"/>
        <v>210000</v>
      </c>
      <c r="W57" s="102">
        <f t="shared" si="42"/>
        <v>210000</v>
      </c>
      <c r="X57" s="102">
        <f t="shared" si="43"/>
        <v>210000</v>
      </c>
      <c r="Y57" s="102">
        <f t="shared" si="44"/>
        <v>210000</v>
      </c>
      <c r="Z57" s="37"/>
      <c r="AA57" s="101"/>
      <c r="AB57" s="37"/>
      <c r="AC57" s="101"/>
      <c r="AD57" s="37"/>
      <c r="AE57" s="101"/>
      <c r="AF57" s="37"/>
      <c r="AG57" s="101"/>
      <c r="AH57" s="37"/>
      <c r="AI57" s="101"/>
      <c r="AJ57" s="37"/>
      <c r="AK57" s="101"/>
      <c r="AL57" s="37"/>
      <c r="AM57" s="101"/>
      <c r="AN57" s="37"/>
      <c r="AO57" s="101"/>
      <c r="AP57" s="37"/>
      <c r="AQ57" s="101"/>
      <c r="AR57" s="37"/>
      <c r="AS57" s="101"/>
      <c r="AT57" s="37"/>
      <c r="AU57" s="101"/>
      <c r="AV57" s="37"/>
      <c r="AW57" s="101"/>
      <c r="AX57" s="37"/>
      <c r="AY57" s="101"/>
      <c r="AZ57" s="37"/>
      <c r="BA57" s="101"/>
      <c r="BB57" s="37"/>
      <c r="BC57" s="101"/>
      <c r="BD57" s="37"/>
      <c r="BE57" s="101"/>
      <c r="BF57" s="37"/>
      <c r="BG57" s="101"/>
      <c r="BH57" s="79">
        <v>12</v>
      </c>
      <c r="BI57" s="101">
        <f t="shared" si="11"/>
        <v>840000</v>
      </c>
      <c r="BJ57" s="37">
        <f t="shared" si="20"/>
        <v>12</v>
      </c>
      <c r="BK57" s="56">
        <f t="shared" si="21"/>
        <v>840000</v>
      </c>
      <c r="BL57" s="362" t="s">
        <v>226</v>
      </c>
      <c r="BN57" s="70"/>
      <c r="BO57" s="70"/>
      <c r="BP57" s="70"/>
      <c r="BQ57" s="70"/>
      <c r="BR57" s="70">
        <f>BN57+BO57+BP57+BQ57</f>
        <v>0</v>
      </c>
      <c r="BS57" s="98">
        <f t="shared" si="45"/>
        <v>840000</v>
      </c>
      <c r="BT57" s="70"/>
      <c r="BU57" s="91">
        <f t="shared" si="46"/>
        <v>840000</v>
      </c>
      <c r="BV57" s="101">
        <f t="shared" si="0"/>
        <v>840000</v>
      </c>
    </row>
    <row r="58" spans="1:74">
      <c r="A58" s="886"/>
      <c r="B58" s="30"/>
      <c r="C58" s="307" t="s">
        <v>713</v>
      </c>
      <c r="D58" s="362" t="s">
        <v>65</v>
      </c>
      <c r="E58" s="325">
        <v>70000</v>
      </c>
      <c r="F58" s="79">
        <f t="shared" si="33"/>
        <v>12</v>
      </c>
      <c r="G58" s="331">
        <f t="shared" si="34"/>
        <v>840000</v>
      </c>
      <c r="H58" s="331">
        <f t="shared" si="35"/>
        <v>420000</v>
      </c>
      <c r="I58" s="331">
        <f t="shared" si="36"/>
        <v>420000</v>
      </c>
      <c r="J58" s="177"/>
      <c r="K58" s="177"/>
      <c r="L58" s="177"/>
      <c r="M58" s="177"/>
      <c r="N58" s="177"/>
      <c r="O58" s="56"/>
      <c r="P58" s="56"/>
      <c r="Q58" s="56"/>
      <c r="R58" s="79">
        <f t="shared" si="37"/>
        <v>3</v>
      </c>
      <c r="S58" s="79">
        <f t="shared" si="38"/>
        <v>3</v>
      </c>
      <c r="T58" s="79">
        <f t="shared" si="39"/>
        <v>3</v>
      </c>
      <c r="U58" s="79">
        <f t="shared" si="40"/>
        <v>3</v>
      </c>
      <c r="V58" s="102">
        <f t="shared" si="41"/>
        <v>210000</v>
      </c>
      <c r="W58" s="102">
        <f t="shared" si="42"/>
        <v>210000</v>
      </c>
      <c r="X58" s="102">
        <f t="shared" si="43"/>
        <v>210000</v>
      </c>
      <c r="Y58" s="102">
        <f t="shared" si="44"/>
        <v>210000</v>
      </c>
      <c r="Z58" s="37"/>
      <c r="AA58" s="101"/>
      <c r="AB58" s="37"/>
      <c r="AC58" s="101"/>
      <c r="AD58" s="37"/>
      <c r="AE58" s="101"/>
      <c r="AF58" s="37"/>
      <c r="AG58" s="101"/>
      <c r="AH58" s="37"/>
      <c r="AI58" s="101"/>
      <c r="AJ58" s="37"/>
      <c r="AK58" s="101"/>
      <c r="AL58" s="37"/>
      <c r="AM58" s="101"/>
      <c r="AN58" s="37"/>
      <c r="AO58" s="101"/>
      <c r="AP58" s="37"/>
      <c r="AQ58" s="101"/>
      <c r="AR58" s="37"/>
      <c r="AS58" s="101"/>
      <c r="AT58" s="37"/>
      <c r="AU58" s="101"/>
      <c r="AV58" s="37"/>
      <c r="AW58" s="101"/>
      <c r="AX58" s="37"/>
      <c r="AY58" s="101"/>
      <c r="AZ58" s="37"/>
      <c r="BA58" s="101"/>
      <c r="BB58" s="37"/>
      <c r="BC58" s="101"/>
      <c r="BD58" s="37"/>
      <c r="BE58" s="101"/>
      <c r="BF58" s="37"/>
      <c r="BG58" s="101"/>
      <c r="BH58" s="79">
        <v>12</v>
      </c>
      <c r="BI58" s="101">
        <f t="shared" si="11"/>
        <v>840000</v>
      </c>
      <c r="BJ58" s="37">
        <f t="shared" si="20"/>
        <v>12</v>
      </c>
      <c r="BK58" s="56">
        <f t="shared" si="21"/>
        <v>840000</v>
      </c>
      <c r="BL58" s="362" t="s">
        <v>226</v>
      </c>
      <c r="BN58" s="70"/>
      <c r="BO58" s="70"/>
      <c r="BP58" s="70"/>
      <c r="BQ58" s="70"/>
      <c r="BR58" s="70">
        <f>BN58+BO58+BP58+BQ58</f>
        <v>0</v>
      </c>
      <c r="BS58" s="98">
        <f t="shared" si="45"/>
        <v>840000</v>
      </c>
      <c r="BT58" s="70"/>
      <c r="BU58" s="91">
        <f t="shared" si="46"/>
        <v>840000</v>
      </c>
      <c r="BV58" s="101">
        <f t="shared" si="0"/>
        <v>840000</v>
      </c>
    </row>
    <row r="59" spans="1:74" s="90" customFormat="1">
      <c r="A59" s="886"/>
      <c r="B59" s="93"/>
      <c r="C59" s="323" t="s">
        <v>528</v>
      </c>
      <c r="D59" s="377" t="s">
        <v>65</v>
      </c>
      <c r="E59" s="325">
        <v>70000</v>
      </c>
      <c r="F59" s="79">
        <f t="shared" si="33"/>
        <v>12</v>
      </c>
      <c r="G59" s="331">
        <f t="shared" si="34"/>
        <v>840000</v>
      </c>
      <c r="H59" s="331">
        <f t="shared" si="35"/>
        <v>420000</v>
      </c>
      <c r="I59" s="331">
        <f t="shared" si="36"/>
        <v>420000</v>
      </c>
      <c r="J59" s="331"/>
      <c r="K59" s="331"/>
      <c r="L59" s="331"/>
      <c r="M59" s="331"/>
      <c r="N59" s="331"/>
      <c r="O59" s="78"/>
      <c r="P59" s="78"/>
      <c r="Q59" s="78"/>
      <c r="R59" s="79">
        <f t="shared" si="37"/>
        <v>3</v>
      </c>
      <c r="S59" s="79">
        <f t="shared" si="38"/>
        <v>3</v>
      </c>
      <c r="T59" s="79">
        <f t="shared" si="39"/>
        <v>3</v>
      </c>
      <c r="U59" s="79">
        <f t="shared" si="40"/>
        <v>3</v>
      </c>
      <c r="V59" s="102">
        <f t="shared" si="41"/>
        <v>210000</v>
      </c>
      <c r="W59" s="102">
        <f t="shared" si="42"/>
        <v>210000</v>
      </c>
      <c r="X59" s="102">
        <f t="shared" si="43"/>
        <v>210000</v>
      </c>
      <c r="Y59" s="102">
        <f t="shared" si="44"/>
        <v>210000</v>
      </c>
      <c r="Z59" s="79"/>
      <c r="AA59" s="102"/>
      <c r="AB59" s="79"/>
      <c r="AC59" s="102"/>
      <c r="AD59" s="79"/>
      <c r="AE59" s="102"/>
      <c r="AF59" s="79"/>
      <c r="AG59" s="102"/>
      <c r="AH59" s="79"/>
      <c r="AI59" s="102"/>
      <c r="AJ59" s="79"/>
      <c r="AK59" s="102"/>
      <c r="AL59" s="79"/>
      <c r="AM59" s="102"/>
      <c r="AN59" s="79"/>
      <c r="AO59" s="102"/>
      <c r="AP59" s="79"/>
      <c r="AQ59" s="102"/>
      <c r="AR59" s="79"/>
      <c r="AS59" s="102"/>
      <c r="AT59" s="79"/>
      <c r="AU59" s="102"/>
      <c r="AV59" s="79"/>
      <c r="AW59" s="102"/>
      <c r="AX59" s="79"/>
      <c r="AY59" s="102"/>
      <c r="AZ59" s="79"/>
      <c r="BA59" s="102"/>
      <c r="BB59" s="79"/>
      <c r="BC59" s="102"/>
      <c r="BD59" s="79"/>
      <c r="BE59" s="102"/>
      <c r="BF59" s="79"/>
      <c r="BG59" s="102"/>
      <c r="BH59" s="79">
        <v>12</v>
      </c>
      <c r="BI59" s="101">
        <f t="shared" si="11"/>
        <v>840000</v>
      </c>
      <c r="BJ59" s="79">
        <f t="shared" si="20"/>
        <v>12</v>
      </c>
      <c r="BK59" s="78">
        <f t="shared" si="21"/>
        <v>840000</v>
      </c>
      <c r="BL59" s="377" t="s">
        <v>226</v>
      </c>
      <c r="BN59" s="98"/>
      <c r="BO59" s="98"/>
      <c r="BP59" s="98"/>
      <c r="BQ59" s="98"/>
      <c r="BR59" s="98">
        <f>BN59+BO59+BP59+BQ59</f>
        <v>0</v>
      </c>
      <c r="BS59" s="98">
        <f t="shared" si="45"/>
        <v>840000</v>
      </c>
      <c r="BT59" s="98"/>
      <c r="BU59" s="91">
        <f t="shared" si="46"/>
        <v>840000</v>
      </c>
      <c r="BV59" s="102">
        <f t="shared" si="0"/>
        <v>840000</v>
      </c>
    </row>
    <row r="60" spans="1:74" s="90" customFormat="1">
      <c r="A60" s="886"/>
      <c r="B60" s="93"/>
      <c r="C60" s="323" t="s">
        <v>529</v>
      </c>
      <c r="D60" s="377" t="s">
        <v>65</v>
      </c>
      <c r="E60" s="325">
        <v>50000</v>
      </c>
      <c r="F60" s="79">
        <f t="shared" si="33"/>
        <v>10</v>
      </c>
      <c r="G60" s="331">
        <f t="shared" si="34"/>
        <v>500000</v>
      </c>
      <c r="H60" s="331">
        <f t="shared" si="35"/>
        <v>250000</v>
      </c>
      <c r="I60" s="331">
        <f t="shared" si="36"/>
        <v>250000</v>
      </c>
      <c r="J60" s="378"/>
      <c r="K60" s="378"/>
      <c r="L60" s="378"/>
      <c r="M60" s="378"/>
      <c r="N60" s="378"/>
      <c r="O60" s="378"/>
      <c r="P60" s="378"/>
      <c r="Q60" s="378"/>
      <c r="R60" s="79">
        <f t="shared" si="37"/>
        <v>2.5</v>
      </c>
      <c r="S60" s="79">
        <f t="shared" si="38"/>
        <v>2.5</v>
      </c>
      <c r="T60" s="79">
        <f t="shared" si="39"/>
        <v>2.5</v>
      </c>
      <c r="U60" s="79">
        <f t="shared" si="40"/>
        <v>2.5</v>
      </c>
      <c r="V60" s="102">
        <f t="shared" si="41"/>
        <v>125000</v>
      </c>
      <c r="W60" s="102">
        <f t="shared" si="42"/>
        <v>125000</v>
      </c>
      <c r="X60" s="102">
        <f t="shared" si="43"/>
        <v>125000</v>
      </c>
      <c r="Y60" s="102">
        <f t="shared" si="44"/>
        <v>125000</v>
      </c>
      <c r="Z60" s="93"/>
      <c r="AA60" s="378"/>
      <c r="AB60" s="93"/>
      <c r="AC60" s="378"/>
      <c r="AD60" s="93"/>
      <c r="AE60" s="378"/>
      <c r="AF60" s="93"/>
      <c r="AG60" s="378"/>
      <c r="AH60" s="93"/>
      <c r="AI60" s="378"/>
      <c r="AJ60" s="93"/>
      <c r="AK60" s="378"/>
      <c r="AL60" s="93"/>
      <c r="AM60" s="378"/>
      <c r="AN60" s="93"/>
      <c r="AO60" s="378"/>
      <c r="AP60" s="93"/>
      <c r="AQ60" s="378"/>
      <c r="AR60" s="93"/>
      <c r="AS60" s="378"/>
      <c r="AT60" s="93"/>
      <c r="AU60" s="378"/>
      <c r="AV60" s="93"/>
      <c r="AW60" s="378"/>
      <c r="AX60" s="93"/>
      <c r="AY60" s="378"/>
      <c r="AZ60" s="93"/>
      <c r="BA60" s="378"/>
      <c r="BB60" s="93"/>
      <c r="BC60" s="378"/>
      <c r="BD60" s="93"/>
      <c r="BE60" s="378"/>
      <c r="BF60" s="93"/>
      <c r="BG60" s="378"/>
      <c r="BH60" s="79">
        <v>10</v>
      </c>
      <c r="BI60" s="101">
        <f t="shared" si="11"/>
        <v>500000</v>
      </c>
      <c r="BJ60" s="93">
        <f t="shared" si="20"/>
        <v>10</v>
      </c>
      <c r="BK60" s="95">
        <f t="shared" si="21"/>
        <v>500000</v>
      </c>
      <c r="BL60" s="377" t="s">
        <v>226</v>
      </c>
      <c r="BN60" s="575"/>
      <c r="BO60" s="575"/>
      <c r="BP60" s="575"/>
      <c r="BQ60" s="575"/>
      <c r="BR60" s="575">
        <f>SUM(BR55:BR59)</f>
        <v>0</v>
      </c>
      <c r="BS60" s="98">
        <f t="shared" si="45"/>
        <v>500000</v>
      </c>
      <c r="BT60" s="575">
        <f>SUM(BT55:BT59)</f>
        <v>0</v>
      </c>
      <c r="BU60" s="91">
        <f t="shared" si="46"/>
        <v>500000</v>
      </c>
      <c r="BV60" s="102">
        <f t="shared" si="0"/>
        <v>500000</v>
      </c>
    </row>
    <row r="61" spans="1:74" s="90" customFormat="1">
      <c r="A61" s="886"/>
      <c r="B61" s="93"/>
      <c r="C61" s="323" t="s">
        <v>530</v>
      </c>
      <c r="D61" s="377" t="s">
        <v>65</v>
      </c>
      <c r="E61" s="325">
        <v>50000</v>
      </c>
      <c r="F61" s="79">
        <f t="shared" si="33"/>
        <v>10</v>
      </c>
      <c r="G61" s="331">
        <f t="shared" si="34"/>
        <v>500000</v>
      </c>
      <c r="H61" s="331">
        <f t="shared" si="35"/>
        <v>250000</v>
      </c>
      <c r="I61" s="331">
        <f t="shared" si="36"/>
        <v>250000</v>
      </c>
      <c r="J61" s="79"/>
      <c r="K61" s="79"/>
      <c r="L61" s="79"/>
      <c r="M61" s="79"/>
      <c r="N61" s="79"/>
      <c r="O61" s="79"/>
      <c r="P61" s="79"/>
      <c r="Q61" s="79"/>
      <c r="R61" s="79">
        <f t="shared" si="37"/>
        <v>2.5</v>
      </c>
      <c r="S61" s="79">
        <f t="shared" si="38"/>
        <v>2.5</v>
      </c>
      <c r="T61" s="79">
        <f t="shared" si="39"/>
        <v>2.5</v>
      </c>
      <c r="U61" s="79">
        <f t="shared" si="40"/>
        <v>2.5</v>
      </c>
      <c r="V61" s="102">
        <f t="shared" si="41"/>
        <v>125000</v>
      </c>
      <c r="W61" s="102">
        <f t="shared" si="42"/>
        <v>125000</v>
      </c>
      <c r="X61" s="102">
        <f t="shared" si="43"/>
        <v>125000</v>
      </c>
      <c r="Y61" s="102">
        <f t="shared" si="44"/>
        <v>125000</v>
      </c>
      <c r="Z61" s="79"/>
      <c r="AA61" s="79"/>
      <c r="AB61" s="79"/>
      <c r="AC61" s="102"/>
      <c r="AD61" s="79"/>
      <c r="AE61" s="102"/>
      <c r="AF61" s="79"/>
      <c r="AG61" s="102"/>
      <c r="AH61" s="79"/>
      <c r="AI61" s="102"/>
      <c r="AJ61" s="79"/>
      <c r="AK61" s="102"/>
      <c r="AL61" s="79"/>
      <c r="AM61" s="102"/>
      <c r="AN61" s="79"/>
      <c r="AO61" s="102"/>
      <c r="AP61" s="79"/>
      <c r="AQ61" s="102"/>
      <c r="AR61" s="79"/>
      <c r="AS61" s="102"/>
      <c r="AT61" s="79"/>
      <c r="AU61" s="102"/>
      <c r="AV61" s="79"/>
      <c r="AW61" s="102"/>
      <c r="AX61" s="79"/>
      <c r="AY61" s="102"/>
      <c r="AZ61" s="79"/>
      <c r="BA61" s="102"/>
      <c r="BB61" s="79"/>
      <c r="BC61" s="102"/>
      <c r="BD61" s="79"/>
      <c r="BE61" s="102"/>
      <c r="BF61" s="79"/>
      <c r="BG61" s="102"/>
      <c r="BH61" s="79">
        <v>10</v>
      </c>
      <c r="BI61" s="101">
        <f t="shared" si="11"/>
        <v>500000</v>
      </c>
      <c r="BJ61" s="79">
        <f t="shared" si="20"/>
        <v>10</v>
      </c>
      <c r="BK61" s="79">
        <f t="shared" si="21"/>
        <v>500000</v>
      </c>
      <c r="BL61" s="377" t="s">
        <v>226</v>
      </c>
      <c r="BN61" s="98"/>
      <c r="BO61" s="98"/>
      <c r="BP61" s="98"/>
      <c r="BQ61" s="98"/>
      <c r="BR61" s="98"/>
      <c r="BS61" s="98">
        <f t="shared" si="45"/>
        <v>500000</v>
      </c>
      <c r="BT61" s="98"/>
      <c r="BU61" s="91">
        <f t="shared" si="46"/>
        <v>500000</v>
      </c>
      <c r="BV61" s="102">
        <f t="shared" si="0"/>
        <v>500000</v>
      </c>
    </row>
    <row r="62" spans="1:74" s="90" customFormat="1">
      <c r="A62" s="886"/>
      <c r="B62" s="93"/>
      <c r="C62" s="323" t="s">
        <v>531</v>
      </c>
      <c r="D62" s="377" t="s">
        <v>65</v>
      </c>
      <c r="E62" s="325">
        <v>70000</v>
      </c>
      <c r="F62" s="79">
        <f t="shared" si="33"/>
        <v>12</v>
      </c>
      <c r="G62" s="331">
        <f t="shared" si="34"/>
        <v>840000</v>
      </c>
      <c r="H62" s="331">
        <f t="shared" si="35"/>
        <v>420000</v>
      </c>
      <c r="I62" s="331">
        <f t="shared" ref="I62:I76" si="47">G62*0.5</f>
        <v>420000</v>
      </c>
      <c r="J62" s="331"/>
      <c r="K62" s="331"/>
      <c r="L62" s="331"/>
      <c r="M62" s="331"/>
      <c r="N62" s="331"/>
      <c r="O62" s="78"/>
      <c r="P62" s="78"/>
      <c r="Q62" s="78"/>
      <c r="R62" s="79">
        <f t="shared" ref="R62:R76" si="48">F62*0.25</f>
        <v>3</v>
      </c>
      <c r="S62" s="79">
        <f t="shared" ref="S62:S76" si="49">F62*0.25</f>
        <v>3</v>
      </c>
      <c r="T62" s="79">
        <f t="shared" ref="T62:T76" si="50">F62*0.25</f>
        <v>3</v>
      </c>
      <c r="U62" s="79">
        <f t="shared" ref="U62:U76" si="51">F62*0.25</f>
        <v>3</v>
      </c>
      <c r="V62" s="102">
        <f t="shared" ref="V62:V76" si="52">R62*E62</f>
        <v>210000</v>
      </c>
      <c r="W62" s="102">
        <f t="shared" ref="W62:W76" si="53">S62*E62</f>
        <v>210000</v>
      </c>
      <c r="X62" s="102">
        <f t="shared" ref="X62:X76" si="54">T62*E62</f>
        <v>210000</v>
      </c>
      <c r="Y62" s="102">
        <f t="shared" ref="Y62:Y76" si="55">U62*E62</f>
        <v>210000</v>
      </c>
      <c r="Z62" s="79"/>
      <c r="AA62" s="102"/>
      <c r="AB62" s="79"/>
      <c r="AC62" s="102"/>
      <c r="AD62" s="79"/>
      <c r="AE62" s="102"/>
      <c r="AF62" s="79"/>
      <c r="AG62" s="102"/>
      <c r="AH62" s="79"/>
      <c r="AI62" s="102"/>
      <c r="AJ62" s="79"/>
      <c r="AK62" s="102"/>
      <c r="AL62" s="79"/>
      <c r="AM62" s="102"/>
      <c r="AN62" s="79"/>
      <c r="AO62" s="102"/>
      <c r="AP62" s="79"/>
      <c r="AQ62" s="102"/>
      <c r="AR62" s="79"/>
      <c r="AS62" s="102"/>
      <c r="AT62" s="79"/>
      <c r="AU62" s="102"/>
      <c r="AV62" s="79"/>
      <c r="AW62" s="102"/>
      <c r="AX62" s="79"/>
      <c r="AY62" s="102"/>
      <c r="AZ62" s="79"/>
      <c r="BA62" s="102"/>
      <c r="BB62" s="79"/>
      <c r="BC62" s="102"/>
      <c r="BD62" s="79"/>
      <c r="BE62" s="102"/>
      <c r="BF62" s="79"/>
      <c r="BG62" s="102"/>
      <c r="BH62" s="79">
        <v>12</v>
      </c>
      <c r="BI62" s="101">
        <f t="shared" si="11"/>
        <v>840000</v>
      </c>
      <c r="BJ62" s="79">
        <f t="shared" si="20"/>
        <v>12</v>
      </c>
      <c r="BK62" s="78">
        <f t="shared" si="21"/>
        <v>840000</v>
      </c>
      <c r="BL62" s="377" t="s">
        <v>226</v>
      </c>
      <c r="BN62" s="98"/>
      <c r="BO62" s="98"/>
      <c r="BP62" s="98"/>
      <c r="BQ62" s="98"/>
      <c r="BR62" s="98">
        <f>BN62+BO62+BP62+BQ62</f>
        <v>0</v>
      </c>
      <c r="BS62" s="98">
        <f t="shared" si="45"/>
        <v>840000</v>
      </c>
      <c r="BT62" s="98"/>
      <c r="BU62" s="91">
        <f t="shared" si="46"/>
        <v>840000</v>
      </c>
      <c r="BV62" s="102">
        <f t="shared" si="0"/>
        <v>840000</v>
      </c>
    </row>
    <row r="63" spans="1:74" s="90" customFormat="1">
      <c r="A63" s="886"/>
      <c r="B63" s="93"/>
      <c r="C63" s="323" t="s">
        <v>532</v>
      </c>
      <c r="D63" s="377" t="s">
        <v>65</v>
      </c>
      <c r="E63" s="325">
        <v>70000</v>
      </c>
      <c r="F63" s="79">
        <f t="shared" si="33"/>
        <v>12</v>
      </c>
      <c r="G63" s="331">
        <f t="shared" si="34"/>
        <v>840000</v>
      </c>
      <c r="H63" s="331">
        <f t="shared" si="35"/>
        <v>420000</v>
      </c>
      <c r="I63" s="331">
        <f t="shared" si="47"/>
        <v>420000</v>
      </c>
      <c r="J63" s="331"/>
      <c r="K63" s="331"/>
      <c r="L63" s="331"/>
      <c r="M63" s="331"/>
      <c r="N63" s="331"/>
      <c r="O63" s="78"/>
      <c r="P63" s="78"/>
      <c r="Q63" s="78"/>
      <c r="R63" s="79">
        <f t="shared" si="48"/>
        <v>3</v>
      </c>
      <c r="S63" s="79">
        <f t="shared" si="49"/>
        <v>3</v>
      </c>
      <c r="T63" s="79">
        <f t="shared" si="50"/>
        <v>3</v>
      </c>
      <c r="U63" s="79">
        <f t="shared" si="51"/>
        <v>3</v>
      </c>
      <c r="V63" s="102">
        <f t="shared" si="52"/>
        <v>210000</v>
      </c>
      <c r="W63" s="102">
        <f t="shared" si="53"/>
        <v>210000</v>
      </c>
      <c r="X63" s="102">
        <f t="shared" si="54"/>
        <v>210000</v>
      </c>
      <c r="Y63" s="102">
        <f t="shared" si="55"/>
        <v>210000</v>
      </c>
      <c r="Z63" s="79"/>
      <c r="AA63" s="102"/>
      <c r="AB63" s="79"/>
      <c r="AC63" s="102"/>
      <c r="AD63" s="79"/>
      <c r="AE63" s="102"/>
      <c r="AF63" s="79"/>
      <c r="AG63" s="102"/>
      <c r="AH63" s="79"/>
      <c r="AI63" s="102"/>
      <c r="AJ63" s="79"/>
      <c r="AK63" s="102"/>
      <c r="AL63" s="79"/>
      <c r="AM63" s="102"/>
      <c r="AN63" s="79"/>
      <c r="AO63" s="102"/>
      <c r="AP63" s="79"/>
      <c r="AQ63" s="102"/>
      <c r="AR63" s="79"/>
      <c r="AS63" s="102"/>
      <c r="AT63" s="79"/>
      <c r="AU63" s="102"/>
      <c r="AV63" s="79"/>
      <c r="AW63" s="102"/>
      <c r="AX63" s="79"/>
      <c r="AY63" s="102"/>
      <c r="AZ63" s="79"/>
      <c r="BA63" s="102"/>
      <c r="BB63" s="79"/>
      <c r="BC63" s="102"/>
      <c r="BD63" s="79"/>
      <c r="BE63" s="102"/>
      <c r="BF63" s="79"/>
      <c r="BG63" s="102"/>
      <c r="BH63" s="79">
        <v>12</v>
      </c>
      <c r="BI63" s="101">
        <f t="shared" si="11"/>
        <v>840000</v>
      </c>
      <c r="BJ63" s="79">
        <f t="shared" si="20"/>
        <v>12</v>
      </c>
      <c r="BK63" s="78">
        <f t="shared" si="21"/>
        <v>840000</v>
      </c>
      <c r="BL63" s="377" t="s">
        <v>226</v>
      </c>
      <c r="BN63" s="98"/>
      <c r="BO63" s="98"/>
      <c r="BP63" s="98"/>
      <c r="BQ63" s="98"/>
      <c r="BR63" s="98">
        <f>BN63+BO63+BP63+BQ63</f>
        <v>0</v>
      </c>
      <c r="BS63" s="98">
        <f t="shared" si="45"/>
        <v>840000</v>
      </c>
      <c r="BT63" s="98"/>
      <c r="BU63" s="91">
        <f t="shared" si="46"/>
        <v>840000</v>
      </c>
      <c r="BV63" s="102">
        <f t="shared" si="0"/>
        <v>840000</v>
      </c>
    </row>
    <row r="64" spans="1:74" s="90" customFormat="1" ht="41.25" customHeight="1">
      <c r="A64" s="886"/>
      <c r="B64" s="93"/>
      <c r="C64" s="323" t="s">
        <v>714</v>
      </c>
      <c r="D64" s="377" t="s">
        <v>65</v>
      </c>
      <c r="E64" s="325">
        <v>34000</v>
      </c>
      <c r="F64" s="79">
        <f t="shared" si="33"/>
        <v>12</v>
      </c>
      <c r="G64" s="331">
        <f t="shared" si="34"/>
        <v>408000</v>
      </c>
      <c r="H64" s="331">
        <f t="shared" si="35"/>
        <v>204000</v>
      </c>
      <c r="I64" s="331">
        <f t="shared" si="47"/>
        <v>204000</v>
      </c>
      <c r="J64" s="331"/>
      <c r="K64" s="331"/>
      <c r="L64" s="331"/>
      <c r="M64" s="331"/>
      <c r="N64" s="331"/>
      <c r="O64" s="78"/>
      <c r="P64" s="78"/>
      <c r="Q64" s="78"/>
      <c r="R64" s="79">
        <f t="shared" si="48"/>
        <v>3</v>
      </c>
      <c r="S64" s="79">
        <f t="shared" si="49"/>
        <v>3</v>
      </c>
      <c r="T64" s="79">
        <f t="shared" si="50"/>
        <v>3</v>
      </c>
      <c r="U64" s="79">
        <f t="shared" si="51"/>
        <v>3</v>
      </c>
      <c r="V64" s="102">
        <f t="shared" si="52"/>
        <v>102000</v>
      </c>
      <c r="W64" s="102">
        <f t="shared" si="53"/>
        <v>102000</v>
      </c>
      <c r="X64" s="102">
        <f t="shared" si="54"/>
        <v>102000</v>
      </c>
      <c r="Y64" s="102">
        <f t="shared" si="55"/>
        <v>102000</v>
      </c>
      <c r="Z64" s="79"/>
      <c r="AA64" s="102"/>
      <c r="AB64" s="79"/>
      <c r="AC64" s="102"/>
      <c r="AD64" s="79"/>
      <c r="AE64" s="102"/>
      <c r="AF64" s="79"/>
      <c r="AG64" s="102"/>
      <c r="AH64" s="79"/>
      <c r="AI64" s="102"/>
      <c r="AJ64" s="79"/>
      <c r="AK64" s="102"/>
      <c r="AL64" s="79"/>
      <c r="AM64" s="102"/>
      <c r="AN64" s="79"/>
      <c r="AO64" s="102"/>
      <c r="AP64" s="79"/>
      <c r="AQ64" s="102"/>
      <c r="AR64" s="79"/>
      <c r="AS64" s="102"/>
      <c r="AT64" s="79"/>
      <c r="AU64" s="102"/>
      <c r="AV64" s="79"/>
      <c r="AW64" s="102"/>
      <c r="AX64" s="79"/>
      <c r="AY64" s="102"/>
      <c r="AZ64" s="79"/>
      <c r="BA64" s="102"/>
      <c r="BB64" s="79"/>
      <c r="BC64" s="102"/>
      <c r="BD64" s="79"/>
      <c r="BE64" s="102"/>
      <c r="BF64" s="79"/>
      <c r="BG64" s="102"/>
      <c r="BH64" s="79">
        <v>12</v>
      </c>
      <c r="BI64" s="101">
        <f t="shared" si="11"/>
        <v>408000</v>
      </c>
      <c r="BJ64" s="79">
        <f t="shared" si="20"/>
        <v>12</v>
      </c>
      <c r="BK64" s="78">
        <f t="shared" si="21"/>
        <v>408000</v>
      </c>
      <c r="BL64" s="377" t="s">
        <v>226</v>
      </c>
      <c r="BN64" s="98"/>
      <c r="BO64" s="98"/>
      <c r="BP64" s="98"/>
      <c r="BQ64" s="98"/>
      <c r="BR64" s="98">
        <f>BN64+BO64+BP64+BQ64</f>
        <v>0</v>
      </c>
      <c r="BS64" s="98">
        <f t="shared" si="45"/>
        <v>408000</v>
      </c>
      <c r="BT64" s="98"/>
      <c r="BU64" s="91">
        <f t="shared" si="46"/>
        <v>408000</v>
      </c>
      <c r="BV64" s="102">
        <f t="shared" si="0"/>
        <v>408000</v>
      </c>
    </row>
    <row r="65" spans="1:74" s="90" customFormat="1">
      <c r="A65" s="886"/>
      <c r="B65" s="93"/>
      <c r="C65" s="323" t="s">
        <v>533</v>
      </c>
      <c r="D65" s="377" t="s">
        <v>65</v>
      </c>
      <c r="E65" s="325">
        <v>27000</v>
      </c>
      <c r="F65" s="79">
        <f t="shared" si="33"/>
        <v>24</v>
      </c>
      <c r="G65" s="331">
        <f t="shared" si="34"/>
        <v>648000</v>
      </c>
      <c r="H65" s="331">
        <f t="shared" si="35"/>
        <v>324000</v>
      </c>
      <c r="I65" s="331">
        <f t="shared" si="47"/>
        <v>324000</v>
      </c>
      <c r="J65" s="378"/>
      <c r="K65" s="378"/>
      <c r="L65" s="378"/>
      <c r="M65" s="378"/>
      <c r="N65" s="378"/>
      <c r="O65" s="378"/>
      <c r="P65" s="378"/>
      <c r="Q65" s="95"/>
      <c r="R65" s="79">
        <f t="shared" si="48"/>
        <v>6</v>
      </c>
      <c r="S65" s="79">
        <f t="shared" si="49"/>
        <v>6</v>
      </c>
      <c r="T65" s="79">
        <f t="shared" si="50"/>
        <v>6</v>
      </c>
      <c r="U65" s="79">
        <f t="shared" si="51"/>
        <v>6</v>
      </c>
      <c r="V65" s="102">
        <f t="shared" si="52"/>
        <v>162000</v>
      </c>
      <c r="W65" s="102">
        <f t="shared" si="53"/>
        <v>162000</v>
      </c>
      <c r="X65" s="102">
        <f t="shared" si="54"/>
        <v>162000</v>
      </c>
      <c r="Y65" s="102">
        <f t="shared" si="55"/>
        <v>162000</v>
      </c>
      <c r="Z65" s="93"/>
      <c r="AA65" s="95"/>
      <c r="AB65" s="93"/>
      <c r="AC65" s="95"/>
      <c r="AD65" s="93"/>
      <c r="AE65" s="95"/>
      <c r="AF65" s="93"/>
      <c r="AG65" s="95"/>
      <c r="AH65" s="93"/>
      <c r="AI65" s="95"/>
      <c r="AJ65" s="93"/>
      <c r="AK65" s="95"/>
      <c r="AL65" s="93"/>
      <c r="AM65" s="95"/>
      <c r="AN65" s="93"/>
      <c r="AO65" s="95"/>
      <c r="AP65" s="93"/>
      <c r="AQ65" s="95"/>
      <c r="AR65" s="93"/>
      <c r="AS65" s="95"/>
      <c r="AT65" s="93"/>
      <c r="AU65" s="95"/>
      <c r="AV65" s="93"/>
      <c r="AW65" s="95"/>
      <c r="AX65" s="93"/>
      <c r="AY65" s="95"/>
      <c r="AZ65" s="93"/>
      <c r="BA65" s="95"/>
      <c r="BB65" s="93"/>
      <c r="BC65" s="95"/>
      <c r="BD65" s="93"/>
      <c r="BE65" s="95"/>
      <c r="BF65" s="93"/>
      <c r="BG65" s="95"/>
      <c r="BH65" s="79">
        <v>24</v>
      </c>
      <c r="BI65" s="101">
        <f t="shared" si="11"/>
        <v>648000</v>
      </c>
      <c r="BJ65" s="93">
        <f t="shared" si="20"/>
        <v>24</v>
      </c>
      <c r="BK65" s="95">
        <f t="shared" si="21"/>
        <v>648000</v>
      </c>
      <c r="BL65" s="377" t="s">
        <v>226</v>
      </c>
      <c r="BN65" s="575"/>
      <c r="BO65" s="575"/>
      <c r="BP65" s="575"/>
      <c r="BQ65" s="575"/>
      <c r="BR65" s="575">
        <f>SUM(BR62:BR64)</f>
        <v>0</v>
      </c>
      <c r="BS65" s="98">
        <f t="shared" si="45"/>
        <v>648000</v>
      </c>
      <c r="BT65" s="575">
        <f>SUM(BT62:BT64)</f>
        <v>0</v>
      </c>
      <c r="BU65" s="91">
        <f t="shared" si="46"/>
        <v>648000</v>
      </c>
      <c r="BV65" s="102">
        <f t="shared" si="0"/>
        <v>648000</v>
      </c>
    </row>
    <row r="66" spans="1:74" s="90" customFormat="1">
      <c r="A66" s="886"/>
      <c r="B66" s="93"/>
      <c r="C66" s="323" t="s">
        <v>130</v>
      </c>
      <c r="D66" s="377" t="s">
        <v>65</v>
      </c>
      <c r="E66" s="325">
        <v>20000</v>
      </c>
      <c r="F66" s="79">
        <f t="shared" si="33"/>
        <v>12</v>
      </c>
      <c r="G66" s="331">
        <f t="shared" si="34"/>
        <v>240000</v>
      </c>
      <c r="H66" s="331">
        <f t="shared" si="35"/>
        <v>120000</v>
      </c>
      <c r="I66" s="331">
        <f t="shared" si="47"/>
        <v>120000</v>
      </c>
      <c r="J66" s="207"/>
      <c r="K66" s="207"/>
      <c r="L66" s="207"/>
      <c r="M66" s="207"/>
      <c r="N66" s="207"/>
      <c r="O66" s="207"/>
      <c r="P66" s="207"/>
      <c r="Q66" s="150"/>
      <c r="R66" s="79">
        <f t="shared" si="48"/>
        <v>3</v>
      </c>
      <c r="S66" s="79">
        <f t="shared" si="49"/>
        <v>3</v>
      </c>
      <c r="T66" s="79">
        <f t="shared" si="50"/>
        <v>3</v>
      </c>
      <c r="U66" s="79">
        <f t="shared" si="51"/>
        <v>3</v>
      </c>
      <c r="V66" s="102">
        <f t="shared" si="52"/>
        <v>60000</v>
      </c>
      <c r="W66" s="102">
        <f t="shared" si="53"/>
        <v>60000</v>
      </c>
      <c r="X66" s="102">
        <f t="shared" si="54"/>
        <v>60000</v>
      </c>
      <c r="Y66" s="102">
        <f t="shared" si="55"/>
        <v>60000</v>
      </c>
      <c r="Z66" s="148"/>
      <c r="AA66" s="150"/>
      <c r="AB66" s="148"/>
      <c r="AC66" s="150"/>
      <c r="AD66" s="148"/>
      <c r="AE66" s="150"/>
      <c r="AF66" s="148"/>
      <c r="AG66" s="150"/>
      <c r="AH66" s="148"/>
      <c r="AI66" s="150"/>
      <c r="AJ66" s="148"/>
      <c r="AK66" s="150"/>
      <c r="AL66" s="148"/>
      <c r="AM66" s="150"/>
      <c r="AN66" s="148"/>
      <c r="AO66" s="150"/>
      <c r="AP66" s="148"/>
      <c r="AQ66" s="150"/>
      <c r="AR66" s="148"/>
      <c r="AS66" s="150"/>
      <c r="AT66" s="148"/>
      <c r="AU66" s="150"/>
      <c r="AV66" s="148"/>
      <c r="AW66" s="150"/>
      <c r="AX66" s="148"/>
      <c r="AY66" s="150"/>
      <c r="AZ66" s="148"/>
      <c r="BA66" s="150"/>
      <c r="BB66" s="148"/>
      <c r="BC66" s="150"/>
      <c r="BD66" s="148"/>
      <c r="BE66" s="150"/>
      <c r="BF66" s="148"/>
      <c r="BG66" s="150"/>
      <c r="BH66" s="79">
        <v>12</v>
      </c>
      <c r="BI66" s="101">
        <f t="shared" si="11"/>
        <v>240000</v>
      </c>
      <c r="BJ66" s="148">
        <f t="shared" si="20"/>
        <v>12</v>
      </c>
      <c r="BK66" s="150">
        <f t="shared" si="21"/>
        <v>240000</v>
      </c>
      <c r="BL66" s="377" t="s">
        <v>226</v>
      </c>
      <c r="BN66" s="576"/>
      <c r="BO66" s="576"/>
      <c r="BP66" s="576"/>
      <c r="BQ66" s="576"/>
      <c r="BR66" s="576">
        <f>BR65+BR60+BR53</f>
        <v>0</v>
      </c>
      <c r="BS66" s="98">
        <f t="shared" si="45"/>
        <v>240000</v>
      </c>
      <c r="BT66" s="576">
        <f>BT65+BT60+BT53</f>
        <v>0</v>
      </c>
      <c r="BU66" s="91">
        <f t="shared" si="46"/>
        <v>240000</v>
      </c>
      <c r="BV66" s="102">
        <f t="shared" si="0"/>
        <v>240000</v>
      </c>
    </row>
    <row r="67" spans="1:74" s="90" customFormat="1">
      <c r="A67" s="886"/>
      <c r="B67" s="122"/>
      <c r="C67" s="323" t="s">
        <v>131</v>
      </c>
      <c r="D67" s="377" t="s">
        <v>65</v>
      </c>
      <c r="E67" s="325">
        <v>20000</v>
      </c>
      <c r="F67" s="79">
        <f t="shared" si="33"/>
        <v>24</v>
      </c>
      <c r="G67" s="331">
        <f t="shared" si="34"/>
        <v>480000</v>
      </c>
      <c r="H67" s="331">
        <f t="shared" si="35"/>
        <v>240000</v>
      </c>
      <c r="I67" s="331">
        <f t="shared" si="47"/>
        <v>240000</v>
      </c>
      <c r="J67" s="79"/>
      <c r="K67" s="79"/>
      <c r="L67" s="79"/>
      <c r="M67" s="79"/>
      <c r="N67" s="79"/>
      <c r="O67" s="79"/>
      <c r="P67" s="79"/>
      <c r="Q67" s="79"/>
      <c r="R67" s="79">
        <f t="shared" si="48"/>
        <v>6</v>
      </c>
      <c r="S67" s="79">
        <f t="shared" si="49"/>
        <v>6</v>
      </c>
      <c r="T67" s="79">
        <f t="shared" si="50"/>
        <v>6</v>
      </c>
      <c r="U67" s="79">
        <f t="shared" si="51"/>
        <v>6</v>
      </c>
      <c r="V67" s="102">
        <f t="shared" si="52"/>
        <v>120000</v>
      </c>
      <c r="W67" s="102">
        <f t="shared" si="53"/>
        <v>120000</v>
      </c>
      <c r="X67" s="102">
        <f t="shared" si="54"/>
        <v>120000</v>
      </c>
      <c r="Y67" s="102">
        <f t="shared" si="55"/>
        <v>120000</v>
      </c>
      <c r="Z67" s="79"/>
      <c r="AA67" s="79"/>
      <c r="AB67" s="79"/>
      <c r="AC67" s="102"/>
      <c r="AD67" s="79"/>
      <c r="AE67" s="102"/>
      <c r="AF67" s="79"/>
      <c r="AG67" s="102"/>
      <c r="AH67" s="79"/>
      <c r="AI67" s="102"/>
      <c r="AJ67" s="79"/>
      <c r="AK67" s="102"/>
      <c r="AL67" s="79"/>
      <c r="AM67" s="102"/>
      <c r="AN67" s="79"/>
      <c r="AO67" s="102"/>
      <c r="AP67" s="79"/>
      <c r="AQ67" s="102"/>
      <c r="AR67" s="79"/>
      <c r="AS67" s="102"/>
      <c r="AT67" s="79"/>
      <c r="AU67" s="102"/>
      <c r="AV67" s="79"/>
      <c r="AW67" s="102"/>
      <c r="AX67" s="79"/>
      <c r="AY67" s="102"/>
      <c r="AZ67" s="79"/>
      <c r="BA67" s="102"/>
      <c r="BB67" s="79"/>
      <c r="BC67" s="102"/>
      <c r="BD67" s="79"/>
      <c r="BE67" s="102"/>
      <c r="BF67" s="79"/>
      <c r="BG67" s="102"/>
      <c r="BH67" s="79">
        <v>24</v>
      </c>
      <c r="BI67" s="101">
        <f t="shared" si="11"/>
        <v>480000</v>
      </c>
      <c r="BJ67" s="79">
        <f t="shared" si="20"/>
        <v>24</v>
      </c>
      <c r="BK67" s="79">
        <f t="shared" si="21"/>
        <v>480000</v>
      </c>
      <c r="BL67" s="377" t="s">
        <v>226</v>
      </c>
      <c r="BN67" s="98"/>
      <c r="BO67" s="98"/>
      <c r="BP67" s="98"/>
      <c r="BQ67" s="98"/>
      <c r="BR67" s="98"/>
      <c r="BS67" s="98">
        <f t="shared" si="45"/>
        <v>480000</v>
      </c>
      <c r="BT67" s="98"/>
      <c r="BU67" s="91">
        <f t="shared" si="46"/>
        <v>480000</v>
      </c>
      <c r="BV67" s="102">
        <f t="shared" si="0"/>
        <v>480000</v>
      </c>
    </row>
    <row r="68" spans="1:74" s="90" customFormat="1">
      <c r="A68" s="886"/>
      <c r="B68" s="93"/>
      <c r="C68" s="323" t="s">
        <v>534</v>
      </c>
      <c r="D68" s="377" t="s">
        <v>65</v>
      </c>
      <c r="E68" s="325" t="s">
        <v>483</v>
      </c>
      <c r="F68" s="79">
        <f t="shared" si="33"/>
        <v>0</v>
      </c>
      <c r="G68" s="331">
        <f t="shared" si="34"/>
        <v>0</v>
      </c>
      <c r="H68" s="331">
        <f t="shared" si="35"/>
        <v>0</v>
      </c>
      <c r="I68" s="331">
        <f t="shared" si="47"/>
        <v>0</v>
      </c>
      <c r="J68" s="79"/>
      <c r="K68" s="79"/>
      <c r="L68" s="79"/>
      <c r="M68" s="79"/>
      <c r="N68" s="79"/>
      <c r="O68" s="79"/>
      <c r="P68" s="79"/>
      <c r="Q68" s="79"/>
      <c r="R68" s="79">
        <f t="shared" si="48"/>
        <v>0</v>
      </c>
      <c r="S68" s="79">
        <f t="shared" si="49"/>
        <v>0</v>
      </c>
      <c r="T68" s="79">
        <f t="shared" si="50"/>
        <v>0</v>
      </c>
      <c r="U68" s="79">
        <f t="shared" si="51"/>
        <v>0</v>
      </c>
      <c r="V68" s="102">
        <f t="shared" si="52"/>
        <v>0</v>
      </c>
      <c r="W68" s="102">
        <f t="shared" si="53"/>
        <v>0</v>
      </c>
      <c r="X68" s="102">
        <f t="shared" si="54"/>
        <v>0</v>
      </c>
      <c r="Y68" s="102">
        <f t="shared" si="55"/>
        <v>0</v>
      </c>
      <c r="Z68" s="79"/>
      <c r="AA68" s="79"/>
      <c r="AB68" s="79"/>
      <c r="AC68" s="102"/>
      <c r="AD68" s="79"/>
      <c r="AE68" s="102"/>
      <c r="AF68" s="79"/>
      <c r="AG68" s="102"/>
      <c r="AH68" s="79"/>
      <c r="AI68" s="102"/>
      <c r="AJ68" s="79"/>
      <c r="AK68" s="102"/>
      <c r="AL68" s="79"/>
      <c r="AM68" s="102"/>
      <c r="AN68" s="79"/>
      <c r="AO68" s="102"/>
      <c r="AP68" s="79"/>
      <c r="AQ68" s="102"/>
      <c r="AR68" s="79"/>
      <c r="AS68" s="102"/>
      <c r="AT68" s="79"/>
      <c r="AU68" s="102"/>
      <c r="AV68" s="79"/>
      <c r="AW68" s="102"/>
      <c r="AX68" s="79"/>
      <c r="AY68" s="102"/>
      <c r="AZ68" s="79"/>
      <c r="BA68" s="102"/>
      <c r="BB68" s="79"/>
      <c r="BC68" s="102"/>
      <c r="BD68" s="79"/>
      <c r="BE68" s="102"/>
      <c r="BF68" s="79"/>
      <c r="BG68" s="102"/>
      <c r="BH68" s="79">
        <v>0</v>
      </c>
      <c r="BI68" s="101">
        <f t="shared" si="11"/>
        <v>0</v>
      </c>
      <c r="BJ68" s="79">
        <f t="shared" si="20"/>
        <v>0</v>
      </c>
      <c r="BK68" s="79">
        <f t="shared" si="21"/>
        <v>0</v>
      </c>
      <c r="BL68" s="377" t="s">
        <v>226</v>
      </c>
      <c r="BN68" s="98"/>
      <c r="BO68" s="98"/>
      <c r="BP68" s="98"/>
      <c r="BQ68" s="98"/>
      <c r="BR68" s="98"/>
      <c r="BS68" s="98">
        <f t="shared" si="45"/>
        <v>0</v>
      </c>
      <c r="BT68" s="98"/>
      <c r="BU68" s="91">
        <f t="shared" si="46"/>
        <v>0</v>
      </c>
      <c r="BV68" s="102">
        <f t="shared" si="0"/>
        <v>0</v>
      </c>
    </row>
    <row r="69" spans="1:74" s="90" customFormat="1">
      <c r="A69" s="886"/>
      <c r="B69" s="93"/>
      <c r="C69" s="323" t="s">
        <v>535</v>
      </c>
      <c r="D69" s="377" t="s">
        <v>65</v>
      </c>
      <c r="E69" s="325" t="s">
        <v>542</v>
      </c>
      <c r="F69" s="79">
        <f t="shared" si="33"/>
        <v>0</v>
      </c>
      <c r="G69" s="331">
        <f t="shared" si="34"/>
        <v>0</v>
      </c>
      <c r="H69" s="331">
        <f t="shared" si="35"/>
        <v>0</v>
      </c>
      <c r="I69" s="331">
        <f t="shared" si="47"/>
        <v>0</v>
      </c>
      <c r="J69" s="331"/>
      <c r="K69" s="331"/>
      <c r="L69" s="331"/>
      <c r="M69" s="331"/>
      <c r="N69" s="331"/>
      <c r="O69" s="78"/>
      <c r="P69" s="78"/>
      <c r="Q69" s="78"/>
      <c r="R69" s="79">
        <f t="shared" si="48"/>
        <v>0</v>
      </c>
      <c r="S69" s="79">
        <f t="shared" si="49"/>
        <v>0</v>
      </c>
      <c r="T69" s="79">
        <f t="shared" si="50"/>
        <v>0</v>
      </c>
      <c r="U69" s="79">
        <f t="shared" si="51"/>
        <v>0</v>
      </c>
      <c r="V69" s="102">
        <f t="shared" si="52"/>
        <v>0</v>
      </c>
      <c r="W69" s="102">
        <f t="shared" si="53"/>
        <v>0</v>
      </c>
      <c r="X69" s="102">
        <f t="shared" si="54"/>
        <v>0</v>
      </c>
      <c r="Y69" s="102">
        <f t="shared" si="55"/>
        <v>0</v>
      </c>
      <c r="Z69" s="79"/>
      <c r="AA69" s="102"/>
      <c r="AB69" s="79"/>
      <c r="AC69" s="102"/>
      <c r="AD69" s="79"/>
      <c r="AE69" s="102"/>
      <c r="AF69" s="79"/>
      <c r="AG69" s="102"/>
      <c r="AH69" s="79"/>
      <c r="AI69" s="102"/>
      <c r="AJ69" s="79"/>
      <c r="AK69" s="102"/>
      <c r="AL69" s="79"/>
      <c r="AM69" s="102"/>
      <c r="AN69" s="79"/>
      <c r="AO69" s="102"/>
      <c r="AP69" s="79"/>
      <c r="AQ69" s="102"/>
      <c r="AR69" s="79"/>
      <c r="AS69" s="102"/>
      <c r="AT69" s="79"/>
      <c r="AU69" s="102"/>
      <c r="AV69" s="79"/>
      <c r="AW69" s="102"/>
      <c r="AX69" s="79"/>
      <c r="AY69" s="102"/>
      <c r="AZ69" s="79"/>
      <c r="BA69" s="102"/>
      <c r="BB69" s="79"/>
      <c r="BC69" s="102"/>
      <c r="BD69" s="79"/>
      <c r="BE69" s="102"/>
      <c r="BF69" s="79"/>
      <c r="BG69" s="102"/>
      <c r="BH69" s="79">
        <v>0</v>
      </c>
      <c r="BI69" s="101">
        <f t="shared" si="11"/>
        <v>0</v>
      </c>
      <c r="BJ69" s="79">
        <f t="shared" si="20"/>
        <v>0</v>
      </c>
      <c r="BK69" s="78">
        <f t="shared" si="21"/>
        <v>0</v>
      </c>
      <c r="BL69" s="377" t="s">
        <v>226</v>
      </c>
      <c r="BN69" s="98"/>
      <c r="BO69" s="98"/>
      <c r="BP69" s="98"/>
      <c r="BQ69" s="98"/>
      <c r="BR69" s="98">
        <f>BN69+BO69+BP69+BQ69</f>
        <v>0</v>
      </c>
      <c r="BS69" s="98">
        <f t="shared" si="45"/>
        <v>0</v>
      </c>
      <c r="BT69" s="98"/>
      <c r="BU69" s="91">
        <f t="shared" si="46"/>
        <v>0</v>
      </c>
      <c r="BV69" s="102">
        <f t="shared" si="0"/>
        <v>0</v>
      </c>
    </row>
    <row r="70" spans="1:74" s="90" customFormat="1">
      <c r="A70" s="886"/>
      <c r="B70" s="93"/>
      <c r="C70" s="323" t="s">
        <v>132</v>
      </c>
      <c r="D70" s="377" t="s">
        <v>65</v>
      </c>
      <c r="E70" s="325" t="s">
        <v>501</v>
      </c>
      <c r="F70" s="79">
        <f t="shared" si="33"/>
        <v>0</v>
      </c>
      <c r="G70" s="331">
        <f t="shared" si="34"/>
        <v>0</v>
      </c>
      <c r="H70" s="331">
        <f t="shared" si="35"/>
        <v>0</v>
      </c>
      <c r="I70" s="331">
        <f t="shared" si="47"/>
        <v>0</v>
      </c>
      <c r="J70" s="331"/>
      <c r="K70" s="331"/>
      <c r="L70" s="331"/>
      <c r="M70" s="331"/>
      <c r="N70" s="331"/>
      <c r="O70" s="78"/>
      <c r="P70" s="78"/>
      <c r="Q70" s="78"/>
      <c r="R70" s="79">
        <f t="shared" si="48"/>
        <v>0</v>
      </c>
      <c r="S70" s="79">
        <f t="shared" si="49"/>
        <v>0</v>
      </c>
      <c r="T70" s="79">
        <f t="shared" si="50"/>
        <v>0</v>
      </c>
      <c r="U70" s="79">
        <f t="shared" si="51"/>
        <v>0</v>
      </c>
      <c r="V70" s="102">
        <f t="shared" si="52"/>
        <v>0</v>
      </c>
      <c r="W70" s="102">
        <f t="shared" si="53"/>
        <v>0</v>
      </c>
      <c r="X70" s="102">
        <f t="shared" si="54"/>
        <v>0</v>
      </c>
      <c r="Y70" s="102">
        <f t="shared" si="55"/>
        <v>0</v>
      </c>
      <c r="Z70" s="79"/>
      <c r="AA70" s="102"/>
      <c r="AB70" s="79"/>
      <c r="AC70" s="102"/>
      <c r="AD70" s="79"/>
      <c r="AE70" s="102"/>
      <c r="AF70" s="79"/>
      <c r="AG70" s="102"/>
      <c r="AH70" s="79"/>
      <c r="AI70" s="102"/>
      <c r="AJ70" s="79"/>
      <c r="AK70" s="102"/>
      <c r="AL70" s="79"/>
      <c r="AM70" s="102"/>
      <c r="AN70" s="79"/>
      <c r="AO70" s="102"/>
      <c r="AP70" s="79"/>
      <c r="AQ70" s="102"/>
      <c r="AR70" s="79"/>
      <c r="AS70" s="102"/>
      <c r="AT70" s="79"/>
      <c r="AU70" s="102"/>
      <c r="AV70" s="79"/>
      <c r="AW70" s="102"/>
      <c r="AX70" s="79"/>
      <c r="AY70" s="102"/>
      <c r="AZ70" s="79"/>
      <c r="BA70" s="102"/>
      <c r="BB70" s="79"/>
      <c r="BC70" s="102"/>
      <c r="BD70" s="79"/>
      <c r="BE70" s="102"/>
      <c r="BF70" s="79"/>
      <c r="BG70" s="102"/>
      <c r="BH70" s="79">
        <v>0</v>
      </c>
      <c r="BI70" s="101">
        <f t="shared" si="11"/>
        <v>0</v>
      </c>
      <c r="BJ70" s="79">
        <f t="shared" si="20"/>
        <v>0</v>
      </c>
      <c r="BK70" s="78">
        <f t="shared" si="21"/>
        <v>0</v>
      </c>
      <c r="BL70" s="377" t="s">
        <v>226</v>
      </c>
      <c r="BN70" s="98"/>
      <c r="BO70" s="98"/>
      <c r="BP70" s="98"/>
      <c r="BQ70" s="98"/>
      <c r="BR70" s="98">
        <f t="shared" ref="BR70:BR85" si="56">BN70+BO70+BP70+BQ70</f>
        <v>0</v>
      </c>
      <c r="BS70" s="98">
        <f t="shared" si="45"/>
        <v>0</v>
      </c>
      <c r="BT70" s="98"/>
      <c r="BU70" s="91">
        <f t="shared" si="46"/>
        <v>0</v>
      </c>
      <c r="BV70" s="102">
        <f t="shared" si="0"/>
        <v>0</v>
      </c>
    </row>
    <row r="71" spans="1:74" s="90" customFormat="1" ht="31.5">
      <c r="A71" s="886"/>
      <c r="B71" s="93"/>
      <c r="C71" s="503" t="s">
        <v>718</v>
      </c>
      <c r="D71" s="377" t="s">
        <v>16</v>
      </c>
      <c r="E71" s="325">
        <v>350000</v>
      </c>
      <c r="F71" s="79">
        <f t="shared" si="33"/>
        <v>1</v>
      </c>
      <c r="G71" s="331">
        <f t="shared" si="34"/>
        <v>350000</v>
      </c>
      <c r="H71" s="331">
        <f t="shared" si="35"/>
        <v>175000</v>
      </c>
      <c r="I71" s="331">
        <f t="shared" si="47"/>
        <v>175000</v>
      </c>
      <c r="J71" s="331"/>
      <c r="K71" s="331"/>
      <c r="L71" s="331"/>
      <c r="M71" s="331"/>
      <c r="N71" s="331"/>
      <c r="O71" s="78"/>
      <c r="P71" s="78"/>
      <c r="Q71" s="78"/>
      <c r="R71" s="79">
        <f t="shared" si="48"/>
        <v>0.25</v>
      </c>
      <c r="S71" s="79">
        <f t="shared" si="49"/>
        <v>0.25</v>
      </c>
      <c r="T71" s="79">
        <f t="shared" si="50"/>
        <v>0.25</v>
      </c>
      <c r="U71" s="79">
        <f t="shared" si="51"/>
        <v>0.25</v>
      </c>
      <c r="V71" s="102">
        <f t="shared" si="52"/>
        <v>87500</v>
      </c>
      <c r="W71" s="102">
        <f t="shared" si="53"/>
        <v>87500</v>
      </c>
      <c r="X71" s="102">
        <f t="shared" si="54"/>
        <v>87500</v>
      </c>
      <c r="Y71" s="102">
        <f t="shared" si="55"/>
        <v>87500</v>
      </c>
      <c r="Z71" s="79"/>
      <c r="AA71" s="102"/>
      <c r="AB71" s="79"/>
      <c r="AC71" s="102"/>
      <c r="AD71" s="79"/>
      <c r="AE71" s="102"/>
      <c r="AF71" s="79"/>
      <c r="AG71" s="102"/>
      <c r="AH71" s="79"/>
      <c r="AI71" s="102"/>
      <c r="AJ71" s="79"/>
      <c r="AK71" s="102"/>
      <c r="AL71" s="79"/>
      <c r="AM71" s="102"/>
      <c r="AN71" s="79"/>
      <c r="AO71" s="102"/>
      <c r="AP71" s="79"/>
      <c r="AQ71" s="102"/>
      <c r="AR71" s="79"/>
      <c r="AS71" s="102"/>
      <c r="AT71" s="79"/>
      <c r="AU71" s="102"/>
      <c r="AV71" s="79"/>
      <c r="AW71" s="102"/>
      <c r="AX71" s="79"/>
      <c r="AY71" s="102"/>
      <c r="AZ71" s="79"/>
      <c r="BA71" s="102"/>
      <c r="BB71" s="79"/>
      <c r="BC71" s="102"/>
      <c r="BD71" s="79"/>
      <c r="BE71" s="102"/>
      <c r="BF71" s="79"/>
      <c r="BG71" s="102"/>
      <c r="BH71" s="79">
        <v>1</v>
      </c>
      <c r="BI71" s="101">
        <f t="shared" si="11"/>
        <v>350000</v>
      </c>
      <c r="BJ71" s="79">
        <f t="shared" si="20"/>
        <v>1</v>
      </c>
      <c r="BK71" s="78">
        <f t="shared" si="21"/>
        <v>350000</v>
      </c>
      <c r="BL71" s="377" t="s">
        <v>226</v>
      </c>
      <c r="BN71" s="98"/>
      <c r="BO71" s="98"/>
      <c r="BP71" s="98"/>
      <c r="BQ71" s="98"/>
      <c r="BR71" s="98">
        <f t="shared" si="56"/>
        <v>0</v>
      </c>
      <c r="BS71" s="98">
        <f t="shared" si="45"/>
        <v>350000</v>
      </c>
      <c r="BT71" s="98"/>
      <c r="BU71" s="91">
        <f t="shared" si="46"/>
        <v>350000</v>
      </c>
      <c r="BV71" s="102">
        <f t="shared" si="0"/>
        <v>350000</v>
      </c>
    </row>
    <row r="72" spans="1:74" s="90" customFormat="1" ht="31.5">
      <c r="A72" s="886"/>
      <c r="B72" s="93"/>
      <c r="C72" s="503" t="s">
        <v>770</v>
      </c>
      <c r="D72" s="377" t="s">
        <v>65</v>
      </c>
      <c r="E72" s="466">
        <v>1600000</v>
      </c>
      <c r="F72" s="79">
        <f t="shared" si="33"/>
        <v>12</v>
      </c>
      <c r="G72" s="331">
        <f t="shared" si="34"/>
        <v>19200000</v>
      </c>
      <c r="H72" s="331">
        <f t="shared" si="35"/>
        <v>9600000</v>
      </c>
      <c r="I72" s="331">
        <f t="shared" si="47"/>
        <v>9600000</v>
      </c>
      <c r="J72" s="331"/>
      <c r="K72" s="331"/>
      <c r="L72" s="331"/>
      <c r="M72" s="331"/>
      <c r="N72" s="331"/>
      <c r="O72" s="78"/>
      <c r="P72" s="78"/>
      <c r="Q72" s="78"/>
      <c r="R72" s="79">
        <f t="shared" si="48"/>
        <v>3</v>
      </c>
      <c r="S72" s="79">
        <f t="shared" si="49"/>
        <v>3</v>
      </c>
      <c r="T72" s="79">
        <f t="shared" si="50"/>
        <v>3</v>
      </c>
      <c r="U72" s="79">
        <f t="shared" si="51"/>
        <v>3</v>
      </c>
      <c r="V72" s="102">
        <f t="shared" si="52"/>
        <v>4800000</v>
      </c>
      <c r="W72" s="102">
        <f t="shared" si="53"/>
        <v>4800000</v>
      </c>
      <c r="X72" s="102">
        <f t="shared" si="54"/>
        <v>4800000</v>
      </c>
      <c r="Y72" s="102">
        <f t="shared" si="55"/>
        <v>4800000</v>
      </c>
      <c r="Z72" s="79"/>
      <c r="AA72" s="102"/>
      <c r="AB72" s="79"/>
      <c r="AC72" s="102"/>
      <c r="AD72" s="79"/>
      <c r="AE72" s="102"/>
      <c r="AF72" s="79"/>
      <c r="AG72" s="102"/>
      <c r="AH72" s="79"/>
      <c r="AI72" s="102"/>
      <c r="AJ72" s="79"/>
      <c r="AK72" s="102"/>
      <c r="AL72" s="79"/>
      <c r="AM72" s="102"/>
      <c r="AN72" s="79"/>
      <c r="AO72" s="102"/>
      <c r="AP72" s="79"/>
      <c r="AQ72" s="102"/>
      <c r="AR72" s="79"/>
      <c r="AS72" s="102"/>
      <c r="AT72" s="79"/>
      <c r="AU72" s="102"/>
      <c r="AV72" s="79"/>
      <c r="AW72" s="102"/>
      <c r="AX72" s="79"/>
      <c r="AY72" s="102"/>
      <c r="AZ72" s="79"/>
      <c r="BA72" s="102"/>
      <c r="BB72" s="79"/>
      <c r="BC72" s="102"/>
      <c r="BD72" s="79"/>
      <c r="BE72" s="102"/>
      <c r="BF72" s="79"/>
      <c r="BG72" s="102"/>
      <c r="BH72" s="79">
        <v>12</v>
      </c>
      <c r="BI72" s="101">
        <f t="shared" si="11"/>
        <v>19200000</v>
      </c>
      <c r="BJ72" s="79">
        <f t="shared" si="20"/>
        <v>12</v>
      </c>
      <c r="BK72" s="78">
        <f t="shared" si="21"/>
        <v>19200000</v>
      </c>
      <c r="BL72" s="377" t="s">
        <v>226</v>
      </c>
      <c r="BN72" s="98"/>
      <c r="BO72" s="98"/>
      <c r="BP72" s="98"/>
      <c r="BQ72" s="98"/>
      <c r="BR72" s="98">
        <f t="shared" si="56"/>
        <v>0</v>
      </c>
      <c r="BS72" s="98">
        <f t="shared" si="45"/>
        <v>19200000</v>
      </c>
      <c r="BT72" s="98"/>
      <c r="BU72" s="91">
        <f t="shared" si="46"/>
        <v>19200000</v>
      </c>
      <c r="BV72" s="102">
        <f t="shared" si="0"/>
        <v>19200000</v>
      </c>
    </row>
    <row r="73" spans="1:74" s="90" customFormat="1">
      <c r="A73" s="886"/>
      <c r="B73" s="93"/>
      <c r="C73" s="323" t="s">
        <v>133</v>
      </c>
      <c r="D73" s="377" t="s">
        <v>65</v>
      </c>
      <c r="E73" s="466">
        <v>140000</v>
      </c>
      <c r="F73" s="79">
        <f t="shared" si="33"/>
        <v>12</v>
      </c>
      <c r="G73" s="331">
        <f t="shared" si="34"/>
        <v>1680000</v>
      </c>
      <c r="H73" s="331">
        <f t="shared" si="35"/>
        <v>840000</v>
      </c>
      <c r="I73" s="331">
        <f t="shared" si="47"/>
        <v>840000</v>
      </c>
      <c r="J73" s="331"/>
      <c r="K73" s="331"/>
      <c r="L73" s="331"/>
      <c r="M73" s="331"/>
      <c r="N73" s="331"/>
      <c r="O73" s="78"/>
      <c r="P73" s="78"/>
      <c r="Q73" s="78"/>
      <c r="R73" s="79">
        <f t="shared" si="48"/>
        <v>3</v>
      </c>
      <c r="S73" s="79">
        <f t="shared" si="49"/>
        <v>3</v>
      </c>
      <c r="T73" s="79">
        <f t="shared" si="50"/>
        <v>3</v>
      </c>
      <c r="U73" s="79">
        <f t="shared" si="51"/>
        <v>3</v>
      </c>
      <c r="V73" s="102">
        <f t="shared" si="52"/>
        <v>420000</v>
      </c>
      <c r="W73" s="102">
        <f t="shared" si="53"/>
        <v>420000</v>
      </c>
      <c r="X73" s="102">
        <f t="shared" si="54"/>
        <v>420000</v>
      </c>
      <c r="Y73" s="102">
        <f t="shared" si="55"/>
        <v>420000</v>
      </c>
      <c r="Z73" s="79"/>
      <c r="AA73" s="102"/>
      <c r="AB73" s="79"/>
      <c r="AC73" s="102"/>
      <c r="AD73" s="79"/>
      <c r="AE73" s="102"/>
      <c r="AF73" s="79"/>
      <c r="AG73" s="102"/>
      <c r="AH73" s="79"/>
      <c r="AI73" s="102"/>
      <c r="AJ73" s="79"/>
      <c r="AK73" s="102"/>
      <c r="AL73" s="79"/>
      <c r="AM73" s="102"/>
      <c r="AN73" s="79"/>
      <c r="AO73" s="102"/>
      <c r="AP73" s="79"/>
      <c r="AQ73" s="102"/>
      <c r="AR73" s="79"/>
      <c r="AS73" s="102"/>
      <c r="AT73" s="79"/>
      <c r="AU73" s="102"/>
      <c r="AV73" s="79"/>
      <c r="AW73" s="102"/>
      <c r="AX73" s="79"/>
      <c r="AY73" s="102"/>
      <c r="AZ73" s="79"/>
      <c r="BA73" s="102"/>
      <c r="BB73" s="79"/>
      <c r="BC73" s="102"/>
      <c r="BD73" s="79"/>
      <c r="BE73" s="102"/>
      <c r="BF73" s="79"/>
      <c r="BG73" s="102"/>
      <c r="BH73" s="79">
        <v>12</v>
      </c>
      <c r="BI73" s="101">
        <f t="shared" si="11"/>
        <v>1680000</v>
      </c>
      <c r="BJ73" s="79">
        <f t="shared" si="20"/>
        <v>12</v>
      </c>
      <c r="BK73" s="78">
        <f t="shared" si="21"/>
        <v>1680000</v>
      </c>
      <c r="BL73" s="377" t="s">
        <v>226</v>
      </c>
      <c r="BN73" s="98"/>
      <c r="BO73" s="98"/>
      <c r="BP73" s="98"/>
      <c r="BQ73" s="98"/>
      <c r="BR73" s="98">
        <f t="shared" si="56"/>
        <v>0</v>
      </c>
      <c r="BS73" s="98">
        <f t="shared" si="45"/>
        <v>1680000</v>
      </c>
      <c r="BT73" s="98"/>
      <c r="BU73" s="91">
        <f t="shared" si="46"/>
        <v>1680000</v>
      </c>
      <c r="BV73" s="102">
        <f t="shared" si="0"/>
        <v>1680000</v>
      </c>
    </row>
    <row r="74" spans="1:74" s="90" customFormat="1">
      <c r="A74" s="886"/>
      <c r="B74" s="93"/>
      <c r="C74" s="323" t="s">
        <v>134</v>
      </c>
      <c r="D74" s="377" t="s">
        <v>65</v>
      </c>
      <c r="E74" s="325" t="s">
        <v>542</v>
      </c>
      <c r="F74" s="79">
        <f t="shared" si="33"/>
        <v>12</v>
      </c>
      <c r="G74" s="331">
        <f t="shared" si="34"/>
        <v>180000</v>
      </c>
      <c r="H74" s="331">
        <f t="shared" si="35"/>
        <v>90000</v>
      </c>
      <c r="I74" s="331">
        <f t="shared" si="47"/>
        <v>90000</v>
      </c>
      <c r="J74" s="331"/>
      <c r="K74" s="331"/>
      <c r="L74" s="331"/>
      <c r="M74" s="331"/>
      <c r="N74" s="331"/>
      <c r="O74" s="78"/>
      <c r="P74" s="78"/>
      <c r="Q74" s="78"/>
      <c r="R74" s="79">
        <f t="shared" si="48"/>
        <v>3</v>
      </c>
      <c r="S74" s="79">
        <f t="shared" si="49"/>
        <v>3</v>
      </c>
      <c r="T74" s="79">
        <f t="shared" si="50"/>
        <v>3</v>
      </c>
      <c r="U74" s="79">
        <f t="shared" si="51"/>
        <v>3</v>
      </c>
      <c r="V74" s="102">
        <f t="shared" si="52"/>
        <v>45000</v>
      </c>
      <c r="W74" s="102">
        <f t="shared" si="53"/>
        <v>45000</v>
      </c>
      <c r="X74" s="102">
        <f t="shared" si="54"/>
        <v>45000</v>
      </c>
      <c r="Y74" s="102">
        <f t="shared" si="55"/>
        <v>45000</v>
      </c>
      <c r="Z74" s="79"/>
      <c r="AA74" s="102"/>
      <c r="AB74" s="79"/>
      <c r="AC74" s="102"/>
      <c r="AD74" s="79"/>
      <c r="AE74" s="102"/>
      <c r="AF74" s="79"/>
      <c r="AG74" s="102"/>
      <c r="AH74" s="79"/>
      <c r="AI74" s="102"/>
      <c r="AJ74" s="79"/>
      <c r="AK74" s="102"/>
      <c r="AL74" s="79"/>
      <c r="AM74" s="102"/>
      <c r="AN74" s="79"/>
      <c r="AO74" s="102"/>
      <c r="AP74" s="79"/>
      <c r="AQ74" s="102"/>
      <c r="AR74" s="79"/>
      <c r="AS74" s="102"/>
      <c r="AT74" s="79"/>
      <c r="AU74" s="102"/>
      <c r="AV74" s="79"/>
      <c r="AW74" s="102"/>
      <c r="AX74" s="79"/>
      <c r="AY74" s="102"/>
      <c r="AZ74" s="79"/>
      <c r="BA74" s="102"/>
      <c r="BB74" s="79"/>
      <c r="BC74" s="102"/>
      <c r="BD74" s="79"/>
      <c r="BE74" s="102"/>
      <c r="BF74" s="79"/>
      <c r="BG74" s="102"/>
      <c r="BH74" s="79">
        <v>12</v>
      </c>
      <c r="BI74" s="101">
        <f t="shared" si="11"/>
        <v>180000</v>
      </c>
      <c r="BJ74" s="79">
        <f t="shared" si="20"/>
        <v>12</v>
      </c>
      <c r="BK74" s="78">
        <f t="shared" si="21"/>
        <v>180000</v>
      </c>
      <c r="BL74" s="377" t="s">
        <v>226</v>
      </c>
      <c r="BN74" s="98"/>
      <c r="BO74" s="98"/>
      <c r="BP74" s="98"/>
      <c r="BQ74" s="98"/>
      <c r="BR74" s="98">
        <f t="shared" si="56"/>
        <v>0</v>
      </c>
      <c r="BS74" s="98">
        <f t="shared" si="45"/>
        <v>180000</v>
      </c>
      <c r="BT74" s="98"/>
      <c r="BU74" s="91">
        <f t="shared" si="46"/>
        <v>180000</v>
      </c>
      <c r="BV74" s="102">
        <f t="shared" si="0"/>
        <v>180000</v>
      </c>
    </row>
    <row r="75" spans="1:74" s="90" customFormat="1">
      <c r="A75" s="886"/>
      <c r="B75" s="93"/>
      <c r="C75" s="323" t="s">
        <v>135</v>
      </c>
      <c r="D75" s="377" t="s">
        <v>65</v>
      </c>
      <c r="E75" s="325" t="s">
        <v>542</v>
      </c>
      <c r="F75" s="79">
        <f t="shared" si="33"/>
        <v>12</v>
      </c>
      <c r="G75" s="331">
        <f t="shared" si="34"/>
        <v>180000</v>
      </c>
      <c r="H75" s="331">
        <f t="shared" si="35"/>
        <v>90000</v>
      </c>
      <c r="I75" s="331">
        <f t="shared" si="47"/>
        <v>90000</v>
      </c>
      <c r="J75" s="331"/>
      <c r="K75" s="331"/>
      <c r="L75" s="331"/>
      <c r="M75" s="331"/>
      <c r="N75" s="331"/>
      <c r="O75" s="78"/>
      <c r="P75" s="78"/>
      <c r="Q75" s="78"/>
      <c r="R75" s="79">
        <f t="shared" si="48"/>
        <v>3</v>
      </c>
      <c r="S75" s="79">
        <f t="shared" si="49"/>
        <v>3</v>
      </c>
      <c r="T75" s="79">
        <f t="shared" si="50"/>
        <v>3</v>
      </c>
      <c r="U75" s="79">
        <f t="shared" si="51"/>
        <v>3</v>
      </c>
      <c r="V75" s="102">
        <f t="shared" si="52"/>
        <v>45000</v>
      </c>
      <c r="W75" s="102">
        <f t="shared" si="53"/>
        <v>45000</v>
      </c>
      <c r="X75" s="102">
        <f t="shared" si="54"/>
        <v>45000</v>
      </c>
      <c r="Y75" s="102">
        <f t="shared" si="55"/>
        <v>45000</v>
      </c>
      <c r="Z75" s="79"/>
      <c r="AA75" s="102"/>
      <c r="AB75" s="79"/>
      <c r="AC75" s="102"/>
      <c r="AD75" s="79"/>
      <c r="AE75" s="102"/>
      <c r="AF75" s="79"/>
      <c r="AG75" s="102"/>
      <c r="AH75" s="79"/>
      <c r="AI75" s="102"/>
      <c r="AJ75" s="79"/>
      <c r="AK75" s="102"/>
      <c r="AL75" s="79"/>
      <c r="AM75" s="102"/>
      <c r="AN75" s="79"/>
      <c r="AO75" s="102"/>
      <c r="AP75" s="79"/>
      <c r="AQ75" s="102"/>
      <c r="AR75" s="79"/>
      <c r="AS75" s="102"/>
      <c r="AT75" s="79"/>
      <c r="AU75" s="102"/>
      <c r="AV75" s="79"/>
      <c r="AW75" s="102"/>
      <c r="AX75" s="79"/>
      <c r="AY75" s="102"/>
      <c r="AZ75" s="79"/>
      <c r="BA75" s="102"/>
      <c r="BB75" s="79"/>
      <c r="BC75" s="102"/>
      <c r="BD75" s="79"/>
      <c r="BE75" s="102"/>
      <c r="BF75" s="79"/>
      <c r="BG75" s="102"/>
      <c r="BH75" s="79">
        <v>12</v>
      </c>
      <c r="BI75" s="101">
        <f t="shared" si="11"/>
        <v>180000</v>
      </c>
      <c r="BJ75" s="79">
        <f t="shared" si="20"/>
        <v>12</v>
      </c>
      <c r="BK75" s="78">
        <f t="shared" si="21"/>
        <v>180000</v>
      </c>
      <c r="BL75" s="377" t="s">
        <v>226</v>
      </c>
      <c r="BN75" s="98"/>
      <c r="BO75" s="98"/>
      <c r="BP75" s="98"/>
      <c r="BQ75" s="98"/>
      <c r="BR75" s="98">
        <f t="shared" si="56"/>
        <v>0</v>
      </c>
      <c r="BS75" s="98">
        <f t="shared" si="45"/>
        <v>180000</v>
      </c>
      <c r="BT75" s="98"/>
      <c r="BU75" s="91">
        <f t="shared" si="46"/>
        <v>180000</v>
      </c>
      <c r="BV75" s="102">
        <f t="shared" si="0"/>
        <v>180000</v>
      </c>
    </row>
    <row r="76" spans="1:74" s="90" customFormat="1">
      <c r="A76" s="886"/>
      <c r="B76" s="93"/>
      <c r="C76" s="323" t="s">
        <v>136</v>
      </c>
      <c r="D76" s="377" t="s">
        <v>65</v>
      </c>
      <c r="E76" s="325" t="s">
        <v>543</v>
      </c>
      <c r="F76" s="79">
        <f t="shared" si="33"/>
        <v>0</v>
      </c>
      <c r="G76" s="331">
        <f t="shared" si="34"/>
        <v>0</v>
      </c>
      <c r="H76" s="331">
        <f t="shared" si="35"/>
        <v>0</v>
      </c>
      <c r="I76" s="331">
        <f t="shared" si="47"/>
        <v>0</v>
      </c>
      <c r="J76" s="331"/>
      <c r="K76" s="331"/>
      <c r="L76" s="331"/>
      <c r="M76" s="331"/>
      <c r="N76" s="331"/>
      <c r="O76" s="78"/>
      <c r="P76" s="78"/>
      <c r="Q76" s="78"/>
      <c r="R76" s="79">
        <f t="shared" si="48"/>
        <v>0</v>
      </c>
      <c r="S76" s="79">
        <f t="shared" si="49"/>
        <v>0</v>
      </c>
      <c r="T76" s="79">
        <f t="shared" si="50"/>
        <v>0</v>
      </c>
      <c r="U76" s="79">
        <f t="shared" si="51"/>
        <v>0</v>
      </c>
      <c r="V76" s="102">
        <f t="shared" si="52"/>
        <v>0</v>
      </c>
      <c r="W76" s="102">
        <f t="shared" si="53"/>
        <v>0</v>
      </c>
      <c r="X76" s="102">
        <f t="shared" si="54"/>
        <v>0</v>
      </c>
      <c r="Y76" s="102">
        <f t="shared" si="55"/>
        <v>0</v>
      </c>
      <c r="Z76" s="79"/>
      <c r="AA76" s="102"/>
      <c r="AB76" s="79"/>
      <c r="AC76" s="102"/>
      <c r="AD76" s="79"/>
      <c r="AE76" s="102"/>
      <c r="AF76" s="79"/>
      <c r="AG76" s="102"/>
      <c r="AH76" s="79"/>
      <c r="AI76" s="102"/>
      <c r="AJ76" s="79"/>
      <c r="AK76" s="102"/>
      <c r="AL76" s="79"/>
      <c r="AM76" s="102"/>
      <c r="AN76" s="79"/>
      <c r="AO76" s="102"/>
      <c r="AP76" s="79"/>
      <c r="AQ76" s="102"/>
      <c r="AR76" s="79"/>
      <c r="AS76" s="102"/>
      <c r="AT76" s="79"/>
      <c r="AU76" s="102"/>
      <c r="AV76" s="79"/>
      <c r="AW76" s="102"/>
      <c r="AX76" s="79"/>
      <c r="AY76" s="102"/>
      <c r="AZ76" s="79"/>
      <c r="BA76" s="102"/>
      <c r="BB76" s="79"/>
      <c r="BC76" s="102"/>
      <c r="BD76" s="79"/>
      <c r="BE76" s="102"/>
      <c r="BF76" s="79"/>
      <c r="BG76" s="102"/>
      <c r="BH76" s="79">
        <v>0</v>
      </c>
      <c r="BI76" s="101">
        <f t="shared" si="11"/>
        <v>0</v>
      </c>
      <c r="BJ76" s="79">
        <f t="shared" si="20"/>
        <v>0</v>
      </c>
      <c r="BK76" s="78">
        <f t="shared" si="21"/>
        <v>0</v>
      </c>
      <c r="BL76" s="377" t="s">
        <v>226</v>
      </c>
      <c r="BN76" s="98"/>
      <c r="BO76" s="98"/>
      <c r="BP76" s="98"/>
      <c r="BQ76" s="98"/>
      <c r="BR76" s="98">
        <f t="shared" si="56"/>
        <v>0</v>
      </c>
      <c r="BS76" s="98">
        <f t="shared" si="45"/>
        <v>0</v>
      </c>
      <c r="BT76" s="98"/>
      <c r="BU76" s="91">
        <f t="shared" si="46"/>
        <v>0</v>
      </c>
      <c r="BV76" s="102">
        <f t="shared" si="0"/>
        <v>0</v>
      </c>
    </row>
    <row r="77" spans="1:74" s="240" customFormat="1">
      <c r="A77" s="886"/>
      <c r="B77" s="363"/>
      <c r="C77" s="336" t="s">
        <v>536</v>
      </c>
      <c r="D77" s="439" t="s">
        <v>121</v>
      </c>
      <c r="E77" s="440" t="s">
        <v>121</v>
      </c>
      <c r="F77" s="429">
        <f>SUM(F52:F76)</f>
        <v>249</v>
      </c>
      <c r="G77" s="429">
        <f t="shared" ref="G77:BK77" si="57">SUM(G52:G76)</f>
        <v>32166000</v>
      </c>
      <c r="H77" s="429">
        <f t="shared" si="57"/>
        <v>16083000</v>
      </c>
      <c r="I77" s="429">
        <f t="shared" si="57"/>
        <v>16083000</v>
      </c>
      <c r="J77" s="429">
        <f t="shared" si="57"/>
        <v>0</v>
      </c>
      <c r="K77" s="429">
        <f t="shared" si="57"/>
        <v>0</v>
      </c>
      <c r="L77" s="429">
        <f t="shared" si="57"/>
        <v>0</v>
      </c>
      <c r="M77" s="429">
        <f t="shared" si="57"/>
        <v>0</v>
      </c>
      <c r="N77" s="429">
        <f t="shared" si="57"/>
        <v>0</v>
      </c>
      <c r="O77" s="429">
        <f t="shared" si="57"/>
        <v>0</v>
      </c>
      <c r="P77" s="429">
        <f t="shared" si="57"/>
        <v>0</v>
      </c>
      <c r="Q77" s="429">
        <f t="shared" si="57"/>
        <v>0</v>
      </c>
      <c r="R77" s="429">
        <f t="shared" si="57"/>
        <v>62.25</v>
      </c>
      <c r="S77" s="429">
        <f t="shared" si="57"/>
        <v>62.25</v>
      </c>
      <c r="T77" s="429">
        <f t="shared" si="57"/>
        <v>62.25</v>
      </c>
      <c r="U77" s="429">
        <f t="shared" si="57"/>
        <v>62.25</v>
      </c>
      <c r="V77" s="429">
        <f t="shared" si="57"/>
        <v>8041500</v>
      </c>
      <c r="W77" s="429">
        <f t="shared" si="57"/>
        <v>8041500</v>
      </c>
      <c r="X77" s="429">
        <f t="shared" si="57"/>
        <v>8041500</v>
      </c>
      <c r="Y77" s="429">
        <f t="shared" si="57"/>
        <v>8041500</v>
      </c>
      <c r="Z77" s="429">
        <f t="shared" si="57"/>
        <v>0</v>
      </c>
      <c r="AA77" s="429">
        <f t="shared" si="57"/>
        <v>0</v>
      </c>
      <c r="AB77" s="429">
        <f t="shared" si="57"/>
        <v>0</v>
      </c>
      <c r="AC77" s="429">
        <f t="shared" si="57"/>
        <v>0</v>
      </c>
      <c r="AD77" s="429">
        <f t="shared" si="57"/>
        <v>0</v>
      </c>
      <c r="AE77" s="429">
        <f t="shared" si="57"/>
        <v>0</v>
      </c>
      <c r="AF77" s="429">
        <f t="shared" si="57"/>
        <v>0</v>
      </c>
      <c r="AG77" s="429">
        <f t="shared" si="57"/>
        <v>0</v>
      </c>
      <c r="AH77" s="429">
        <f t="shared" si="57"/>
        <v>0</v>
      </c>
      <c r="AI77" s="429">
        <f t="shared" si="57"/>
        <v>0</v>
      </c>
      <c r="AJ77" s="429">
        <f t="shared" si="57"/>
        <v>0</v>
      </c>
      <c r="AK77" s="429">
        <f t="shared" si="57"/>
        <v>0</v>
      </c>
      <c r="AL77" s="429">
        <f t="shared" si="57"/>
        <v>0</v>
      </c>
      <c r="AM77" s="429">
        <f t="shared" si="57"/>
        <v>0</v>
      </c>
      <c r="AN77" s="429">
        <f t="shared" si="57"/>
        <v>0</v>
      </c>
      <c r="AO77" s="429">
        <f t="shared" si="57"/>
        <v>0</v>
      </c>
      <c r="AP77" s="429">
        <f t="shared" si="57"/>
        <v>0</v>
      </c>
      <c r="AQ77" s="429">
        <f t="shared" si="57"/>
        <v>0</v>
      </c>
      <c r="AR77" s="429">
        <f t="shared" si="57"/>
        <v>0</v>
      </c>
      <c r="AS77" s="429">
        <f t="shared" si="57"/>
        <v>0</v>
      </c>
      <c r="AT77" s="429">
        <f t="shared" si="57"/>
        <v>0</v>
      </c>
      <c r="AU77" s="429">
        <f t="shared" si="57"/>
        <v>0</v>
      </c>
      <c r="AV77" s="429">
        <f t="shared" si="57"/>
        <v>0</v>
      </c>
      <c r="AW77" s="429">
        <f t="shared" si="57"/>
        <v>0</v>
      </c>
      <c r="AX77" s="429">
        <f t="shared" si="57"/>
        <v>0</v>
      </c>
      <c r="AY77" s="429">
        <f t="shared" si="57"/>
        <v>0</v>
      </c>
      <c r="AZ77" s="429">
        <f t="shared" si="57"/>
        <v>0</v>
      </c>
      <c r="BA77" s="429">
        <f t="shared" si="57"/>
        <v>0</v>
      </c>
      <c r="BB77" s="429">
        <f t="shared" si="57"/>
        <v>0</v>
      </c>
      <c r="BC77" s="429">
        <f t="shared" si="57"/>
        <v>0</v>
      </c>
      <c r="BD77" s="429">
        <f t="shared" si="57"/>
        <v>0</v>
      </c>
      <c r="BE77" s="429">
        <f t="shared" si="57"/>
        <v>0</v>
      </c>
      <c r="BF77" s="429">
        <f t="shared" si="57"/>
        <v>0</v>
      </c>
      <c r="BG77" s="429">
        <f t="shared" si="57"/>
        <v>0</v>
      </c>
      <c r="BH77" s="429">
        <f t="shared" si="57"/>
        <v>249</v>
      </c>
      <c r="BI77" s="429">
        <f t="shared" si="57"/>
        <v>32166000</v>
      </c>
      <c r="BJ77" s="429">
        <f t="shared" si="57"/>
        <v>249</v>
      </c>
      <c r="BK77" s="429">
        <f t="shared" si="57"/>
        <v>32166000</v>
      </c>
      <c r="BL77" s="439" t="s">
        <v>121</v>
      </c>
      <c r="BN77" s="344"/>
      <c r="BO77" s="344"/>
      <c r="BP77" s="344"/>
      <c r="BQ77" s="344"/>
      <c r="BR77" s="344">
        <f t="shared" si="56"/>
        <v>0</v>
      </c>
      <c r="BS77" s="344">
        <f>G77</f>
        <v>32166000</v>
      </c>
      <c r="BT77" s="344"/>
      <c r="BU77" s="476">
        <f t="shared" ref="BU77:BU85" si="58">BS77+BT77</f>
        <v>32166000</v>
      </c>
      <c r="BV77" s="477">
        <f t="shared" ref="BV77:BV85" si="59">BR77+BU77</f>
        <v>32166000</v>
      </c>
    </row>
    <row r="78" spans="1:74" s="90" customFormat="1">
      <c r="A78" s="886"/>
      <c r="B78" s="93"/>
      <c r="C78" s="332" t="s">
        <v>466</v>
      </c>
      <c r="D78" s="377"/>
      <c r="E78" s="377"/>
      <c r="F78" s="79"/>
      <c r="G78" s="331"/>
      <c r="H78" s="331"/>
      <c r="I78" s="331"/>
      <c r="J78" s="331"/>
      <c r="K78" s="331"/>
      <c r="L78" s="331"/>
      <c r="M78" s="331"/>
      <c r="N78" s="331"/>
      <c r="O78" s="78"/>
      <c r="P78" s="78"/>
      <c r="Q78" s="78"/>
      <c r="R78" s="79"/>
      <c r="S78" s="79"/>
      <c r="T78" s="79"/>
      <c r="U78" s="79"/>
      <c r="V78" s="102"/>
      <c r="W78" s="102"/>
      <c r="X78" s="102"/>
      <c r="Y78" s="102"/>
      <c r="Z78" s="79"/>
      <c r="AA78" s="102"/>
      <c r="AB78" s="79"/>
      <c r="AC78" s="102"/>
      <c r="AD78" s="79"/>
      <c r="AE78" s="102"/>
      <c r="AF78" s="79"/>
      <c r="AG78" s="102"/>
      <c r="AH78" s="79"/>
      <c r="AI78" s="102"/>
      <c r="AJ78" s="79"/>
      <c r="AK78" s="102"/>
      <c r="AL78" s="79"/>
      <c r="AM78" s="102"/>
      <c r="AN78" s="79"/>
      <c r="AO78" s="102"/>
      <c r="AP78" s="79"/>
      <c r="AQ78" s="102"/>
      <c r="AR78" s="79"/>
      <c r="AS78" s="102"/>
      <c r="AT78" s="79"/>
      <c r="AU78" s="102"/>
      <c r="AV78" s="79"/>
      <c r="AW78" s="102"/>
      <c r="AX78" s="79"/>
      <c r="AY78" s="102"/>
      <c r="AZ78" s="79"/>
      <c r="BA78" s="102"/>
      <c r="BB78" s="79"/>
      <c r="BC78" s="102"/>
      <c r="BD78" s="79"/>
      <c r="BE78" s="102"/>
      <c r="BF78" s="79"/>
      <c r="BG78" s="102"/>
      <c r="BH78" s="79"/>
      <c r="BI78" s="101">
        <f t="shared" ref="BI78:BI85" si="60">BH78*E78</f>
        <v>0</v>
      </c>
      <c r="BJ78" s="79">
        <f t="shared" si="20"/>
        <v>0</v>
      </c>
      <c r="BK78" s="78">
        <f t="shared" si="21"/>
        <v>0</v>
      </c>
      <c r="BL78" s="377"/>
      <c r="BN78" s="98"/>
      <c r="BO78" s="98"/>
      <c r="BP78" s="98"/>
      <c r="BQ78" s="98"/>
      <c r="BR78" s="98">
        <f t="shared" si="56"/>
        <v>0</v>
      </c>
      <c r="BS78" s="98">
        <f>G78</f>
        <v>0</v>
      </c>
      <c r="BT78" s="98"/>
      <c r="BU78" s="91">
        <f t="shared" si="58"/>
        <v>0</v>
      </c>
      <c r="BV78" s="102">
        <f t="shared" si="59"/>
        <v>0</v>
      </c>
    </row>
    <row r="79" spans="1:74" s="90" customFormat="1">
      <c r="A79" s="886"/>
      <c r="B79" s="93"/>
      <c r="C79" s="323" t="s">
        <v>537</v>
      </c>
      <c r="D79" s="377" t="s">
        <v>65</v>
      </c>
      <c r="E79" s="325">
        <v>100000</v>
      </c>
      <c r="F79" s="79">
        <f>BJ79</f>
        <v>12</v>
      </c>
      <c r="G79" s="331">
        <f>F79*E79</f>
        <v>1200000</v>
      </c>
      <c r="H79" s="331">
        <f t="shared" ref="H79:H85" si="61">G79*0.5</f>
        <v>600000</v>
      </c>
      <c r="I79" s="331">
        <f>G79*0.5</f>
        <v>600000</v>
      </c>
      <c r="J79" s="331"/>
      <c r="K79" s="331"/>
      <c r="L79" s="331"/>
      <c r="M79" s="331"/>
      <c r="N79" s="331"/>
      <c r="O79" s="78"/>
      <c r="P79" s="78"/>
      <c r="Q79" s="78"/>
      <c r="R79" s="79">
        <f>F79*0.25</f>
        <v>3</v>
      </c>
      <c r="S79" s="79">
        <f>F79*0.25</f>
        <v>3</v>
      </c>
      <c r="T79" s="79">
        <f>F79*0.25</f>
        <v>3</v>
      </c>
      <c r="U79" s="79">
        <f>F79*0.25</f>
        <v>3</v>
      </c>
      <c r="V79" s="102">
        <f>R79*E79</f>
        <v>300000</v>
      </c>
      <c r="W79" s="102">
        <f>S79*E79</f>
        <v>300000</v>
      </c>
      <c r="X79" s="102">
        <f>T79*E79</f>
        <v>300000</v>
      </c>
      <c r="Y79" s="102">
        <f>U79*E79</f>
        <v>300000</v>
      </c>
      <c r="Z79" s="79"/>
      <c r="AA79" s="102"/>
      <c r="AB79" s="79"/>
      <c r="AC79" s="102"/>
      <c r="AD79" s="79"/>
      <c r="AE79" s="102"/>
      <c r="AF79" s="79"/>
      <c r="AG79" s="102"/>
      <c r="AH79" s="79"/>
      <c r="AI79" s="102"/>
      <c r="AJ79" s="79"/>
      <c r="AK79" s="102"/>
      <c r="AL79" s="79"/>
      <c r="AM79" s="102"/>
      <c r="AN79" s="79"/>
      <c r="AO79" s="102"/>
      <c r="AP79" s="79"/>
      <c r="AQ79" s="102"/>
      <c r="AR79" s="79"/>
      <c r="AS79" s="102"/>
      <c r="AT79" s="79"/>
      <c r="AU79" s="102"/>
      <c r="AV79" s="79"/>
      <c r="AW79" s="102"/>
      <c r="AX79" s="79"/>
      <c r="AY79" s="102"/>
      <c r="AZ79" s="79"/>
      <c r="BA79" s="102"/>
      <c r="BB79" s="79"/>
      <c r="BC79" s="102"/>
      <c r="BD79" s="79"/>
      <c r="BE79" s="102"/>
      <c r="BF79" s="79"/>
      <c r="BG79" s="102"/>
      <c r="BH79" s="79">
        <v>12</v>
      </c>
      <c r="BI79" s="101">
        <f t="shared" si="60"/>
        <v>1200000</v>
      </c>
      <c r="BJ79" s="79">
        <f t="shared" si="20"/>
        <v>12</v>
      </c>
      <c r="BK79" s="78">
        <f t="shared" si="21"/>
        <v>1200000</v>
      </c>
      <c r="BL79" s="377" t="s">
        <v>226</v>
      </c>
      <c r="BN79" s="98"/>
      <c r="BO79" s="98"/>
      <c r="BP79" s="98"/>
      <c r="BQ79" s="98"/>
      <c r="BR79" s="98">
        <f t="shared" si="56"/>
        <v>0</v>
      </c>
      <c r="BS79" s="98"/>
      <c r="BT79" s="98">
        <f>BK79</f>
        <v>1200000</v>
      </c>
      <c r="BU79" s="91">
        <f t="shared" si="58"/>
        <v>1200000</v>
      </c>
      <c r="BV79" s="102">
        <f t="shared" si="59"/>
        <v>1200000</v>
      </c>
    </row>
    <row r="80" spans="1:74" s="90" customFormat="1">
      <c r="A80" s="886"/>
      <c r="B80" s="93"/>
      <c r="C80" s="323" t="s">
        <v>143</v>
      </c>
      <c r="D80" s="377" t="s">
        <v>16</v>
      </c>
      <c r="E80" s="466">
        <v>1000000</v>
      </c>
      <c r="F80" s="79">
        <f t="shared" ref="F80:F85" si="62">BJ80</f>
        <v>1</v>
      </c>
      <c r="G80" s="331">
        <f t="shared" ref="G80:G85" si="63">F80*E80</f>
        <v>1000000</v>
      </c>
      <c r="H80" s="331">
        <f t="shared" si="61"/>
        <v>500000</v>
      </c>
      <c r="I80" s="331">
        <f t="shared" ref="I80:I85" si="64">G80*0.5</f>
        <v>500000</v>
      </c>
      <c r="J80" s="331"/>
      <c r="K80" s="331"/>
      <c r="L80" s="331"/>
      <c r="M80" s="331"/>
      <c r="N80" s="331"/>
      <c r="O80" s="78"/>
      <c r="P80" s="78"/>
      <c r="Q80" s="78"/>
      <c r="R80" s="79">
        <f t="shared" ref="R80:R85" si="65">F80*0.25</f>
        <v>0.25</v>
      </c>
      <c r="S80" s="79">
        <f t="shared" ref="S80:S85" si="66">F80*0.25</f>
        <v>0.25</v>
      </c>
      <c r="T80" s="79">
        <f t="shared" ref="T80:T85" si="67">F80*0.25</f>
        <v>0.25</v>
      </c>
      <c r="U80" s="79">
        <f t="shared" ref="U80:U85" si="68">F80*0.25</f>
        <v>0.25</v>
      </c>
      <c r="V80" s="102">
        <f t="shared" ref="V80:V85" si="69">R80*E80</f>
        <v>250000</v>
      </c>
      <c r="W80" s="102">
        <f t="shared" ref="W80:W85" si="70">S80*E80</f>
        <v>250000</v>
      </c>
      <c r="X80" s="102">
        <f t="shared" ref="X80:X85" si="71">T80*E80</f>
        <v>250000</v>
      </c>
      <c r="Y80" s="102">
        <f t="shared" ref="Y80:Y85" si="72">U80*E80</f>
        <v>250000</v>
      </c>
      <c r="Z80" s="79"/>
      <c r="AA80" s="102"/>
      <c r="AB80" s="79"/>
      <c r="AC80" s="102"/>
      <c r="AD80" s="79"/>
      <c r="AE80" s="102"/>
      <c r="AF80" s="79"/>
      <c r="AG80" s="102"/>
      <c r="AH80" s="79"/>
      <c r="AI80" s="102"/>
      <c r="AJ80" s="79"/>
      <c r="AK80" s="102"/>
      <c r="AL80" s="79"/>
      <c r="AM80" s="102"/>
      <c r="AN80" s="79"/>
      <c r="AO80" s="102"/>
      <c r="AP80" s="79"/>
      <c r="AQ80" s="102"/>
      <c r="AR80" s="79"/>
      <c r="AS80" s="102"/>
      <c r="AT80" s="79"/>
      <c r="AU80" s="102"/>
      <c r="AV80" s="79"/>
      <c r="AW80" s="102"/>
      <c r="AX80" s="79"/>
      <c r="AY80" s="102"/>
      <c r="AZ80" s="79"/>
      <c r="BA80" s="102"/>
      <c r="BB80" s="79"/>
      <c r="BC80" s="102"/>
      <c r="BD80" s="79"/>
      <c r="BE80" s="102"/>
      <c r="BF80" s="79"/>
      <c r="BG80" s="102"/>
      <c r="BH80" s="79">
        <v>1</v>
      </c>
      <c r="BI80" s="101">
        <f t="shared" si="60"/>
        <v>1000000</v>
      </c>
      <c r="BJ80" s="79">
        <f t="shared" si="20"/>
        <v>1</v>
      </c>
      <c r="BK80" s="78">
        <f t="shared" si="21"/>
        <v>1000000</v>
      </c>
      <c r="BL80" s="377" t="s">
        <v>226</v>
      </c>
      <c r="BN80" s="98"/>
      <c r="BO80" s="98"/>
      <c r="BP80" s="98"/>
      <c r="BQ80" s="98"/>
      <c r="BR80" s="98">
        <f t="shared" si="56"/>
        <v>0</v>
      </c>
      <c r="BS80" s="98"/>
      <c r="BT80" s="98">
        <f t="shared" ref="BT80:BT85" si="73">BK80</f>
        <v>1000000</v>
      </c>
      <c r="BU80" s="91">
        <f t="shared" si="58"/>
        <v>1000000</v>
      </c>
      <c r="BV80" s="102">
        <f t="shared" si="59"/>
        <v>1000000</v>
      </c>
    </row>
    <row r="81" spans="1:74" s="90" customFormat="1">
      <c r="A81" s="886"/>
      <c r="B81" s="93"/>
      <c r="C81" s="323" t="s">
        <v>140</v>
      </c>
      <c r="D81" s="377" t="s">
        <v>65</v>
      </c>
      <c r="E81" s="325" t="s">
        <v>439</v>
      </c>
      <c r="F81" s="79">
        <f t="shared" si="62"/>
        <v>12</v>
      </c>
      <c r="G81" s="331">
        <f t="shared" si="63"/>
        <v>3600000</v>
      </c>
      <c r="H81" s="331">
        <f t="shared" si="61"/>
        <v>1800000</v>
      </c>
      <c r="I81" s="331">
        <f t="shared" si="64"/>
        <v>1800000</v>
      </c>
      <c r="J81" s="331"/>
      <c r="K81" s="331"/>
      <c r="L81" s="331"/>
      <c r="M81" s="331"/>
      <c r="N81" s="331"/>
      <c r="O81" s="78"/>
      <c r="P81" s="78"/>
      <c r="Q81" s="78"/>
      <c r="R81" s="79">
        <f t="shared" si="65"/>
        <v>3</v>
      </c>
      <c r="S81" s="79">
        <f t="shared" si="66"/>
        <v>3</v>
      </c>
      <c r="T81" s="79">
        <f t="shared" si="67"/>
        <v>3</v>
      </c>
      <c r="U81" s="79">
        <f t="shared" si="68"/>
        <v>3</v>
      </c>
      <c r="V81" s="102">
        <f t="shared" si="69"/>
        <v>900000</v>
      </c>
      <c r="W81" s="102">
        <f t="shared" si="70"/>
        <v>900000</v>
      </c>
      <c r="X81" s="102">
        <f t="shared" si="71"/>
        <v>900000</v>
      </c>
      <c r="Y81" s="102">
        <f t="shared" si="72"/>
        <v>900000</v>
      </c>
      <c r="Z81" s="79"/>
      <c r="AA81" s="102"/>
      <c r="AB81" s="79"/>
      <c r="AC81" s="102"/>
      <c r="AD81" s="79"/>
      <c r="AE81" s="102"/>
      <c r="AF81" s="79"/>
      <c r="AG81" s="102"/>
      <c r="AH81" s="79"/>
      <c r="AI81" s="102"/>
      <c r="AJ81" s="79"/>
      <c r="AK81" s="102"/>
      <c r="AL81" s="79"/>
      <c r="AM81" s="102"/>
      <c r="AN81" s="79"/>
      <c r="AO81" s="102"/>
      <c r="AP81" s="79"/>
      <c r="AQ81" s="102"/>
      <c r="AR81" s="79"/>
      <c r="AS81" s="102"/>
      <c r="AT81" s="79"/>
      <c r="AU81" s="102"/>
      <c r="AV81" s="79"/>
      <c r="AW81" s="102"/>
      <c r="AX81" s="79"/>
      <c r="AY81" s="102"/>
      <c r="AZ81" s="79"/>
      <c r="BA81" s="102"/>
      <c r="BB81" s="79"/>
      <c r="BC81" s="102"/>
      <c r="BD81" s="79"/>
      <c r="BE81" s="102"/>
      <c r="BF81" s="79"/>
      <c r="BG81" s="102"/>
      <c r="BH81" s="79">
        <v>12</v>
      </c>
      <c r="BI81" s="101">
        <f t="shared" si="60"/>
        <v>3600000</v>
      </c>
      <c r="BJ81" s="79">
        <f t="shared" si="20"/>
        <v>12</v>
      </c>
      <c r="BK81" s="78">
        <f t="shared" si="21"/>
        <v>3600000</v>
      </c>
      <c r="BL81" s="377" t="s">
        <v>226</v>
      </c>
      <c r="BN81" s="98"/>
      <c r="BO81" s="98"/>
      <c r="BP81" s="98"/>
      <c r="BQ81" s="98"/>
      <c r="BR81" s="98">
        <f t="shared" si="56"/>
        <v>0</v>
      </c>
      <c r="BS81" s="98"/>
      <c r="BT81" s="98">
        <f t="shared" si="73"/>
        <v>3600000</v>
      </c>
      <c r="BU81" s="91">
        <f t="shared" si="58"/>
        <v>3600000</v>
      </c>
      <c r="BV81" s="102">
        <f t="shared" si="59"/>
        <v>3600000</v>
      </c>
    </row>
    <row r="82" spans="1:74" s="90" customFormat="1" ht="47.25">
      <c r="A82" s="886"/>
      <c r="B82" s="93"/>
      <c r="C82" s="503" t="s">
        <v>721</v>
      </c>
      <c r="D82" s="377" t="s">
        <v>16</v>
      </c>
      <c r="E82" s="325" t="s">
        <v>538</v>
      </c>
      <c r="F82" s="79">
        <f t="shared" si="62"/>
        <v>1</v>
      </c>
      <c r="G82" s="331">
        <f t="shared" si="63"/>
        <v>2500000</v>
      </c>
      <c r="H82" s="331">
        <f t="shared" si="61"/>
        <v>1250000</v>
      </c>
      <c r="I82" s="331">
        <f t="shared" si="64"/>
        <v>1250000</v>
      </c>
      <c r="J82" s="331"/>
      <c r="K82" s="331"/>
      <c r="L82" s="331"/>
      <c r="M82" s="331"/>
      <c r="N82" s="331"/>
      <c r="O82" s="78"/>
      <c r="P82" s="78"/>
      <c r="Q82" s="78"/>
      <c r="R82" s="79">
        <f t="shared" si="65"/>
        <v>0.25</v>
      </c>
      <c r="S82" s="79">
        <f t="shared" si="66"/>
        <v>0.25</v>
      </c>
      <c r="T82" s="79">
        <f t="shared" si="67"/>
        <v>0.25</v>
      </c>
      <c r="U82" s="79">
        <f t="shared" si="68"/>
        <v>0.25</v>
      </c>
      <c r="V82" s="102">
        <f t="shared" si="69"/>
        <v>625000</v>
      </c>
      <c r="W82" s="102">
        <f t="shared" si="70"/>
        <v>625000</v>
      </c>
      <c r="X82" s="102">
        <f t="shared" si="71"/>
        <v>625000</v>
      </c>
      <c r="Y82" s="102">
        <f t="shared" si="72"/>
        <v>625000</v>
      </c>
      <c r="Z82" s="79"/>
      <c r="AA82" s="102"/>
      <c r="AB82" s="79"/>
      <c r="AC82" s="102"/>
      <c r="AD82" s="79"/>
      <c r="AE82" s="102"/>
      <c r="AF82" s="79"/>
      <c r="AG82" s="102"/>
      <c r="AH82" s="79"/>
      <c r="AI82" s="102"/>
      <c r="AJ82" s="79"/>
      <c r="AK82" s="102"/>
      <c r="AL82" s="79"/>
      <c r="AM82" s="102"/>
      <c r="AN82" s="79"/>
      <c r="AO82" s="102"/>
      <c r="AP82" s="79"/>
      <c r="AQ82" s="102"/>
      <c r="AR82" s="79"/>
      <c r="AS82" s="102"/>
      <c r="AT82" s="79"/>
      <c r="AU82" s="102"/>
      <c r="AV82" s="79"/>
      <c r="AW82" s="102"/>
      <c r="AX82" s="79"/>
      <c r="AY82" s="102"/>
      <c r="AZ82" s="79"/>
      <c r="BA82" s="102"/>
      <c r="BB82" s="79"/>
      <c r="BC82" s="102"/>
      <c r="BD82" s="79"/>
      <c r="BE82" s="102"/>
      <c r="BF82" s="79"/>
      <c r="BG82" s="102"/>
      <c r="BH82" s="79">
        <v>1</v>
      </c>
      <c r="BI82" s="101">
        <f t="shared" si="60"/>
        <v>2500000</v>
      </c>
      <c r="BJ82" s="79">
        <f t="shared" si="20"/>
        <v>1</v>
      </c>
      <c r="BK82" s="78">
        <f t="shared" si="21"/>
        <v>2500000</v>
      </c>
      <c r="BL82" s="377" t="s">
        <v>226</v>
      </c>
      <c r="BN82" s="98"/>
      <c r="BO82" s="98"/>
      <c r="BP82" s="98"/>
      <c r="BQ82" s="98"/>
      <c r="BR82" s="98">
        <f t="shared" si="56"/>
        <v>0</v>
      </c>
      <c r="BS82" s="98"/>
      <c r="BT82" s="98">
        <f t="shared" si="73"/>
        <v>2500000</v>
      </c>
      <c r="BU82" s="91">
        <f t="shared" si="58"/>
        <v>2500000</v>
      </c>
      <c r="BV82" s="102">
        <f t="shared" si="59"/>
        <v>2500000</v>
      </c>
    </row>
    <row r="83" spans="1:74" s="90" customFormat="1">
      <c r="A83" s="886"/>
      <c r="B83" s="93"/>
      <c r="C83" s="323" t="s">
        <v>137</v>
      </c>
      <c r="D83" s="377" t="s">
        <v>65</v>
      </c>
      <c r="E83" s="325">
        <v>30000</v>
      </c>
      <c r="F83" s="79">
        <f t="shared" si="62"/>
        <v>12</v>
      </c>
      <c r="G83" s="331">
        <f t="shared" si="63"/>
        <v>360000</v>
      </c>
      <c r="H83" s="331">
        <f t="shared" si="61"/>
        <v>180000</v>
      </c>
      <c r="I83" s="331">
        <f t="shared" si="64"/>
        <v>180000</v>
      </c>
      <c r="J83" s="331"/>
      <c r="K83" s="331"/>
      <c r="L83" s="331"/>
      <c r="M83" s="331"/>
      <c r="N83" s="331"/>
      <c r="O83" s="78"/>
      <c r="P83" s="78"/>
      <c r="Q83" s="78"/>
      <c r="R83" s="79">
        <f t="shared" si="65"/>
        <v>3</v>
      </c>
      <c r="S83" s="79">
        <f t="shared" si="66"/>
        <v>3</v>
      </c>
      <c r="T83" s="79">
        <f t="shared" si="67"/>
        <v>3</v>
      </c>
      <c r="U83" s="79">
        <f t="shared" si="68"/>
        <v>3</v>
      </c>
      <c r="V83" s="102">
        <f t="shared" si="69"/>
        <v>90000</v>
      </c>
      <c r="W83" s="102">
        <f t="shared" si="70"/>
        <v>90000</v>
      </c>
      <c r="X83" s="102">
        <f t="shared" si="71"/>
        <v>90000</v>
      </c>
      <c r="Y83" s="102">
        <f t="shared" si="72"/>
        <v>90000</v>
      </c>
      <c r="Z83" s="79"/>
      <c r="AA83" s="102"/>
      <c r="AB83" s="79"/>
      <c r="AC83" s="102"/>
      <c r="AD83" s="79"/>
      <c r="AE83" s="102"/>
      <c r="AF83" s="79"/>
      <c r="AG83" s="102"/>
      <c r="AH83" s="79"/>
      <c r="AI83" s="102"/>
      <c r="AJ83" s="79"/>
      <c r="AK83" s="102"/>
      <c r="AL83" s="79"/>
      <c r="AM83" s="102"/>
      <c r="AN83" s="79"/>
      <c r="AO83" s="102"/>
      <c r="AP83" s="79"/>
      <c r="AQ83" s="102"/>
      <c r="AR83" s="79"/>
      <c r="AS83" s="102"/>
      <c r="AT83" s="79"/>
      <c r="AU83" s="102"/>
      <c r="AV83" s="79"/>
      <c r="AW83" s="102"/>
      <c r="AX83" s="79"/>
      <c r="AY83" s="102"/>
      <c r="AZ83" s="79"/>
      <c r="BA83" s="102"/>
      <c r="BB83" s="79"/>
      <c r="BC83" s="102"/>
      <c r="BD83" s="79"/>
      <c r="BE83" s="102"/>
      <c r="BF83" s="79"/>
      <c r="BG83" s="102"/>
      <c r="BH83" s="79">
        <v>12</v>
      </c>
      <c r="BI83" s="101">
        <f t="shared" si="60"/>
        <v>360000</v>
      </c>
      <c r="BJ83" s="79">
        <f t="shared" si="20"/>
        <v>12</v>
      </c>
      <c r="BK83" s="78">
        <f t="shared" si="21"/>
        <v>360000</v>
      </c>
      <c r="BL83" s="377" t="s">
        <v>226</v>
      </c>
      <c r="BN83" s="98"/>
      <c r="BO83" s="98"/>
      <c r="BP83" s="98"/>
      <c r="BQ83" s="98"/>
      <c r="BR83" s="98">
        <f t="shared" si="56"/>
        <v>0</v>
      </c>
      <c r="BS83" s="98"/>
      <c r="BT83" s="98">
        <f t="shared" si="73"/>
        <v>360000</v>
      </c>
      <c r="BU83" s="91">
        <f t="shared" si="58"/>
        <v>360000</v>
      </c>
      <c r="BV83" s="102">
        <f t="shared" si="59"/>
        <v>360000</v>
      </c>
    </row>
    <row r="84" spans="1:74" s="90" customFormat="1">
      <c r="A84" s="886"/>
      <c r="B84" s="93"/>
      <c r="C84" s="323" t="s">
        <v>138</v>
      </c>
      <c r="D84" s="377" t="s">
        <v>65</v>
      </c>
      <c r="E84" s="325">
        <v>30000</v>
      </c>
      <c r="F84" s="79">
        <f t="shared" si="62"/>
        <v>12</v>
      </c>
      <c r="G84" s="331">
        <f t="shared" si="63"/>
        <v>360000</v>
      </c>
      <c r="H84" s="331">
        <f t="shared" si="61"/>
        <v>180000</v>
      </c>
      <c r="I84" s="331">
        <f t="shared" si="64"/>
        <v>180000</v>
      </c>
      <c r="J84" s="331"/>
      <c r="K84" s="331"/>
      <c r="L84" s="331"/>
      <c r="M84" s="331"/>
      <c r="N84" s="331"/>
      <c r="O84" s="78"/>
      <c r="P84" s="78"/>
      <c r="Q84" s="78"/>
      <c r="R84" s="79">
        <f t="shared" si="65"/>
        <v>3</v>
      </c>
      <c r="S84" s="79">
        <f t="shared" si="66"/>
        <v>3</v>
      </c>
      <c r="T84" s="79">
        <f t="shared" si="67"/>
        <v>3</v>
      </c>
      <c r="U84" s="79">
        <f t="shared" si="68"/>
        <v>3</v>
      </c>
      <c r="V84" s="102">
        <f t="shared" si="69"/>
        <v>90000</v>
      </c>
      <c r="W84" s="102">
        <f t="shared" si="70"/>
        <v>90000</v>
      </c>
      <c r="X84" s="102">
        <f t="shared" si="71"/>
        <v>90000</v>
      </c>
      <c r="Y84" s="102">
        <f t="shared" si="72"/>
        <v>90000</v>
      </c>
      <c r="Z84" s="79"/>
      <c r="AA84" s="102"/>
      <c r="AB84" s="79"/>
      <c r="AC84" s="102"/>
      <c r="AD84" s="79"/>
      <c r="AE84" s="102"/>
      <c r="AF84" s="79"/>
      <c r="AG84" s="102"/>
      <c r="AH84" s="79"/>
      <c r="AI84" s="102"/>
      <c r="AJ84" s="79"/>
      <c r="AK84" s="102"/>
      <c r="AL84" s="79"/>
      <c r="AM84" s="102"/>
      <c r="AN84" s="79"/>
      <c r="AO84" s="102"/>
      <c r="AP84" s="79"/>
      <c r="AQ84" s="102"/>
      <c r="AR84" s="79"/>
      <c r="AS84" s="102"/>
      <c r="AT84" s="79"/>
      <c r="AU84" s="102"/>
      <c r="AV84" s="79"/>
      <c r="AW84" s="102"/>
      <c r="AX84" s="79"/>
      <c r="AY84" s="102"/>
      <c r="AZ84" s="79"/>
      <c r="BA84" s="102"/>
      <c r="BB84" s="79"/>
      <c r="BC84" s="102"/>
      <c r="BD84" s="79"/>
      <c r="BE84" s="102"/>
      <c r="BF84" s="79"/>
      <c r="BG84" s="102"/>
      <c r="BH84" s="79">
        <v>12</v>
      </c>
      <c r="BI84" s="101">
        <f t="shared" si="60"/>
        <v>360000</v>
      </c>
      <c r="BJ84" s="79">
        <f t="shared" si="20"/>
        <v>12</v>
      </c>
      <c r="BK84" s="78">
        <f t="shared" si="21"/>
        <v>360000</v>
      </c>
      <c r="BL84" s="377" t="s">
        <v>226</v>
      </c>
      <c r="BN84" s="98"/>
      <c r="BO84" s="98"/>
      <c r="BP84" s="98"/>
      <c r="BQ84" s="98"/>
      <c r="BR84" s="98">
        <f t="shared" si="56"/>
        <v>0</v>
      </c>
      <c r="BS84" s="98"/>
      <c r="BT84" s="98">
        <f t="shared" si="73"/>
        <v>360000</v>
      </c>
      <c r="BU84" s="91">
        <f t="shared" si="58"/>
        <v>360000</v>
      </c>
      <c r="BV84" s="102">
        <f t="shared" si="59"/>
        <v>360000</v>
      </c>
    </row>
    <row r="85" spans="1:74" s="90" customFormat="1">
      <c r="A85" s="886"/>
      <c r="B85" s="93"/>
      <c r="C85" s="323" t="s">
        <v>139</v>
      </c>
      <c r="D85" s="377" t="s">
        <v>65</v>
      </c>
      <c r="E85" s="325" t="s">
        <v>542</v>
      </c>
      <c r="F85" s="79">
        <f t="shared" si="62"/>
        <v>0</v>
      </c>
      <c r="G85" s="331">
        <f t="shared" si="63"/>
        <v>0</v>
      </c>
      <c r="H85" s="331">
        <f t="shared" si="61"/>
        <v>0</v>
      </c>
      <c r="I85" s="331">
        <f t="shared" si="64"/>
        <v>0</v>
      </c>
      <c r="J85" s="331"/>
      <c r="K85" s="331"/>
      <c r="L85" s="331"/>
      <c r="M85" s="331"/>
      <c r="N85" s="331"/>
      <c r="O85" s="78"/>
      <c r="P85" s="78"/>
      <c r="Q85" s="78"/>
      <c r="R85" s="79">
        <f t="shared" si="65"/>
        <v>0</v>
      </c>
      <c r="S85" s="79">
        <f t="shared" si="66"/>
        <v>0</v>
      </c>
      <c r="T85" s="79">
        <f t="shared" si="67"/>
        <v>0</v>
      </c>
      <c r="U85" s="79">
        <f t="shared" si="68"/>
        <v>0</v>
      </c>
      <c r="V85" s="102">
        <f t="shared" si="69"/>
        <v>0</v>
      </c>
      <c r="W85" s="102">
        <f t="shared" si="70"/>
        <v>0</v>
      </c>
      <c r="X85" s="102">
        <f t="shared" si="71"/>
        <v>0</v>
      </c>
      <c r="Y85" s="102">
        <f t="shared" si="72"/>
        <v>0</v>
      </c>
      <c r="Z85" s="79"/>
      <c r="AA85" s="102"/>
      <c r="AB85" s="79"/>
      <c r="AC85" s="102"/>
      <c r="AD85" s="79"/>
      <c r="AE85" s="102"/>
      <c r="AF85" s="79"/>
      <c r="AG85" s="102"/>
      <c r="AH85" s="79"/>
      <c r="AI85" s="102"/>
      <c r="AJ85" s="79"/>
      <c r="AK85" s="102"/>
      <c r="AL85" s="79"/>
      <c r="AM85" s="102"/>
      <c r="AN85" s="79"/>
      <c r="AO85" s="102"/>
      <c r="AP85" s="79"/>
      <c r="AQ85" s="102"/>
      <c r="AR85" s="79"/>
      <c r="AS85" s="102"/>
      <c r="AT85" s="79"/>
      <c r="AU85" s="102"/>
      <c r="AV85" s="79"/>
      <c r="AW85" s="102"/>
      <c r="AX85" s="79"/>
      <c r="AY85" s="102"/>
      <c r="AZ85" s="79"/>
      <c r="BA85" s="102"/>
      <c r="BB85" s="79"/>
      <c r="BC85" s="102"/>
      <c r="BD85" s="79"/>
      <c r="BE85" s="102"/>
      <c r="BF85" s="79"/>
      <c r="BG85" s="102"/>
      <c r="BH85" s="79">
        <v>0</v>
      </c>
      <c r="BI85" s="101">
        <f t="shared" si="60"/>
        <v>0</v>
      </c>
      <c r="BJ85" s="79">
        <f t="shared" si="20"/>
        <v>0</v>
      </c>
      <c r="BK85" s="78">
        <f t="shared" si="21"/>
        <v>0</v>
      </c>
      <c r="BL85" s="377" t="s">
        <v>226</v>
      </c>
      <c r="BN85" s="98"/>
      <c r="BO85" s="98"/>
      <c r="BP85" s="98"/>
      <c r="BQ85" s="98"/>
      <c r="BR85" s="98">
        <f t="shared" si="56"/>
        <v>0</v>
      </c>
      <c r="BS85" s="98"/>
      <c r="BT85" s="98">
        <f t="shared" si="73"/>
        <v>0</v>
      </c>
      <c r="BU85" s="91">
        <f t="shared" si="58"/>
        <v>0</v>
      </c>
      <c r="BV85" s="102">
        <f t="shared" si="59"/>
        <v>0</v>
      </c>
    </row>
    <row r="86" spans="1:74" s="489" customFormat="1">
      <c r="A86" s="886"/>
      <c r="B86" s="348"/>
      <c r="C86" s="334" t="s">
        <v>708</v>
      </c>
      <c r="D86" s="487" t="s">
        <v>121</v>
      </c>
      <c r="E86" s="483"/>
      <c r="F86" s="488">
        <f>SUM(F79:F85)</f>
        <v>50</v>
      </c>
      <c r="G86" s="488">
        <f t="shared" ref="G86:BR86" si="74">SUM(G79:G85)</f>
        <v>9020000</v>
      </c>
      <c r="H86" s="488">
        <f t="shared" si="74"/>
        <v>4510000</v>
      </c>
      <c r="I86" s="488">
        <f t="shared" si="74"/>
        <v>4510000</v>
      </c>
      <c r="J86" s="488">
        <f t="shared" si="74"/>
        <v>0</v>
      </c>
      <c r="K86" s="488">
        <f t="shared" si="74"/>
        <v>0</v>
      </c>
      <c r="L86" s="488">
        <f t="shared" si="74"/>
        <v>0</v>
      </c>
      <c r="M86" s="488">
        <f t="shared" si="74"/>
        <v>0</v>
      </c>
      <c r="N86" s="488">
        <f t="shared" si="74"/>
        <v>0</v>
      </c>
      <c r="O86" s="488">
        <f t="shared" si="74"/>
        <v>0</v>
      </c>
      <c r="P86" s="488">
        <f t="shared" si="74"/>
        <v>0</v>
      </c>
      <c r="Q86" s="488">
        <f t="shared" si="74"/>
        <v>0</v>
      </c>
      <c r="R86" s="488">
        <f t="shared" si="74"/>
        <v>12.5</v>
      </c>
      <c r="S86" s="488">
        <f t="shared" si="74"/>
        <v>12.5</v>
      </c>
      <c r="T86" s="488">
        <f t="shared" si="74"/>
        <v>12.5</v>
      </c>
      <c r="U86" s="488">
        <f t="shared" si="74"/>
        <v>12.5</v>
      </c>
      <c r="V86" s="488">
        <f t="shared" si="74"/>
        <v>2255000</v>
      </c>
      <c r="W86" s="488">
        <f t="shared" si="74"/>
        <v>2255000</v>
      </c>
      <c r="X86" s="488">
        <f t="shared" si="74"/>
        <v>2255000</v>
      </c>
      <c r="Y86" s="488">
        <f t="shared" si="74"/>
        <v>2255000</v>
      </c>
      <c r="Z86" s="488">
        <f t="shared" si="74"/>
        <v>0</v>
      </c>
      <c r="AA86" s="488">
        <f t="shared" si="74"/>
        <v>0</v>
      </c>
      <c r="AB86" s="488">
        <f t="shared" si="74"/>
        <v>0</v>
      </c>
      <c r="AC86" s="488">
        <f t="shared" si="74"/>
        <v>0</v>
      </c>
      <c r="AD86" s="488">
        <f t="shared" si="74"/>
        <v>0</v>
      </c>
      <c r="AE86" s="488">
        <f t="shared" si="74"/>
        <v>0</v>
      </c>
      <c r="AF86" s="488">
        <f t="shared" si="74"/>
        <v>0</v>
      </c>
      <c r="AG86" s="488">
        <f t="shared" si="74"/>
        <v>0</v>
      </c>
      <c r="AH86" s="488">
        <f t="shared" si="74"/>
        <v>0</v>
      </c>
      <c r="AI86" s="488">
        <f t="shared" si="74"/>
        <v>0</v>
      </c>
      <c r="AJ86" s="488">
        <f t="shared" si="74"/>
        <v>0</v>
      </c>
      <c r="AK86" s="488">
        <f t="shared" si="74"/>
        <v>0</v>
      </c>
      <c r="AL86" s="488">
        <f t="shared" si="74"/>
        <v>0</v>
      </c>
      <c r="AM86" s="488">
        <f t="shared" si="74"/>
        <v>0</v>
      </c>
      <c r="AN86" s="488">
        <f t="shared" si="74"/>
        <v>0</v>
      </c>
      <c r="AO86" s="488">
        <f t="shared" si="74"/>
        <v>0</v>
      </c>
      <c r="AP86" s="488">
        <f t="shared" si="74"/>
        <v>0</v>
      </c>
      <c r="AQ86" s="488">
        <f t="shared" si="74"/>
        <v>0</v>
      </c>
      <c r="AR86" s="488">
        <f t="shared" si="74"/>
        <v>0</v>
      </c>
      <c r="AS86" s="488">
        <f t="shared" si="74"/>
        <v>0</v>
      </c>
      <c r="AT86" s="488">
        <f t="shared" si="74"/>
        <v>0</v>
      </c>
      <c r="AU86" s="488">
        <f t="shared" si="74"/>
        <v>0</v>
      </c>
      <c r="AV86" s="488">
        <f t="shared" si="74"/>
        <v>0</v>
      </c>
      <c r="AW86" s="488">
        <f t="shared" si="74"/>
        <v>0</v>
      </c>
      <c r="AX86" s="488">
        <f t="shared" si="74"/>
        <v>0</v>
      </c>
      <c r="AY86" s="488">
        <f t="shared" si="74"/>
        <v>0</v>
      </c>
      <c r="AZ86" s="488">
        <f t="shared" si="74"/>
        <v>0</v>
      </c>
      <c r="BA86" s="488">
        <f t="shared" si="74"/>
        <v>0</v>
      </c>
      <c r="BB86" s="488">
        <f t="shared" si="74"/>
        <v>0</v>
      </c>
      <c r="BC86" s="488">
        <f t="shared" si="74"/>
        <v>0</v>
      </c>
      <c r="BD86" s="488">
        <f t="shared" si="74"/>
        <v>0</v>
      </c>
      <c r="BE86" s="488">
        <f t="shared" si="74"/>
        <v>0</v>
      </c>
      <c r="BF86" s="488">
        <f t="shared" si="74"/>
        <v>0</v>
      </c>
      <c r="BG86" s="488">
        <f t="shared" si="74"/>
        <v>0</v>
      </c>
      <c r="BH86" s="488">
        <f t="shared" si="74"/>
        <v>50</v>
      </c>
      <c r="BI86" s="488">
        <f t="shared" si="74"/>
        <v>9020000</v>
      </c>
      <c r="BJ86" s="488">
        <f t="shared" si="74"/>
        <v>50</v>
      </c>
      <c r="BK86" s="488">
        <f t="shared" si="74"/>
        <v>9020000</v>
      </c>
      <c r="BL86" s="488">
        <f t="shared" si="74"/>
        <v>0</v>
      </c>
      <c r="BM86" s="488">
        <f t="shared" si="74"/>
        <v>0</v>
      </c>
      <c r="BN86" s="488">
        <f t="shared" si="74"/>
        <v>0</v>
      </c>
      <c r="BO86" s="488">
        <f t="shared" si="74"/>
        <v>0</v>
      </c>
      <c r="BP86" s="488">
        <f t="shared" si="74"/>
        <v>0</v>
      </c>
      <c r="BQ86" s="488">
        <f t="shared" si="74"/>
        <v>0</v>
      </c>
      <c r="BR86" s="488">
        <f t="shared" si="74"/>
        <v>0</v>
      </c>
      <c r="BS86" s="488">
        <f>SUM(BS79:BS85)</f>
        <v>0</v>
      </c>
      <c r="BT86" s="488">
        <f>SUM(BT79:BT85)</f>
        <v>9020000</v>
      </c>
      <c r="BU86" s="488">
        <f>SUM(BU79:BU85)</f>
        <v>9020000</v>
      </c>
      <c r="BV86" s="488">
        <f>SUM(BV79:BV85)</f>
        <v>9020000</v>
      </c>
    </row>
    <row r="87" spans="1:74" s="341" customFormat="1">
      <c r="A87" s="485"/>
      <c r="B87" s="486"/>
      <c r="C87" s="382" t="s">
        <v>470</v>
      </c>
      <c r="D87" s="376"/>
      <c r="E87" s="383"/>
      <c r="F87" s="490">
        <f>F86+F77+F47+F32+F24</f>
        <v>1363</v>
      </c>
      <c r="G87" s="490">
        <f t="shared" ref="G87:BR87" si="75">G86+G77+G47+G32+G24</f>
        <v>62066000</v>
      </c>
      <c r="H87" s="490">
        <f t="shared" si="75"/>
        <v>24769000</v>
      </c>
      <c r="I87" s="490">
        <f t="shared" si="75"/>
        <v>37297000</v>
      </c>
      <c r="J87" s="490">
        <f t="shared" si="75"/>
        <v>0</v>
      </c>
      <c r="K87" s="490">
        <f t="shared" si="75"/>
        <v>0</v>
      </c>
      <c r="L87" s="490">
        <f t="shared" si="75"/>
        <v>0</v>
      </c>
      <c r="M87" s="490">
        <f t="shared" si="75"/>
        <v>0</v>
      </c>
      <c r="N87" s="490">
        <f t="shared" si="75"/>
        <v>0</v>
      </c>
      <c r="O87" s="490">
        <f t="shared" si="75"/>
        <v>0</v>
      </c>
      <c r="P87" s="490">
        <f t="shared" si="75"/>
        <v>0</v>
      </c>
      <c r="Q87" s="490">
        <f t="shared" si="75"/>
        <v>0</v>
      </c>
      <c r="R87" s="490">
        <f t="shared" si="75"/>
        <v>77.75</v>
      </c>
      <c r="S87" s="490">
        <f t="shared" si="75"/>
        <v>123.75</v>
      </c>
      <c r="T87" s="490">
        <f t="shared" si="75"/>
        <v>1083</v>
      </c>
      <c r="U87" s="490">
        <f t="shared" si="75"/>
        <v>77.75</v>
      </c>
      <c r="V87" s="490">
        <f t="shared" si="75"/>
        <v>10896500</v>
      </c>
      <c r="W87" s="490">
        <f t="shared" si="75"/>
        <v>15176500</v>
      </c>
      <c r="X87" s="490">
        <f t="shared" si="75"/>
        <v>16096500</v>
      </c>
      <c r="Y87" s="490">
        <f t="shared" si="75"/>
        <v>10896500</v>
      </c>
      <c r="Z87" s="490">
        <f t="shared" si="75"/>
        <v>0</v>
      </c>
      <c r="AA87" s="490">
        <f t="shared" si="75"/>
        <v>0</v>
      </c>
      <c r="AB87" s="490">
        <f t="shared" si="75"/>
        <v>0</v>
      </c>
      <c r="AC87" s="490">
        <f t="shared" si="75"/>
        <v>0</v>
      </c>
      <c r="AD87" s="490">
        <f t="shared" si="75"/>
        <v>0</v>
      </c>
      <c r="AE87" s="490">
        <f t="shared" si="75"/>
        <v>0</v>
      </c>
      <c r="AF87" s="490">
        <f t="shared" si="75"/>
        <v>0</v>
      </c>
      <c r="AG87" s="490">
        <f t="shared" si="75"/>
        <v>0</v>
      </c>
      <c r="AH87" s="490">
        <f t="shared" si="75"/>
        <v>0</v>
      </c>
      <c r="AI87" s="490">
        <f t="shared" si="75"/>
        <v>0</v>
      </c>
      <c r="AJ87" s="490">
        <f t="shared" si="75"/>
        <v>0</v>
      </c>
      <c r="AK87" s="490">
        <f t="shared" si="75"/>
        <v>0</v>
      </c>
      <c r="AL87" s="490">
        <f t="shared" si="75"/>
        <v>0</v>
      </c>
      <c r="AM87" s="490">
        <f t="shared" si="75"/>
        <v>0</v>
      </c>
      <c r="AN87" s="490">
        <f t="shared" si="75"/>
        <v>0</v>
      </c>
      <c r="AO87" s="490">
        <f t="shared" si="75"/>
        <v>0</v>
      </c>
      <c r="AP87" s="490">
        <f t="shared" si="75"/>
        <v>0</v>
      </c>
      <c r="AQ87" s="490">
        <f t="shared" si="75"/>
        <v>0</v>
      </c>
      <c r="AR87" s="490">
        <f t="shared" si="75"/>
        <v>0</v>
      </c>
      <c r="AS87" s="490">
        <f t="shared" si="75"/>
        <v>0</v>
      </c>
      <c r="AT87" s="490">
        <f t="shared" si="75"/>
        <v>0</v>
      </c>
      <c r="AU87" s="490">
        <f t="shared" si="75"/>
        <v>0</v>
      </c>
      <c r="AV87" s="490">
        <f t="shared" si="75"/>
        <v>0</v>
      </c>
      <c r="AW87" s="490">
        <f t="shared" si="75"/>
        <v>0</v>
      </c>
      <c r="AX87" s="490">
        <f t="shared" si="75"/>
        <v>0</v>
      </c>
      <c r="AY87" s="490">
        <f t="shared" si="75"/>
        <v>0</v>
      </c>
      <c r="AZ87" s="490">
        <f t="shared" si="75"/>
        <v>0</v>
      </c>
      <c r="BA87" s="490">
        <f t="shared" si="75"/>
        <v>0</v>
      </c>
      <c r="BB87" s="490">
        <f t="shared" si="75"/>
        <v>0</v>
      </c>
      <c r="BC87" s="490">
        <f t="shared" si="75"/>
        <v>0</v>
      </c>
      <c r="BD87" s="490">
        <f t="shared" si="75"/>
        <v>0</v>
      </c>
      <c r="BE87" s="490">
        <f t="shared" si="75"/>
        <v>0</v>
      </c>
      <c r="BF87" s="490">
        <f t="shared" si="75"/>
        <v>0</v>
      </c>
      <c r="BG87" s="490">
        <f t="shared" si="75"/>
        <v>0</v>
      </c>
      <c r="BH87" s="490">
        <f t="shared" si="75"/>
        <v>1363</v>
      </c>
      <c r="BI87" s="490">
        <f t="shared" si="75"/>
        <v>62066000</v>
      </c>
      <c r="BJ87" s="490">
        <f t="shared" si="75"/>
        <v>1363</v>
      </c>
      <c r="BK87" s="490">
        <f t="shared" si="75"/>
        <v>62066000</v>
      </c>
      <c r="BL87" s="490" t="e">
        <f t="shared" si="75"/>
        <v>#VALUE!</v>
      </c>
      <c r="BM87" s="490">
        <f t="shared" si="75"/>
        <v>0</v>
      </c>
      <c r="BN87" s="490">
        <f t="shared" si="75"/>
        <v>0</v>
      </c>
      <c r="BO87" s="490">
        <f t="shared" si="75"/>
        <v>500000</v>
      </c>
      <c r="BP87" s="490">
        <f t="shared" si="75"/>
        <v>20180000</v>
      </c>
      <c r="BQ87" s="490">
        <f t="shared" si="75"/>
        <v>0</v>
      </c>
      <c r="BR87" s="490">
        <f t="shared" si="75"/>
        <v>20680000</v>
      </c>
      <c r="BS87" s="490">
        <f>BS86+BS77+BS47+BS32+BS24</f>
        <v>32166000</v>
      </c>
      <c r="BT87" s="490">
        <f>BT86+BT77+BT47+BT32+BT24</f>
        <v>9220000</v>
      </c>
      <c r="BU87" s="490">
        <f>BU86+BU77+BU47+BU32+BU24</f>
        <v>41386000</v>
      </c>
      <c r="BV87" s="490">
        <f>BV86+BV77+BV47+BV32+BV24</f>
        <v>62066000</v>
      </c>
    </row>
    <row r="88" spans="1:74" s="90" customFormat="1">
      <c r="C88" s="90" t="s">
        <v>245</v>
      </c>
      <c r="E88" s="244"/>
    </row>
    <row r="89" spans="1:74" s="90" customFormat="1">
      <c r="C89" s="90" t="s">
        <v>309</v>
      </c>
      <c r="E89" s="244"/>
      <c r="X89" s="245"/>
    </row>
    <row r="90" spans="1:74" s="90" customFormat="1">
      <c r="C90" s="90" t="s">
        <v>310</v>
      </c>
      <c r="E90" s="244"/>
      <c r="X90" s="245"/>
    </row>
    <row r="91" spans="1:74" s="90" customFormat="1">
      <c r="C91" s="90" t="s">
        <v>311</v>
      </c>
      <c r="E91" s="244"/>
    </row>
    <row r="92" spans="1:74" s="90" customFormat="1">
      <c r="C92" s="90" t="s">
        <v>312</v>
      </c>
      <c r="E92" s="244"/>
    </row>
    <row r="93" spans="1:74" s="90" customFormat="1">
      <c r="C93" s="90" t="s">
        <v>313</v>
      </c>
      <c r="E93" s="244"/>
    </row>
    <row r="94" spans="1:74" s="90" customFormat="1">
      <c r="C94" s="90" t="s">
        <v>314</v>
      </c>
      <c r="E94" s="244"/>
    </row>
    <row r="95" spans="1:74" s="90" customFormat="1">
      <c r="C95" s="90" t="s">
        <v>315</v>
      </c>
      <c r="E95" s="244"/>
    </row>
    <row r="96" spans="1:74" s="90" customFormat="1">
      <c r="E96" s="244"/>
    </row>
    <row r="97" spans="5:5" s="90" customFormat="1">
      <c r="E97" s="244"/>
    </row>
    <row r="98" spans="5:5" s="90" customFormat="1">
      <c r="E98" s="244"/>
    </row>
    <row r="99" spans="5:5" s="90" customFormat="1">
      <c r="E99" s="244"/>
    </row>
    <row r="100" spans="5:5" s="90" customFormat="1">
      <c r="E100" s="244"/>
    </row>
    <row r="101" spans="5:5" s="90" customFormat="1">
      <c r="E101" s="244"/>
    </row>
    <row r="102" spans="5:5" s="90" customFormat="1">
      <c r="E102" s="244"/>
    </row>
    <row r="103" spans="5:5" s="90" customFormat="1">
      <c r="E103" s="244"/>
    </row>
  </sheetData>
  <mergeCells count="45">
    <mergeCell ref="BH7:BI8"/>
    <mergeCell ref="AF7:AG8"/>
    <mergeCell ref="AH7:AI8"/>
    <mergeCell ref="BJ7:BK8"/>
    <mergeCell ref="A8:A9"/>
    <mergeCell ref="C8:C9"/>
    <mergeCell ref="D8:D9"/>
    <mergeCell ref="E8:E9"/>
    <mergeCell ref="AR7:AS8"/>
    <mergeCell ref="R7:U8"/>
    <mergeCell ref="BB7:BC8"/>
    <mergeCell ref="BD7:BE8"/>
    <mergeCell ref="AD7:AE8"/>
    <mergeCell ref="AX7:AY8"/>
    <mergeCell ref="AZ7:BA8"/>
    <mergeCell ref="AN7:AO8"/>
    <mergeCell ref="H7:Q7"/>
    <mergeCell ref="A10:A86"/>
    <mergeCell ref="AJ7:AK8"/>
    <mergeCell ref="BF7:BG8"/>
    <mergeCell ref="F8:F9"/>
    <mergeCell ref="G8:G9"/>
    <mergeCell ref="AT7:AU8"/>
    <mergeCell ref="AV7:AW8"/>
    <mergeCell ref="AL7:AM8"/>
    <mergeCell ref="V7:Y8"/>
    <mergeCell ref="AB7:AC8"/>
    <mergeCell ref="AP7:AQ8"/>
    <mergeCell ref="Z7:AA8"/>
    <mergeCell ref="BL7:BL9"/>
    <mergeCell ref="BN8:BR8"/>
    <mergeCell ref="BS8:BU8"/>
    <mergeCell ref="BV8:BV9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D7"/>
    <mergeCell ref="E7:G7"/>
  </mergeCells>
  <pageMargins left="0.4" right="0.7" top="0.32" bottom="0.17" header="0.3" footer="0.17"/>
  <pageSetup paperSize="9" scale="11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tabColor rgb="FF00B0F0"/>
    <pageSetUpPr fitToPage="1"/>
  </sheetPr>
  <dimension ref="A1:BV58"/>
  <sheetViews>
    <sheetView zoomScale="70" zoomScaleNormal="70" workbookViewId="0">
      <pane xSplit="7" ySplit="9" topLeftCell="BJ37" activePane="bottomRight" state="frozen"/>
      <selection pane="topRight" activeCell="H1" sqref="H1"/>
      <selection pane="bottomLeft" activeCell="A10" sqref="A10"/>
      <selection pane="bottomRight" activeCell="BX19" sqref="BX19"/>
    </sheetView>
  </sheetViews>
  <sheetFormatPr defaultColWidth="9.140625" defaultRowHeight="15.75"/>
  <cols>
    <col min="1" max="1" width="16.140625" style="31" hidden="1" customWidth="1"/>
    <col min="2" max="2" width="12.140625" style="31" hidden="1" customWidth="1"/>
    <col min="3" max="3" width="35.5703125" style="31" customWidth="1"/>
    <col min="4" max="4" width="10.42578125" style="31" customWidth="1"/>
    <col min="5" max="5" width="17.28515625" style="166" customWidth="1"/>
    <col min="6" max="6" width="8" style="31" customWidth="1"/>
    <col min="7" max="7" width="17.28515625" style="54" customWidth="1"/>
    <col min="8" max="8" width="17" style="54" customWidth="1"/>
    <col min="9" max="9" width="17.42578125" style="54" customWidth="1"/>
    <col min="10" max="10" width="7.7109375" style="54" customWidth="1"/>
    <col min="11" max="11" width="6.28515625" style="54" customWidth="1"/>
    <col min="12" max="12" width="11.28515625" style="54" customWidth="1"/>
    <col min="13" max="13" width="5.85546875" style="54" customWidth="1"/>
    <col min="14" max="14" width="8.85546875" style="54" customWidth="1"/>
    <col min="15" max="15" width="7.140625" style="31" customWidth="1"/>
    <col min="16" max="16" width="9.28515625" style="31" customWidth="1"/>
    <col min="17" max="17" width="13.140625" style="31" customWidth="1"/>
    <col min="18" max="21" width="7.85546875" style="31" customWidth="1"/>
    <col min="22" max="22" width="14.5703125" style="31" customWidth="1"/>
    <col min="23" max="23" width="14.7109375" style="31" customWidth="1"/>
    <col min="24" max="24" width="14.28515625" style="31" customWidth="1"/>
    <col min="25" max="25" width="15" style="31" customWidth="1"/>
    <col min="26" max="26" width="9.140625" style="31" customWidth="1"/>
    <col min="27" max="27" width="17.28515625" style="31" customWidth="1"/>
    <col min="28" max="28" width="9.140625" style="31" customWidth="1"/>
    <col min="29" max="29" width="14.7109375" style="31" customWidth="1"/>
    <col min="30" max="30" width="9.140625" style="31" customWidth="1"/>
    <col min="31" max="31" width="16.42578125" style="31" customWidth="1"/>
    <col min="32" max="32" width="9.140625" style="31" customWidth="1"/>
    <col min="33" max="33" width="16.28515625" style="31" customWidth="1"/>
    <col min="34" max="34" width="9.140625" style="31" customWidth="1"/>
    <col min="35" max="35" width="16.28515625" style="31" customWidth="1"/>
    <col min="36" max="36" width="9.140625" style="31" customWidth="1"/>
    <col min="37" max="37" width="16.42578125" style="31" customWidth="1"/>
    <col min="38" max="38" width="9.140625" style="31" customWidth="1"/>
    <col min="39" max="39" width="16.28515625" style="31" customWidth="1"/>
    <col min="40" max="40" width="9.140625" style="31" customWidth="1"/>
    <col min="41" max="41" width="14.28515625" style="31" customWidth="1"/>
    <col min="42" max="42" width="5" style="31" customWidth="1"/>
    <col min="43" max="43" width="15.85546875" style="31" customWidth="1"/>
    <col min="44" max="44" width="5" style="31" customWidth="1"/>
    <col min="45" max="45" width="16.7109375" style="31" customWidth="1"/>
    <col min="46" max="46" width="5" style="31" customWidth="1"/>
    <col min="47" max="47" width="17.5703125" style="31" customWidth="1"/>
    <col min="48" max="48" width="5" style="31" customWidth="1"/>
    <col min="49" max="49" width="14.5703125" style="31" customWidth="1"/>
    <col min="50" max="50" width="5" style="31" customWidth="1"/>
    <col min="51" max="51" width="14" style="31" customWidth="1"/>
    <col min="52" max="52" width="5" style="31" customWidth="1"/>
    <col min="53" max="53" width="14.85546875" style="31" customWidth="1"/>
    <col min="54" max="54" width="5.85546875" style="31" customWidth="1"/>
    <col min="55" max="55" width="17.5703125" style="31" customWidth="1"/>
    <col min="56" max="56" width="5" style="90" customWidth="1"/>
    <col min="57" max="57" width="14.7109375" style="90" customWidth="1"/>
    <col min="58" max="58" width="5" style="90" customWidth="1"/>
    <col min="59" max="59" width="14.28515625" style="90" customWidth="1"/>
    <col min="60" max="60" width="5" style="90" customWidth="1"/>
    <col min="61" max="61" width="16" style="90" customWidth="1"/>
    <col min="62" max="62" width="7.5703125" style="90" customWidth="1"/>
    <col min="63" max="63" width="19.42578125" style="90" customWidth="1"/>
    <col min="64" max="64" width="18.5703125" style="90" customWidth="1"/>
    <col min="65" max="65" width="9.140625" style="31" customWidth="1"/>
    <col min="66" max="66" width="14.7109375" style="31" customWidth="1"/>
    <col min="67" max="67" width="10.7109375" style="31" customWidth="1"/>
    <col min="68" max="68" width="14" style="31" customWidth="1"/>
    <col min="69" max="69" width="9.140625" style="31"/>
    <col min="70" max="70" width="14.140625" style="31" customWidth="1"/>
    <col min="71" max="71" width="16.140625" style="31" customWidth="1"/>
    <col min="72" max="72" width="16.85546875" style="31" customWidth="1"/>
    <col min="73" max="73" width="19.140625" style="31" customWidth="1"/>
    <col min="74" max="74" width="19" style="31" customWidth="1"/>
    <col min="75" max="16384" width="9.140625" style="31"/>
  </cols>
  <sheetData>
    <row r="1" spans="1:74" ht="15" hidden="1" customHeight="1"/>
    <row r="2" spans="1:74" ht="21" hidden="1" customHeight="1">
      <c r="A2" s="747" t="s">
        <v>169</v>
      </c>
      <c r="B2" s="74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48"/>
      <c r="S2" s="48"/>
      <c r="T2" s="48"/>
      <c r="U2" s="48"/>
      <c r="V2" s="48"/>
      <c r="W2" s="48"/>
      <c r="X2" s="48"/>
      <c r="Y2" s="48"/>
    </row>
    <row r="3" spans="1:74" ht="17.25" hidden="1" customHeight="1">
      <c r="A3" s="747" t="s">
        <v>165</v>
      </c>
      <c r="B3" s="74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48"/>
      <c r="S3" s="48"/>
      <c r="T3" s="48"/>
      <c r="U3" s="48"/>
      <c r="V3" s="48"/>
      <c r="W3" s="48"/>
      <c r="X3" s="48"/>
      <c r="Y3" s="48"/>
      <c r="AA3" s="31">
        <f>816/17</f>
        <v>48</v>
      </c>
    </row>
    <row r="4" spans="1:74" ht="18.75" hidden="1" customHeight="1">
      <c r="A4" s="747" t="s">
        <v>166</v>
      </c>
      <c r="B4" s="74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48"/>
      <c r="S4" s="48"/>
      <c r="T4" s="48"/>
      <c r="U4" s="48"/>
      <c r="V4" s="48"/>
      <c r="W4" s="48"/>
      <c r="X4" s="48"/>
      <c r="Y4" s="48"/>
    </row>
    <row r="5" spans="1:74" ht="27.75" hidden="1" customHeight="1">
      <c r="A5" s="747" t="s">
        <v>172</v>
      </c>
      <c r="B5" s="74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48"/>
      <c r="S5" s="48"/>
      <c r="T5" s="48"/>
      <c r="U5" s="48"/>
      <c r="V5" s="48"/>
      <c r="W5" s="48"/>
      <c r="X5" s="48"/>
      <c r="Y5" s="48"/>
    </row>
    <row r="6" spans="1:74" ht="19.5" hidden="1" customHeight="1">
      <c r="A6" s="747" t="s">
        <v>174</v>
      </c>
      <c r="B6" s="74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48"/>
      <c r="S6" s="48"/>
      <c r="T6" s="48"/>
      <c r="U6" s="48"/>
      <c r="V6" s="48"/>
      <c r="W6" s="48"/>
      <c r="X6" s="48"/>
      <c r="Y6" s="48"/>
    </row>
    <row r="7" spans="1:74" ht="17.25" customHeight="1">
      <c r="A7" s="900"/>
      <c r="B7" s="900"/>
      <c r="C7" s="900"/>
      <c r="D7" s="900"/>
      <c r="E7" s="900"/>
      <c r="F7" s="900"/>
      <c r="G7" s="900"/>
      <c r="H7" s="901" t="s">
        <v>162</v>
      </c>
      <c r="I7" s="902"/>
      <c r="J7" s="902"/>
      <c r="K7" s="902"/>
      <c r="L7" s="902"/>
      <c r="M7" s="902"/>
      <c r="N7" s="902"/>
      <c r="O7" s="902"/>
      <c r="P7" s="902"/>
      <c r="Q7" s="903"/>
      <c r="R7" s="910" t="s">
        <v>62</v>
      </c>
      <c r="S7" s="911"/>
      <c r="T7" s="911"/>
      <c r="U7" s="912"/>
      <c r="V7" s="916" t="s">
        <v>6</v>
      </c>
      <c r="W7" s="917"/>
      <c r="X7" s="917"/>
      <c r="Y7" s="918"/>
      <c r="Z7" s="905" t="s">
        <v>192</v>
      </c>
      <c r="AA7" s="905"/>
      <c r="AB7" s="905" t="s">
        <v>193</v>
      </c>
      <c r="AC7" s="905"/>
      <c r="AD7" s="905" t="s">
        <v>194</v>
      </c>
      <c r="AE7" s="905"/>
      <c r="AF7" s="905" t="s">
        <v>195</v>
      </c>
      <c r="AG7" s="905"/>
      <c r="AH7" s="905" t="s">
        <v>196</v>
      </c>
      <c r="AI7" s="905"/>
      <c r="AJ7" s="905" t="s">
        <v>197</v>
      </c>
      <c r="AK7" s="905"/>
      <c r="AL7" s="905" t="s">
        <v>198</v>
      </c>
      <c r="AM7" s="905"/>
      <c r="AN7" s="905" t="s">
        <v>199</v>
      </c>
      <c r="AO7" s="905"/>
      <c r="AP7" s="905" t="s">
        <v>200</v>
      </c>
      <c r="AQ7" s="905"/>
      <c r="AR7" s="905" t="s">
        <v>201</v>
      </c>
      <c r="AS7" s="905"/>
      <c r="AT7" s="905" t="s">
        <v>202</v>
      </c>
      <c r="AU7" s="905"/>
      <c r="AV7" s="905" t="s">
        <v>203</v>
      </c>
      <c r="AW7" s="905"/>
      <c r="AX7" s="905" t="s">
        <v>204</v>
      </c>
      <c r="AY7" s="905"/>
      <c r="AZ7" s="905" t="s">
        <v>205</v>
      </c>
      <c r="BA7" s="905"/>
      <c r="BB7" s="905" t="s">
        <v>206</v>
      </c>
      <c r="BC7" s="905"/>
      <c r="BD7" s="905" t="s">
        <v>207</v>
      </c>
      <c r="BE7" s="905"/>
      <c r="BF7" s="905" t="s">
        <v>208</v>
      </c>
      <c r="BG7" s="905"/>
      <c r="BH7" s="905" t="s">
        <v>209</v>
      </c>
      <c r="BI7" s="905"/>
      <c r="BJ7" s="905" t="s">
        <v>17</v>
      </c>
      <c r="BK7" s="906"/>
      <c r="BL7" s="899" t="s">
        <v>244</v>
      </c>
    </row>
    <row r="8" spans="1:74">
      <c r="A8" s="622" t="s">
        <v>13</v>
      </c>
      <c r="B8" s="622" t="s">
        <v>1</v>
      </c>
      <c r="C8" s="900" t="s">
        <v>12</v>
      </c>
      <c r="D8" s="622" t="s">
        <v>14</v>
      </c>
      <c r="E8" s="907" t="s">
        <v>22</v>
      </c>
      <c r="F8" s="907" t="s">
        <v>147</v>
      </c>
      <c r="G8" s="908" t="s">
        <v>27</v>
      </c>
      <c r="H8" s="276" t="s">
        <v>212</v>
      </c>
      <c r="I8" s="276" t="s">
        <v>213</v>
      </c>
      <c r="J8" s="276" t="s">
        <v>214</v>
      </c>
      <c r="K8" s="276" t="s">
        <v>215</v>
      </c>
      <c r="L8" s="276" t="s">
        <v>216</v>
      </c>
      <c r="M8" s="276" t="s">
        <v>217</v>
      </c>
      <c r="N8" s="276" t="s">
        <v>218</v>
      </c>
      <c r="O8" s="276" t="s">
        <v>219</v>
      </c>
      <c r="P8" s="276" t="s">
        <v>220</v>
      </c>
      <c r="Q8" s="276" t="s">
        <v>221</v>
      </c>
      <c r="R8" s="913"/>
      <c r="S8" s="914"/>
      <c r="T8" s="914"/>
      <c r="U8" s="915"/>
      <c r="V8" s="919"/>
      <c r="W8" s="920"/>
      <c r="X8" s="920"/>
      <c r="Y8" s="921"/>
      <c r="Z8" s="905"/>
      <c r="AA8" s="905"/>
      <c r="AB8" s="905" t="s">
        <v>43</v>
      </c>
      <c r="AC8" s="905"/>
      <c r="AD8" s="905" t="s">
        <v>44</v>
      </c>
      <c r="AE8" s="905"/>
      <c r="AF8" s="905" t="s">
        <v>45</v>
      </c>
      <c r="AG8" s="905"/>
      <c r="AH8" s="905" t="s">
        <v>46</v>
      </c>
      <c r="AI8" s="905"/>
      <c r="AJ8" s="905" t="s">
        <v>47</v>
      </c>
      <c r="AK8" s="905"/>
      <c r="AL8" s="905" t="s">
        <v>48</v>
      </c>
      <c r="AM8" s="905"/>
      <c r="AN8" s="905" t="s">
        <v>49</v>
      </c>
      <c r="AO8" s="905"/>
      <c r="AP8" s="905" t="s">
        <v>50</v>
      </c>
      <c r="AQ8" s="905"/>
      <c r="AR8" s="905" t="s">
        <v>51</v>
      </c>
      <c r="AS8" s="905"/>
      <c r="AT8" s="905" t="s">
        <v>52</v>
      </c>
      <c r="AU8" s="905"/>
      <c r="AV8" s="905" t="s">
        <v>53</v>
      </c>
      <c r="AW8" s="905"/>
      <c r="AX8" s="905" t="s">
        <v>54</v>
      </c>
      <c r="AY8" s="905"/>
      <c r="AZ8" s="905" t="s">
        <v>55</v>
      </c>
      <c r="BA8" s="905"/>
      <c r="BB8" s="905" t="s">
        <v>40</v>
      </c>
      <c r="BC8" s="905"/>
      <c r="BD8" s="905" t="s">
        <v>37</v>
      </c>
      <c r="BE8" s="905"/>
      <c r="BF8" s="905"/>
      <c r="BG8" s="905"/>
      <c r="BH8" s="905"/>
      <c r="BI8" s="905"/>
      <c r="BJ8" s="905"/>
      <c r="BK8" s="906"/>
      <c r="BL8" s="899"/>
      <c r="BN8" s="755" t="s">
        <v>242</v>
      </c>
      <c r="BO8" s="755"/>
      <c r="BP8" s="755"/>
      <c r="BQ8" s="755"/>
      <c r="BR8" s="755"/>
      <c r="BS8" s="755" t="s">
        <v>243</v>
      </c>
      <c r="BT8" s="755"/>
      <c r="BU8" s="759"/>
      <c r="BV8" s="756" t="s">
        <v>17</v>
      </c>
    </row>
    <row r="9" spans="1:74" ht="27" customHeight="1">
      <c r="A9" s="622"/>
      <c r="B9" s="622" t="s">
        <v>2</v>
      </c>
      <c r="C9" s="900"/>
      <c r="D9" s="622"/>
      <c r="E9" s="907"/>
      <c r="F9" s="907"/>
      <c r="G9" s="909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622" t="s">
        <v>7</v>
      </c>
      <c r="S9" s="622" t="s">
        <v>8</v>
      </c>
      <c r="T9" s="622" t="s">
        <v>9</v>
      </c>
      <c r="U9" s="622" t="s">
        <v>10</v>
      </c>
      <c r="V9" s="622" t="s">
        <v>7</v>
      </c>
      <c r="W9" s="622" t="s">
        <v>8</v>
      </c>
      <c r="X9" s="622" t="s">
        <v>9</v>
      </c>
      <c r="Y9" s="622" t="s">
        <v>10</v>
      </c>
      <c r="Z9" s="314" t="s">
        <v>14</v>
      </c>
      <c r="AA9" s="315" t="s">
        <v>15</v>
      </c>
      <c r="AB9" s="316" t="s">
        <v>14</v>
      </c>
      <c r="AC9" s="316" t="s">
        <v>15</v>
      </c>
      <c r="AD9" s="316" t="s">
        <v>14</v>
      </c>
      <c r="AE9" s="316" t="s">
        <v>15</v>
      </c>
      <c r="AF9" s="316" t="s">
        <v>14</v>
      </c>
      <c r="AG9" s="316" t="s">
        <v>15</v>
      </c>
      <c r="AH9" s="316" t="s">
        <v>14</v>
      </c>
      <c r="AI9" s="316" t="s">
        <v>15</v>
      </c>
      <c r="AJ9" s="316" t="s">
        <v>14</v>
      </c>
      <c r="AK9" s="316" t="s">
        <v>15</v>
      </c>
      <c r="AL9" s="316" t="s">
        <v>14</v>
      </c>
      <c r="AM9" s="316" t="s">
        <v>15</v>
      </c>
      <c r="AN9" s="316" t="s">
        <v>14</v>
      </c>
      <c r="AO9" s="316" t="s">
        <v>15</v>
      </c>
      <c r="AP9" s="316" t="s">
        <v>14</v>
      </c>
      <c r="AQ9" s="316" t="s">
        <v>15</v>
      </c>
      <c r="AR9" s="316" t="s">
        <v>14</v>
      </c>
      <c r="AS9" s="316" t="s">
        <v>15</v>
      </c>
      <c r="AT9" s="316" t="s">
        <v>14</v>
      </c>
      <c r="AU9" s="316" t="s">
        <v>15</v>
      </c>
      <c r="AV9" s="316" t="s">
        <v>14</v>
      </c>
      <c r="AW9" s="316" t="s">
        <v>15</v>
      </c>
      <c r="AX9" s="316" t="s">
        <v>14</v>
      </c>
      <c r="AY9" s="316" t="s">
        <v>15</v>
      </c>
      <c r="AZ9" s="316" t="s">
        <v>14</v>
      </c>
      <c r="BA9" s="316" t="s">
        <v>15</v>
      </c>
      <c r="BB9" s="316" t="s">
        <v>14</v>
      </c>
      <c r="BC9" s="316" t="s">
        <v>15</v>
      </c>
      <c r="BD9" s="316" t="s">
        <v>14</v>
      </c>
      <c r="BE9" s="316" t="s">
        <v>15</v>
      </c>
      <c r="BF9" s="316" t="s">
        <v>14</v>
      </c>
      <c r="BG9" s="316" t="s">
        <v>15</v>
      </c>
      <c r="BH9" s="316" t="s">
        <v>14</v>
      </c>
      <c r="BI9" s="316" t="s">
        <v>15</v>
      </c>
      <c r="BJ9" s="316" t="s">
        <v>14</v>
      </c>
      <c r="BK9" s="333" t="s">
        <v>15</v>
      </c>
      <c r="BL9" s="899"/>
      <c r="BN9" s="72" t="s">
        <v>233</v>
      </c>
      <c r="BO9" s="171" t="s">
        <v>234</v>
      </c>
      <c r="BP9" s="171" t="s">
        <v>235</v>
      </c>
      <c r="BQ9" s="612" t="s">
        <v>236</v>
      </c>
      <c r="BR9" s="173" t="s">
        <v>237</v>
      </c>
      <c r="BS9" s="171" t="s">
        <v>238</v>
      </c>
      <c r="BT9" s="171" t="s">
        <v>239</v>
      </c>
      <c r="BU9" s="174" t="s">
        <v>240</v>
      </c>
      <c r="BV9" s="756"/>
    </row>
    <row r="10" spans="1:74">
      <c r="A10" s="904"/>
      <c r="B10" s="93"/>
      <c r="C10" s="622" t="s">
        <v>369</v>
      </c>
      <c r="D10" s="317"/>
      <c r="E10" s="318"/>
      <c r="F10" s="319"/>
      <c r="G10" s="320"/>
      <c r="H10" s="320"/>
      <c r="I10" s="320"/>
      <c r="J10" s="320"/>
      <c r="K10" s="320"/>
      <c r="L10" s="320"/>
      <c r="M10" s="320"/>
      <c r="N10" s="320"/>
      <c r="O10" s="321"/>
      <c r="P10" s="321"/>
      <c r="Q10" s="321"/>
      <c r="R10" s="322"/>
      <c r="S10" s="296"/>
      <c r="T10" s="322"/>
      <c r="U10" s="322"/>
      <c r="V10" s="322"/>
      <c r="W10" s="79"/>
      <c r="X10" s="622"/>
      <c r="Y10" s="622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84"/>
      <c r="BL10" s="79"/>
      <c r="BN10" s="70"/>
      <c r="BO10" s="70"/>
      <c r="BP10" s="70"/>
      <c r="BQ10" s="70"/>
      <c r="BR10" s="70"/>
      <c r="BS10" s="70"/>
      <c r="BT10" s="70"/>
      <c r="BU10" s="75"/>
      <c r="BV10" s="101">
        <f>BR10+BU10</f>
        <v>0</v>
      </c>
    </row>
    <row r="11" spans="1:74">
      <c r="A11" s="904"/>
      <c r="B11" s="93"/>
      <c r="C11" s="622" t="s">
        <v>452</v>
      </c>
      <c r="D11" s="317"/>
      <c r="E11" s="318"/>
      <c r="F11" s="319"/>
      <c r="G11" s="320"/>
      <c r="H11" s="320"/>
      <c r="I11" s="320"/>
      <c r="J11" s="320"/>
      <c r="K11" s="320"/>
      <c r="L11" s="320"/>
      <c r="M11" s="320"/>
      <c r="N11" s="320"/>
      <c r="O11" s="321"/>
      <c r="P11" s="321"/>
      <c r="Q11" s="321"/>
      <c r="R11" s="322"/>
      <c r="S11" s="296"/>
      <c r="T11" s="322"/>
      <c r="U11" s="322"/>
      <c r="V11" s="322"/>
      <c r="W11" s="79"/>
      <c r="X11" s="622"/>
      <c r="Y11" s="622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84"/>
      <c r="BL11" s="79"/>
      <c r="BN11" s="70"/>
      <c r="BO11" s="70"/>
      <c r="BP11" s="70"/>
      <c r="BQ11" s="70"/>
      <c r="BR11" s="70"/>
      <c r="BS11" s="70"/>
      <c r="BT11" s="70"/>
      <c r="BU11" s="75"/>
      <c r="BV11" s="101"/>
    </row>
    <row r="12" spans="1:74">
      <c r="A12" s="904"/>
      <c r="B12" s="93"/>
      <c r="C12" s="323" t="s">
        <v>144</v>
      </c>
      <c r="D12" s="324" t="s">
        <v>109</v>
      </c>
      <c r="E12" s="325" t="s">
        <v>472</v>
      </c>
      <c r="F12" s="326">
        <f>BJ12</f>
        <v>1</v>
      </c>
      <c r="G12" s="78">
        <f>BK12</f>
        <v>3000000</v>
      </c>
      <c r="H12" s="327">
        <f>G12*0.2</f>
        <v>600000</v>
      </c>
      <c r="I12" s="327">
        <f>G12*0.8</f>
        <v>2400000</v>
      </c>
      <c r="J12" s="78"/>
      <c r="K12" s="78"/>
      <c r="L12" s="78"/>
      <c r="M12" s="78"/>
      <c r="N12" s="78"/>
      <c r="O12" s="79"/>
      <c r="P12" s="79"/>
      <c r="Q12" s="79"/>
      <c r="R12" s="79">
        <v>1</v>
      </c>
      <c r="S12" s="79"/>
      <c r="T12" s="79"/>
      <c r="U12" s="79"/>
      <c r="V12" s="79"/>
      <c r="W12" s="79"/>
      <c r="X12" s="79"/>
      <c r="Y12" s="79"/>
      <c r="Z12" s="79">
        <v>1</v>
      </c>
      <c r="AA12" s="79">
        <f>Z12*E12-1000000</f>
        <v>3000000</v>
      </c>
      <c r="AB12" s="79">
        <v>0</v>
      </c>
      <c r="AC12" s="79">
        <f>AB12*E12</f>
        <v>0</v>
      </c>
      <c r="AD12" s="79"/>
      <c r="AE12" s="79">
        <f>AD12*E12</f>
        <v>0</v>
      </c>
      <c r="AF12" s="79">
        <v>0</v>
      </c>
      <c r="AG12" s="79">
        <f>AF12*E12</f>
        <v>0</v>
      </c>
      <c r="AH12" s="79"/>
      <c r="AI12" s="79">
        <f>AH12*E12</f>
        <v>0</v>
      </c>
      <c r="AJ12" s="79">
        <v>0</v>
      </c>
      <c r="AK12" s="79"/>
      <c r="AL12" s="79"/>
      <c r="AM12" s="79">
        <f>AL12*E12</f>
        <v>0</v>
      </c>
      <c r="AN12" s="79"/>
      <c r="AO12" s="79"/>
      <c r="AP12" s="79"/>
      <c r="AQ12" s="79">
        <f>AP12*E12</f>
        <v>0</v>
      </c>
      <c r="AR12" s="79"/>
      <c r="AS12" s="79">
        <f>AR12*E12</f>
        <v>0</v>
      </c>
      <c r="AT12" s="79"/>
      <c r="AU12" s="79"/>
      <c r="AV12" s="79"/>
      <c r="AW12" s="79"/>
      <c r="AX12" s="79"/>
      <c r="AY12" s="79"/>
      <c r="AZ12" s="79"/>
      <c r="BA12" s="79">
        <f>AZ12*E12</f>
        <v>0</v>
      </c>
      <c r="BB12" s="79"/>
      <c r="BC12" s="79">
        <f>BB12*E12</f>
        <v>0</v>
      </c>
      <c r="BD12" s="79"/>
      <c r="BE12" s="79">
        <f>BD12*E12</f>
        <v>0</v>
      </c>
      <c r="BF12" s="79"/>
      <c r="BG12" s="79">
        <f>BF12*E12</f>
        <v>0</v>
      </c>
      <c r="BH12" s="79"/>
      <c r="BI12" s="79">
        <f>BH12*E12</f>
        <v>0</v>
      </c>
      <c r="BJ12" s="79">
        <f t="shared" ref="BJ12:BK14" si="0">BH12+BF12+BD12+BB12+AZ12+AX12+AV12+AT12+AR12+AP12+AN12+AL12+AJ12+AH12+AF12+AD12+AB12+Z12</f>
        <v>1</v>
      </c>
      <c r="BK12" s="79">
        <f t="shared" si="0"/>
        <v>3000000</v>
      </c>
      <c r="BL12" s="155" t="s">
        <v>224</v>
      </c>
      <c r="BN12" s="70">
        <f>G12</f>
        <v>3000000</v>
      </c>
      <c r="BO12" s="70"/>
      <c r="BP12" s="70"/>
      <c r="BQ12" s="70"/>
      <c r="BR12" s="70">
        <f t="shared" ref="BR12:BR28" si="1">BN12+BO12+BP12+BQ12</f>
        <v>3000000</v>
      </c>
      <c r="BS12" s="70"/>
      <c r="BT12" s="70"/>
      <c r="BU12" s="75"/>
      <c r="BV12" s="101">
        <f t="shared" ref="BV12:BV53" si="2">BR12+BU12</f>
        <v>3000000</v>
      </c>
    </row>
    <row r="13" spans="1:74" s="268" customFormat="1">
      <c r="A13" s="904"/>
      <c r="B13" s="80"/>
      <c r="C13" s="323" t="s">
        <v>145</v>
      </c>
      <c r="D13" s="324" t="s">
        <v>109</v>
      </c>
      <c r="E13" s="325" t="s">
        <v>473</v>
      </c>
      <c r="F13" s="326">
        <f>BJ13</f>
        <v>0</v>
      </c>
      <c r="G13" s="78">
        <f>F13*E13</f>
        <v>0</v>
      </c>
      <c r="H13" s="327">
        <f>G13*0.2</f>
        <v>0</v>
      </c>
      <c r="I13" s="327">
        <f>G13*0.8</f>
        <v>0</v>
      </c>
      <c r="J13" s="327"/>
      <c r="K13" s="327"/>
      <c r="L13" s="327"/>
      <c r="M13" s="327"/>
      <c r="N13" s="327"/>
      <c r="O13" s="327"/>
      <c r="P13" s="327"/>
      <c r="Q13" s="327"/>
      <c r="R13" s="328"/>
      <c r="S13" s="328"/>
      <c r="T13" s="328"/>
      <c r="U13" s="328"/>
      <c r="V13" s="329">
        <f t="shared" ref="V13:V19" si="3">R13*E13</f>
        <v>0</v>
      </c>
      <c r="W13" s="329">
        <f t="shared" ref="W13:W18" si="4">S13*E13</f>
        <v>0</v>
      </c>
      <c r="X13" s="329">
        <f t="shared" ref="X13:X18" si="5">T13*E13</f>
        <v>0</v>
      </c>
      <c r="Y13" s="329">
        <f t="shared" ref="Y13:Y18" si="6">U13*E13</f>
        <v>0</v>
      </c>
      <c r="Z13" s="328"/>
      <c r="AA13" s="79">
        <f t="shared" ref="AA13:AA28" si="7">Z13*E13</f>
        <v>0</v>
      </c>
      <c r="AB13" s="328"/>
      <c r="AC13" s="79">
        <f>AB13*E13</f>
        <v>0</v>
      </c>
      <c r="AD13" s="328"/>
      <c r="AE13" s="79">
        <f>AD13*E13</f>
        <v>0</v>
      </c>
      <c r="AF13" s="328"/>
      <c r="AG13" s="79">
        <f>AF13*E13</f>
        <v>0</v>
      </c>
      <c r="AH13" s="328"/>
      <c r="AI13" s="79">
        <f>AH13*E13</f>
        <v>0</v>
      </c>
      <c r="AJ13" s="328">
        <v>0</v>
      </c>
      <c r="AK13" s="330"/>
      <c r="AL13" s="328"/>
      <c r="AM13" s="79">
        <f>AL13*E13</f>
        <v>0</v>
      </c>
      <c r="AN13" s="328"/>
      <c r="AO13" s="330"/>
      <c r="AP13" s="328"/>
      <c r="AQ13" s="79">
        <f>AP13*E13</f>
        <v>0</v>
      </c>
      <c r="AR13" s="328"/>
      <c r="AS13" s="79">
        <f>AR13*E13</f>
        <v>0</v>
      </c>
      <c r="AT13" s="328"/>
      <c r="AU13" s="330"/>
      <c r="AV13" s="328"/>
      <c r="AW13" s="330"/>
      <c r="AX13" s="328"/>
      <c r="AY13" s="330"/>
      <c r="AZ13" s="328"/>
      <c r="BA13" s="79">
        <f>AZ13*E13</f>
        <v>0</v>
      </c>
      <c r="BB13" s="328"/>
      <c r="BC13" s="79">
        <f>BB13*E13</f>
        <v>0</v>
      </c>
      <c r="BD13" s="328"/>
      <c r="BE13" s="79">
        <f>BD13*E13</f>
        <v>0</v>
      </c>
      <c r="BF13" s="328"/>
      <c r="BG13" s="79">
        <f>BF13*E13</f>
        <v>0</v>
      </c>
      <c r="BH13" s="328"/>
      <c r="BI13" s="79">
        <f>BH13*E13</f>
        <v>0</v>
      </c>
      <c r="BJ13" s="79">
        <f t="shared" si="0"/>
        <v>0</v>
      </c>
      <c r="BK13" s="79">
        <f t="shared" si="0"/>
        <v>0</v>
      </c>
      <c r="BL13" s="155" t="s">
        <v>224</v>
      </c>
      <c r="BN13" s="70">
        <f>G13</f>
        <v>0</v>
      </c>
      <c r="BO13" s="269"/>
      <c r="BP13" s="269"/>
      <c r="BQ13" s="269"/>
      <c r="BR13" s="70">
        <f t="shared" si="1"/>
        <v>0</v>
      </c>
      <c r="BS13" s="269"/>
      <c r="BT13" s="269">
        <f t="shared" ref="BT13:BT18" si="8">G13</f>
        <v>0</v>
      </c>
      <c r="BU13" s="271">
        <f t="shared" ref="BU13:BU28" si="9">BS13+BT13</f>
        <v>0</v>
      </c>
      <c r="BV13" s="270">
        <f t="shared" si="2"/>
        <v>0</v>
      </c>
    </row>
    <row r="14" spans="1:74">
      <c r="A14" s="904"/>
      <c r="B14" s="93"/>
      <c r="C14" s="323" t="s">
        <v>146</v>
      </c>
      <c r="D14" s="324" t="s">
        <v>109</v>
      </c>
      <c r="E14" s="325" t="s">
        <v>474</v>
      </c>
      <c r="F14" s="326">
        <f>BJ14</f>
        <v>0</v>
      </c>
      <c r="G14" s="78">
        <f>F14*E14</f>
        <v>0</v>
      </c>
      <c r="H14" s="327">
        <f>G14*0.2</f>
        <v>0</v>
      </c>
      <c r="I14" s="327">
        <f>G14*0.8</f>
        <v>0</v>
      </c>
      <c r="J14" s="78"/>
      <c r="K14" s="78"/>
      <c r="L14" s="78"/>
      <c r="M14" s="78"/>
      <c r="N14" s="78"/>
      <c r="O14" s="78"/>
      <c r="P14" s="78"/>
      <c r="Q14" s="78"/>
      <c r="R14" s="79">
        <f>F14*0.25</f>
        <v>0</v>
      </c>
      <c r="S14" s="79">
        <f>F14*0.25</f>
        <v>0</v>
      </c>
      <c r="T14" s="79">
        <f>F14*0.25</f>
        <v>0</v>
      </c>
      <c r="U14" s="79">
        <f>F14*0.25</f>
        <v>0</v>
      </c>
      <c r="V14" s="331">
        <f t="shared" si="3"/>
        <v>0</v>
      </c>
      <c r="W14" s="331">
        <f t="shared" si="4"/>
        <v>0</v>
      </c>
      <c r="X14" s="331">
        <f t="shared" si="5"/>
        <v>0</v>
      </c>
      <c r="Y14" s="331">
        <f t="shared" si="6"/>
        <v>0</v>
      </c>
      <c r="Z14" s="79">
        <v>0</v>
      </c>
      <c r="AA14" s="79">
        <f t="shared" si="7"/>
        <v>0</v>
      </c>
      <c r="AB14" s="79"/>
      <c r="AC14" s="79">
        <f>AB14*E14</f>
        <v>0</v>
      </c>
      <c r="AD14" s="79">
        <v>0</v>
      </c>
      <c r="AE14" s="79">
        <f>AD14*E14</f>
        <v>0</v>
      </c>
      <c r="AF14" s="79"/>
      <c r="AG14" s="79">
        <f>AF14*E14</f>
        <v>0</v>
      </c>
      <c r="AH14" s="79">
        <v>0</v>
      </c>
      <c r="AI14" s="79">
        <f>AH14*E14</f>
        <v>0</v>
      </c>
      <c r="AJ14" s="79">
        <v>0</v>
      </c>
      <c r="AK14" s="102">
        <f>AJ14*E14</f>
        <v>0</v>
      </c>
      <c r="AL14" s="79">
        <v>0</v>
      </c>
      <c r="AM14" s="79">
        <f>AL14*E14</f>
        <v>0</v>
      </c>
      <c r="AN14" s="79"/>
      <c r="AO14" s="102"/>
      <c r="AP14" s="79">
        <v>0</v>
      </c>
      <c r="AQ14" s="79">
        <f>AP14*E14</f>
        <v>0</v>
      </c>
      <c r="AR14" s="79">
        <v>0</v>
      </c>
      <c r="AS14" s="79">
        <f>AR14*E14</f>
        <v>0</v>
      </c>
      <c r="AT14" s="79"/>
      <c r="AU14" s="102"/>
      <c r="AV14" s="79"/>
      <c r="AW14" s="102"/>
      <c r="AX14" s="79"/>
      <c r="AY14" s="102"/>
      <c r="AZ14" s="79">
        <v>0</v>
      </c>
      <c r="BA14" s="79">
        <f>AZ14*E14</f>
        <v>0</v>
      </c>
      <c r="BB14" s="79"/>
      <c r="BC14" s="79">
        <f>BB14*E14</f>
        <v>0</v>
      </c>
      <c r="BD14" s="79"/>
      <c r="BE14" s="79">
        <f>BD14*E14</f>
        <v>0</v>
      </c>
      <c r="BF14" s="79"/>
      <c r="BG14" s="79">
        <f>BF14*E14</f>
        <v>0</v>
      </c>
      <c r="BH14" s="79"/>
      <c r="BI14" s="79">
        <f>BH14*E14</f>
        <v>0</v>
      </c>
      <c r="BJ14" s="79">
        <f t="shared" si="0"/>
        <v>0</v>
      </c>
      <c r="BK14" s="79">
        <f t="shared" si="0"/>
        <v>0</v>
      </c>
      <c r="BL14" s="155" t="s">
        <v>224</v>
      </c>
      <c r="BN14" s="70">
        <f>G14</f>
        <v>0</v>
      </c>
      <c r="BO14" s="70"/>
      <c r="BP14" s="70"/>
      <c r="BQ14" s="70"/>
      <c r="BR14" s="70">
        <f t="shared" si="1"/>
        <v>0</v>
      </c>
      <c r="BS14" s="70"/>
      <c r="BT14" s="70">
        <f t="shared" si="8"/>
        <v>0</v>
      </c>
      <c r="BU14" s="75">
        <f t="shared" si="9"/>
        <v>0</v>
      </c>
      <c r="BV14" s="101">
        <f t="shared" si="2"/>
        <v>0</v>
      </c>
    </row>
    <row r="15" spans="1:74" s="482" customFormat="1">
      <c r="A15" s="904"/>
      <c r="B15" s="478"/>
      <c r="C15" s="334" t="s">
        <v>453</v>
      </c>
      <c r="D15" s="479" t="s">
        <v>109</v>
      </c>
      <c r="E15" s="480"/>
      <c r="F15" s="481">
        <f>SUM(F12:F14)</f>
        <v>1</v>
      </c>
      <c r="G15" s="481">
        <f t="shared" ref="G15:BR15" si="10">SUM(G12:G14)</f>
        <v>3000000</v>
      </c>
      <c r="H15" s="481">
        <f t="shared" si="10"/>
        <v>600000</v>
      </c>
      <c r="I15" s="481">
        <f t="shared" si="10"/>
        <v>2400000</v>
      </c>
      <c r="J15" s="481">
        <f t="shared" si="10"/>
        <v>0</v>
      </c>
      <c r="K15" s="481">
        <f t="shared" si="10"/>
        <v>0</v>
      </c>
      <c r="L15" s="481">
        <f t="shared" si="10"/>
        <v>0</v>
      </c>
      <c r="M15" s="481">
        <f t="shared" si="10"/>
        <v>0</v>
      </c>
      <c r="N15" s="481">
        <f t="shared" si="10"/>
        <v>0</v>
      </c>
      <c r="O15" s="481">
        <f t="shared" si="10"/>
        <v>0</v>
      </c>
      <c r="P15" s="481">
        <f t="shared" si="10"/>
        <v>0</v>
      </c>
      <c r="Q15" s="481">
        <f t="shared" si="10"/>
        <v>0</v>
      </c>
      <c r="R15" s="481">
        <f t="shared" si="10"/>
        <v>1</v>
      </c>
      <c r="S15" s="481">
        <f t="shared" si="10"/>
        <v>0</v>
      </c>
      <c r="T15" s="481">
        <f t="shared" si="10"/>
        <v>0</v>
      </c>
      <c r="U15" s="481">
        <f t="shared" si="10"/>
        <v>0</v>
      </c>
      <c r="V15" s="481">
        <f t="shared" si="10"/>
        <v>0</v>
      </c>
      <c r="W15" s="481">
        <f t="shared" si="10"/>
        <v>0</v>
      </c>
      <c r="X15" s="481">
        <f t="shared" si="10"/>
        <v>0</v>
      </c>
      <c r="Y15" s="481">
        <f t="shared" si="10"/>
        <v>0</v>
      </c>
      <c r="Z15" s="481">
        <f t="shared" si="10"/>
        <v>1</v>
      </c>
      <c r="AA15" s="481">
        <f t="shared" si="10"/>
        <v>3000000</v>
      </c>
      <c r="AB15" s="481">
        <f t="shared" si="10"/>
        <v>0</v>
      </c>
      <c r="AC15" s="481">
        <f t="shared" si="10"/>
        <v>0</v>
      </c>
      <c r="AD15" s="481">
        <f t="shared" si="10"/>
        <v>0</v>
      </c>
      <c r="AE15" s="481">
        <f t="shared" si="10"/>
        <v>0</v>
      </c>
      <c r="AF15" s="481">
        <f t="shared" si="10"/>
        <v>0</v>
      </c>
      <c r="AG15" s="481">
        <f t="shared" si="10"/>
        <v>0</v>
      </c>
      <c r="AH15" s="481">
        <f t="shared" si="10"/>
        <v>0</v>
      </c>
      <c r="AI15" s="481">
        <f t="shared" si="10"/>
        <v>0</v>
      </c>
      <c r="AJ15" s="481">
        <f t="shared" si="10"/>
        <v>0</v>
      </c>
      <c r="AK15" s="481">
        <f t="shared" si="10"/>
        <v>0</v>
      </c>
      <c r="AL15" s="481">
        <f t="shared" si="10"/>
        <v>0</v>
      </c>
      <c r="AM15" s="481">
        <f t="shared" si="10"/>
        <v>0</v>
      </c>
      <c r="AN15" s="481">
        <f t="shared" si="10"/>
        <v>0</v>
      </c>
      <c r="AO15" s="481">
        <f t="shared" si="10"/>
        <v>0</v>
      </c>
      <c r="AP15" s="481">
        <f t="shared" si="10"/>
        <v>0</v>
      </c>
      <c r="AQ15" s="481">
        <f t="shared" si="10"/>
        <v>0</v>
      </c>
      <c r="AR15" s="481">
        <f t="shared" si="10"/>
        <v>0</v>
      </c>
      <c r="AS15" s="481">
        <f t="shared" si="10"/>
        <v>0</v>
      </c>
      <c r="AT15" s="481">
        <f t="shared" si="10"/>
        <v>0</v>
      </c>
      <c r="AU15" s="481">
        <f t="shared" si="10"/>
        <v>0</v>
      </c>
      <c r="AV15" s="481">
        <f t="shared" si="10"/>
        <v>0</v>
      </c>
      <c r="AW15" s="481">
        <f t="shared" si="10"/>
        <v>0</v>
      </c>
      <c r="AX15" s="481">
        <f t="shared" si="10"/>
        <v>0</v>
      </c>
      <c r="AY15" s="481">
        <f t="shared" si="10"/>
        <v>0</v>
      </c>
      <c r="AZ15" s="481">
        <f t="shared" si="10"/>
        <v>0</v>
      </c>
      <c r="BA15" s="481">
        <f t="shared" si="10"/>
        <v>0</v>
      </c>
      <c r="BB15" s="481">
        <f t="shared" si="10"/>
        <v>0</v>
      </c>
      <c r="BC15" s="481">
        <f t="shared" si="10"/>
        <v>0</v>
      </c>
      <c r="BD15" s="481">
        <f t="shared" si="10"/>
        <v>0</v>
      </c>
      <c r="BE15" s="481">
        <f t="shared" si="10"/>
        <v>0</v>
      </c>
      <c r="BF15" s="481">
        <f t="shared" si="10"/>
        <v>0</v>
      </c>
      <c r="BG15" s="481">
        <f t="shared" si="10"/>
        <v>0</v>
      </c>
      <c r="BH15" s="481">
        <f t="shared" si="10"/>
        <v>0</v>
      </c>
      <c r="BI15" s="481">
        <f t="shared" si="10"/>
        <v>0</v>
      </c>
      <c r="BJ15" s="481">
        <f t="shared" si="10"/>
        <v>1</v>
      </c>
      <c r="BK15" s="481">
        <f t="shared" si="10"/>
        <v>3000000</v>
      </c>
      <c r="BL15" s="481">
        <f t="shared" si="10"/>
        <v>0</v>
      </c>
      <c r="BM15" s="481">
        <f t="shared" si="10"/>
        <v>0</v>
      </c>
      <c r="BN15" s="481">
        <f t="shared" si="10"/>
        <v>3000000</v>
      </c>
      <c r="BO15" s="481">
        <f t="shared" si="10"/>
        <v>0</v>
      </c>
      <c r="BP15" s="481">
        <f t="shared" si="10"/>
        <v>0</v>
      </c>
      <c r="BQ15" s="481">
        <f t="shared" si="10"/>
        <v>0</v>
      </c>
      <c r="BR15" s="481">
        <f t="shared" si="10"/>
        <v>3000000</v>
      </c>
      <c r="BS15" s="481">
        <f>SUM(BS12:BS14)</f>
        <v>0</v>
      </c>
      <c r="BT15" s="481">
        <f>SUM(BT12:BT14)</f>
        <v>0</v>
      </c>
      <c r="BU15" s="481">
        <f>SUM(BU12:BU14)</f>
        <v>0</v>
      </c>
      <c r="BV15" s="481">
        <f>SUM(BV12:BV14)</f>
        <v>3000000</v>
      </c>
    </row>
    <row r="16" spans="1:74">
      <c r="A16" s="904"/>
      <c r="B16" s="93"/>
      <c r="C16" s="332" t="s">
        <v>469</v>
      </c>
      <c r="D16" s="324" t="s">
        <v>109</v>
      </c>
      <c r="E16" s="100"/>
      <c r="F16" s="32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>
        <f>F16*0.25</f>
        <v>0</v>
      </c>
      <c r="S16" s="79">
        <f>F16*0.25</f>
        <v>0</v>
      </c>
      <c r="T16" s="79">
        <f>F16*0.25</f>
        <v>0</v>
      </c>
      <c r="U16" s="79">
        <f>F16*0.25</f>
        <v>0</v>
      </c>
      <c r="V16" s="331">
        <f t="shared" si="3"/>
        <v>0</v>
      </c>
      <c r="W16" s="331">
        <f t="shared" si="4"/>
        <v>0</v>
      </c>
      <c r="X16" s="331">
        <f t="shared" si="5"/>
        <v>0</v>
      </c>
      <c r="Y16" s="331">
        <f t="shared" si="6"/>
        <v>0</v>
      </c>
      <c r="Z16" s="79"/>
      <c r="AA16" s="79">
        <f t="shared" si="7"/>
        <v>0</v>
      </c>
      <c r="AB16" s="79"/>
      <c r="AC16" s="102">
        <f>AB16*E16</f>
        <v>0</v>
      </c>
      <c r="AD16" s="79"/>
      <c r="AE16" s="102">
        <f>AD16*E16</f>
        <v>0</v>
      </c>
      <c r="AF16" s="79"/>
      <c r="AG16" s="102">
        <f>AF16*E16</f>
        <v>0</v>
      </c>
      <c r="AH16" s="79"/>
      <c r="AI16" s="102">
        <f>AH16*E16</f>
        <v>0</v>
      </c>
      <c r="AJ16" s="79"/>
      <c r="AK16" s="102"/>
      <c r="AL16" s="79"/>
      <c r="AM16" s="102">
        <f>AL16*E16</f>
        <v>0</v>
      </c>
      <c r="AN16" s="79"/>
      <c r="AO16" s="102"/>
      <c r="AP16" s="79"/>
      <c r="AQ16" s="102">
        <f>AP16*E16</f>
        <v>0</v>
      </c>
      <c r="AR16" s="79"/>
      <c r="AS16" s="102">
        <f>AR16*E16</f>
        <v>0</v>
      </c>
      <c r="AT16" s="79"/>
      <c r="AU16" s="102"/>
      <c r="AV16" s="79"/>
      <c r="AW16" s="102"/>
      <c r="AX16" s="79"/>
      <c r="AY16" s="102"/>
      <c r="AZ16" s="79"/>
      <c r="BA16" s="102">
        <f>AZ16*E16</f>
        <v>0</v>
      </c>
      <c r="BB16" s="79"/>
      <c r="BC16" s="102">
        <f>BB16*E16</f>
        <v>0</v>
      </c>
      <c r="BD16" s="79"/>
      <c r="BE16" s="102">
        <f>BD16*E16</f>
        <v>0</v>
      </c>
      <c r="BF16" s="79"/>
      <c r="BG16" s="102">
        <f>BF16*E16</f>
        <v>0</v>
      </c>
      <c r="BH16" s="79"/>
      <c r="BI16" s="102">
        <f>BH16*E16</f>
        <v>0</v>
      </c>
      <c r="BJ16" s="79">
        <f>Z16+AB16+AD16+AH16+AL16+AP16+AR16+AZ16+BB16+BD16+BF16+BH16</f>
        <v>0</v>
      </c>
      <c r="BK16" s="84">
        <f>AA16+AC16+AE16+AG16+AI16+AM16+AQ16+AS16+BA16+BC16+BE16+BG16+BI16</f>
        <v>0</v>
      </c>
      <c r="BL16" s="155" t="s">
        <v>224</v>
      </c>
      <c r="BN16" s="70"/>
      <c r="BO16" s="70"/>
      <c r="BP16" s="70"/>
      <c r="BQ16" s="70"/>
      <c r="BR16" s="70">
        <f t="shared" si="1"/>
        <v>0</v>
      </c>
      <c r="BS16" s="70"/>
      <c r="BT16" s="70">
        <f t="shared" si="8"/>
        <v>0</v>
      </c>
      <c r="BU16" s="75">
        <f t="shared" si="9"/>
        <v>0</v>
      </c>
      <c r="BV16" s="101">
        <f t="shared" si="2"/>
        <v>0</v>
      </c>
    </row>
    <row r="17" spans="1:74">
      <c r="A17" s="904"/>
      <c r="B17" s="93"/>
      <c r="C17" s="323" t="s">
        <v>394</v>
      </c>
      <c r="D17" s="324" t="s">
        <v>109</v>
      </c>
      <c r="E17" s="325" t="s">
        <v>475</v>
      </c>
      <c r="F17" s="326">
        <f>BJ17</f>
        <v>204</v>
      </c>
      <c r="G17" s="78">
        <f>F17*E17</f>
        <v>10200000</v>
      </c>
      <c r="H17" s="327">
        <f t="shared" ref="H17:H28" si="11">G17*0.2</f>
        <v>2040000</v>
      </c>
      <c r="I17" s="327">
        <f t="shared" ref="I17:I28" si="12">G17*0.8</f>
        <v>8160000</v>
      </c>
      <c r="J17" s="78"/>
      <c r="K17" s="78"/>
      <c r="L17" s="78"/>
      <c r="M17" s="78"/>
      <c r="N17" s="78"/>
      <c r="O17" s="78"/>
      <c r="P17" s="78"/>
      <c r="Q17" s="78"/>
      <c r="R17" s="79">
        <f>F17*0.25</f>
        <v>51</v>
      </c>
      <c r="S17" s="79">
        <f>F17*0.25</f>
        <v>51</v>
      </c>
      <c r="T17" s="79">
        <f>F17*0.25</f>
        <v>51</v>
      </c>
      <c r="U17" s="79">
        <f>F17*0.25</f>
        <v>51</v>
      </c>
      <c r="V17" s="331">
        <f t="shared" si="3"/>
        <v>2550000</v>
      </c>
      <c r="W17" s="331">
        <f t="shared" si="4"/>
        <v>2550000</v>
      </c>
      <c r="X17" s="331">
        <f t="shared" si="5"/>
        <v>2550000</v>
      </c>
      <c r="Y17" s="331">
        <f t="shared" si="6"/>
        <v>2550000</v>
      </c>
      <c r="Z17" s="79">
        <v>12</v>
      </c>
      <c r="AA17" s="79">
        <f t="shared" si="7"/>
        <v>600000</v>
      </c>
      <c r="AB17" s="79">
        <v>12</v>
      </c>
      <c r="AC17" s="102">
        <f t="shared" ref="AC17:AC28" si="13">AB17*E17</f>
        <v>600000</v>
      </c>
      <c r="AD17" s="79">
        <v>12</v>
      </c>
      <c r="AE17" s="102">
        <f t="shared" ref="AE17:AE28" si="14">AD17*E17</f>
        <v>600000</v>
      </c>
      <c r="AF17" s="79">
        <v>12</v>
      </c>
      <c r="AG17" s="102">
        <f t="shared" ref="AG17:AG28" si="15">AF17*E17</f>
        <v>600000</v>
      </c>
      <c r="AH17" s="79">
        <v>12</v>
      </c>
      <c r="AI17" s="102">
        <f t="shared" ref="AI17:AI28" si="16">AH17*E17</f>
        <v>600000</v>
      </c>
      <c r="AJ17" s="79">
        <v>12</v>
      </c>
      <c r="AK17" s="102">
        <f>AJ17*E17</f>
        <v>600000</v>
      </c>
      <c r="AL17" s="79">
        <v>12</v>
      </c>
      <c r="AM17" s="102">
        <f t="shared" ref="AM17:AM28" si="17">AL17*E17</f>
        <v>600000</v>
      </c>
      <c r="AN17" s="79">
        <v>12</v>
      </c>
      <c r="AO17" s="102">
        <f>AN17*E17</f>
        <v>600000</v>
      </c>
      <c r="AP17" s="79">
        <v>12</v>
      </c>
      <c r="AQ17" s="102">
        <f t="shared" ref="AQ17:AQ28" si="18">AP17*E17</f>
        <v>600000</v>
      </c>
      <c r="AR17" s="79">
        <v>12</v>
      </c>
      <c r="AS17" s="102">
        <f t="shared" ref="AS17:AS28" si="19">AR17*E17</f>
        <v>600000</v>
      </c>
      <c r="AT17" s="79">
        <v>12</v>
      </c>
      <c r="AU17" s="102">
        <f>AT17*E17</f>
        <v>600000</v>
      </c>
      <c r="AV17" s="79">
        <v>12</v>
      </c>
      <c r="AW17" s="102">
        <f>AV17*E17</f>
        <v>600000</v>
      </c>
      <c r="AX17" s="79">
        <v>12</v>
      </c>
      <c r="AY17" s="102">
        <f>AX17*E17</f>
        <v>600000</v>
      </c>
      <c r="AZ17" s="79">
        <v>12</v>
      </c>
      <c r="BA17" s="102">
        <f t="shared" ref="BA17:BA28" si="20">AZ17*E17</f>
        <v>600000</v>
      </c>
      <c r="BB17" s="79">
        <v>12</v>
      </c>
      <c r="BC17" s="102">
        <f t="shared" ref="BC17:BC28" si="21">BB17*E17</f>
        <v>600000</v>
      </c>
      <c r="BD17" s="79">
        <v>12</v>
      </c>
      <c r="BE17" s="102">
        <f t="shared" ref="BE17:BE28" si="22">BD17*E17</f>
        <v>600000</v>
      </c>
      <c r="BF17" s="79">
        <v>12</v>
      </c>
      <c r="BG17" s="102">
        <f t="shared" ref="BG17:BG28" si="23">BF17*E17</f>
        <v>600000</v>
      </c>
      <c r="BH17" s="79">
        <v>0</v>
      </c>
      <c r="BI17" s="102">
        <f t="shared" ref="BI17:BI28" si="24">BH17*E17</f>
        <v>0</v>
      </c>
      <c r="BJ17" s="79">
        <f>BH17+BF17+BD17+BB17+AZ17+AX17+AV17+AT17+AR17+AP17+AN17+AL17+AJ17+AH17+AF17+AD17+AB17+Z17</f>
        <v>204</v>
      </c>
      <c r="BK17" s="79">
        <f>BI17+BG17+BE17+BC17+BA17+AY17+AW17+AU17+AS17+AQ17+AO17+AM17+AK17+AI17+AG17+AE17+AC17+AA17</f>
        <v>10200000</v>
      </c>
      <c r="BL17" s="155" t="s">
        <v>224</v>
      </c>
      <c r="BN17" s="70"/>
      <c r="BO17" s="70"/>
      <c r="BP17" s="70"/>
      <c r="BQ17" s="70"/>
      <c r="BR17" s="70">
        <f t="shared" si="1"/>
        <v>0</v>
      </c>
      <c r="BS17" s="70"/>
      <c r="BT17" s="70">
        <f t="shared" si="8"/>
        <v>10200000</v>
      </c>
      <c r="BU17" s="75">
        <f t="shared" si="9"/>
        <v>10200000</v>
      </c>
      <c r="BV17" s="101">
        <f t="shared" si="2"/>
        <v>10200000</v>
      </c>
    </row>
    <row r="18" spans="1:74" ht="31.5">
      <c r="A18" s="904"/>
      <c r="B18" s="93"/>
      <c r="C18" s="503" t="s">
        <v>798</v>
      </c>
      <c r="D18" s="324" t="s">
        <v>109</v>
      </c>
      <c r="E18" s="325">
        <v>6000</v>
      </c>
      <c r="F18" s="326">
        <f t="shared" ref="F18:F28" si="25">BJ18</f>
        <v>204</v>
      </c>
      <c r="G18" s="78">
        <f t="shared" ref="G18:G28" si="26">F18*E18</f>
        <v>1224000</v>
      </c>
      <c r="H18" s="327">
        <f t="shared" si="11"/>
        <v>244800</v>
      </c>
      <c r="I18" s="327">
        <f t="shared" si="12"/>
        <v>979200</v>
      </c>
      <c r="J18" s="78"/>
      <c r="K18" s="78"/>
      <c r="L18" s="78"/>
      <c r="M18" s="78"/>
      <c r="N18" s="78"/>
      <c r="O18" s="78"/>
      <c r="P18" s="78"/>
      <c r="Q18" s="78"/>
      <c r="R18" s="79">
        <f>F18*0.25</f>
        <v>51</v>
      </c>
      <c r="S18" s="79">
        <f>F18*0.25</f>
        <v>51</v>
      </c>
      <c r="T18" s="79">
        <f>F18*0.25</f>
        <v>51</v>
      </c>
      <c r="U18" s="79">
        <f>F18*0.25</f>
        <v>51</v>
      </c>
      <c r="V18" s="331">
        <f t="shared" si="3"/>
        <v>306000</v>
      </c>
      <c r="W18" s="331">
        <f t="shared" si="4"/>
        <v>306000</v>
      </c>
      <c r="X18" s="331">
        <f t="shared" si="5"/>
        <v>306000</v>
      </c>
      <c r="Y18" s="331">
        <f t="shared" si="6"/>
        <v>306000</v>
      </c>
      <c r="Z18" s="79">
        <v>12</v>
      </c>
      <c r="AA18" s="79">
        <f t="shared" si="7"/>
        <v>72000</v>
      </c>
      <c r="AB18" s="79">
        <v>12</v>
      </c>
      <c r="AC18" s="102">
        <f t="shared" si="13"/>
        <v>72000</v>
      </c>
      <c r="AD18" s="79">
        <v>12</v>
      </c>
      <c r="AE18" s="102">
        <f t="shared" si="14"/>
        <v>72000</v>
      </c>
      <c r="AF18" s="79">
        <v>12</v>
      </c>
      <c r="AG18" s="102">
        <f t="shared" si="15"/>
        <v>72000</v>
      </c>
      <c r="AH18" s="79">
        <v>12</v>
      </c>
      <c r="AI18" s="102">
        <f t="shared" si="16"/>
        <v>72000</v>
      </c>
      <c r="AJ18" s="79">
        <v>12</v>
      </c>
      <c r="AK18" s="102">
        <f t="shared" ref="AK18:AK28" si="27">AJ18*E18</f>
        <v>72000</v>
      </c>
      <c r="AL18" s="79">
        <v>12</v>
      </c>
      <c r="AM18" s="102">
        <f t="shared" si="17"/>
        <v>72000</v>
      </c>
      <c r="AN18" s="79">
        <v>12</v>
      </c>
      <c r="AO18" s="102">
        <f t="shared" ref="AO18:AO28" si="28">AN18*E18</f>
        <v>72000</v>
      </c>
      <c r="AP18" s="79">
        <v>12</v>
      </c>
      <c r="AQ18" s="102">
        <f t="shared" si="18"/>
        <v>72000</v>
      </c>
      <c r="AR18" s="79">
        <v>12</v>
      </c>
      <c r="AS18" s="102">
        <f t="shared" si="19"/>
        <v>72000</v>
      </c>
      <c r="AT18" s="79">
        <v>12</v>
      </c>
      <c r="AU18" s="102">
        <f t="shared" ref="AU18:AU28" si="29">AT18*E18</f>
        <v>72000</v>
      </c>
      <c r="AV18" s="79">
        <v>12</v>
      </c>
      <c r="AW18" s="102">
        <f t="shared" ref="AW18:AW28" si="30">AV18*E18</f>
        <v>72000</v>
      </c>
      <c r="AX18" s="79">
        <v>12</v>
      </c>
      <c r="AY18" s="102">
        <f t="shared" ref="AY18:AY28" si="31">AX18*E18</f>
        <v>72000</v>
      </c>
      <c r="AZ18" s="79">
        <v>12</v>
      </c>
      <c r="BA18" s="102">
        <f t="shared" si="20"/>
        <v>72000</v>
      </c>
      <c r="BB18" s="79">
        <v>12</v>
      </c>
      <c r="BC18" s="102">
        <f t="shared" si="21"/>
        <v>72000</v>
      </c>
      <c r="BD18" s="79">
        <v>12</v>
      </c>
      <c r="BE18" s="102">
        <f t="shared" si="22"/>
        <v>72000</v>
      </c>
      <c r="BF18" s="79">
        <v>12</v>
      </c>
      <c r="BG18" s="102">
        <f t="shared" si="23"/>
        <v>72000</v>
      </c>
      <c r="BH18" s="79">
        <v>0</v>
      </c>
      <c r="BI18" s="102">
        <f t="shared" si="24"/>
        <v>0</v>
      </c>
      <c r="BJ18" s="79">
        <f t="shared" ref="BJ18:BK28" si="32">BH18+BF18+BD18+BB18+AZ18+AX18+AV18+AT18+AR18+AP18+AN18+AL18+AJ18+AH18+AF18+AD18+AB18+Z18</f>
        <v>204</v>
      </c>
      <c r="BK18" s="79">
        <f t="shared" si="32"/>
        <v>1224000</v>
      </c>
      <c r="BL18" s="155" t="s">
        <v>224</v>
      </c>
      <c r="BN18" s="70"/>
      <c r="BO18" s="70"/>
      <c r="BP18" s="70"/>
      <c r="BQ18" s="70"/>
      <c r="BR18" s="70">
        <f t="shared" si="1"/>
        <v>0</v>
      </c>
      <c r="BS18" s="70"/>
      <c r="BT18" s="70">
        <f t="shared" si="8"/>
        <v>1224000</v>
      </c>
      <c r="BU18" s="75">
        <f t="shared" si="9"/>
        <v>1224000</v>
      </c>
      <c r="BV18" s="101">
        <f t="shared" si="2"/>
        <v>1224000</v>
      </c>
    </row>
    <row r="19" spans="1:74" s="90" customFormat="1">
      <c r="A19" s="904"/>
      <c r="B19" s="93"/>
      <c r="C19" s="503" t="s">
        <v>823</v>
      </c>
      <c r="D19" s="324" t="s">
        <v>109</v>
      </c>
      <c r="E19" s="325">
        <v>50000</v>
      </c>
      <c r="F19" s="326">
        <f>BJ19</f>
        <v>17</v>
      </c>
      <c r="G19" s="78">
        <f>F19*E19</f>
        <v>850000</v>
      </c>
      <c r="H19" s="327">
        <f>G19*0.2</f>
        <v>170000</v>
      </c>
      <c r="I19" s="327">
        <f>G19*0.8</f>
        <v>680000</v>
      </c>
      <c r="J19" s="78"/>
      <c r="K19" s="78"/>
      <c r="L19" s="78"/>
      <c r="M19" s="78"/>
      <c r="N19" s="78"/>
      <c r="O19" s="78"/>
      <c r="P19" s="78"/>
      <c r="Q19" s="78"/>
      <c r="R19" s="79">
        <f>F19*1</f>
        <v>17</v>
      </c>
      <c r="S19" s="79"/>
      <c r="T19" s="79"/>
      <c r="U19" s="79"/>
      <c r="V19" s="331">
        <f t="shared" si="3"/>
        <v>850000</v>
      </c>
      <c r="W19" s="331"/>
      <c r="X19" s="331"/>
      <c r="Y19" s="331"/>
      <c r="Z19" s="79">
        <v>1</v>
      </c>
      <c r="AA19" s="79">
        <f t="shared" si="7"/>
        <v>50000</v>
      </c>
      <c r="AB19" s="79">
        <v>1</v>
      </c>
      <c r="AC19" s="102">
        <f t="shared" si="13"/>
        <v>50000</v>
      </c>
      <c r="AD19" s="79">
        <v>1</v>
      </c>
      <c r="AE19" s="102">
        <f t="shared" si="14"/>
        <v>50000</v>
      </c>
      <c r="AF19" s="79">
        <v>1</v>
      </c>
      <c r="AG19" s="102">
        <f t="shared" si="15"/>
        <v>50000</v>
      </c>
      <c r="AH19" s="79">
        <v>1</v>
      </c>
      <c r="AI19" s="102">
        <f t="shared" si="16"/>
        <v>50000</v>
      </c>
      <c r="AJ19" s="79">
        <v>1</v>
      </c>
      <c r="AK19" s="102">
        <f t="shared" si="27"/>
        <v>50000</v>
      </c>
      <c r="AL19" s="79">
        <v>1</v>
      </c>
      <c r="AM19" s="102">
        <f t="shared" si="17"/>
        <v>50000</v>
      </c>
      <c r="AN19" s="79">
        <v>1</v>
      </c>
      <c r="AO19" s="102">
        <f t="shared" si="28"/>
        <v>50000</v>
      </c>
      <c r="AP19" s="79">
        <v>1</v>
      </c>
      <c r="AQ19" s="102">
        <f t="shared" si="18"/>
        <v>50000</v>
      </c>
      <c r="AR19" s="79">
        <v>1</v>
      </c>
      <c r="AS19" s="102">
        <f t="shared" si="19"/>
        <v>50000</v>
      </c>
      <c r="AT19" s="79">
        <v>1</v>
      </c>
      <c r="AU19" s="102">
        <f t="shared" si="29"/>
        <v>50000</v>
      </c>
      <c r="AV19" s="79">
        <v>1</v>
      </c>
      <c r="AW19" s="102">
        <f t="shared" si="30"/>
        <v>50000</v>
      </c>
      <c r="AX19" s="79">
        <v>1</v>
      </c>
      <c r="AY19" s="102">
        <f t="shared" si="31"/>
        <v>50000</v>
      </c>
      <c r="AZ19" s="79">
        <v>1</v>
      </c>
      <c r="BA19" s="102">
        <f t="shared" si="20"/>
        <v>50000</v>
      </c>
      <c r="BB19" s="79">
        <v>1</v>
      </c>
      <c r="BC19" s="102">
        <f t="shared" si="21"/>
        <v>50000</v>
      </c>
      <c r="BD19" s="79">
        <v>1</v>
      </c>
      <c r="BE19" s="102">
        <f t="shared" si="22"/>
        <v>50000</v>
      </c>
      <c r="BF19" s="79">
        <v>1</v>
      </c>
      <c r="BG19" s="102">
        <f t="shared" si="23"/>
        <v>50000</v>
      </c>
      <c r="BH19" s="79">
        <v>0</v>
      </c>
      <c r="BI19" s="102"/>
      <c r="BJ19" s="79">
        <f>BH19+BF19+BD19+BB19+AZ19+AX19+AV19+AT19+AR19+AP19+AN19+AL19+AJ19+AH19+AF19+AD19+AB19+Z19</f>
        <v>17</v>
      </c>
      <c r="BK19" s="79">
        <f>BI19+BG19+BE19+BC19+BA19+AY19+AW19+AU19+AS19+AQ19+AO19+AM19+AK19+AI19+AG19+AE19+AC19+AA19</f>
        <v>850000</v>
      </c>
      <c r="BL19" s="155" t="s">
        <v>224</v>
      </c>
      <c r="BN19" s="91"/>
      <c r="BO19" s="91"/>
      <c r="BP19" s="98">
        <f>BK19</f>
        <v>850000</v>
      </c>
      <c r="BQ19" s="91"/>
      <c r="BR19" s="98"/>
      <c r="BS19" s="91">
        <f>SUM(BS12:BS17)</f>
        <v>0</v>
      </c>
      <c r="BT19" s="91">
        <f>G19</f>
        <v>850000</v>
      </c>
      <c r="BU19" s="75">
        <f t="shared" si="9"/>
        <v>850000</v>
      </c>
      <c r="BV19" s="101">
        <f t="shared" si="2"/>
        <v>850000</v>
      </c>
    </row>
    <row r="20" spans="1:74" s="48" customFormat="1">
      <c r="A20" s="904"/>
      <c r="B20" s="122"/>
      <c r="C20" s="323" t="s">
        <v>110</v>
      </c>
      <c r="D20" s="324" t="s">
        <v>109</v>
      </c>
      <c r="E20" s="325">
        <v>1000</v>
      </c>
      <c r="F20" s="326">
        <f t="shared" si="25"/>
        <v>92</v>
      </c>
      <c r="G20" s="78">
        <f t="shared" si="26"/>
        <v>92000</v>
      </c>
      <c r="H20" s="327">
        <f t="shared" si="11"/>
        <v>18400</v>
      </c>
      <c r="I20" s="327">
        <f t="shared" si="12"/>
        <v>73600</v>
      </c>
      <c r="J20" s="78"/>
      <c r="K20" s="78"/>
      <c r="L20" s="78"/>
      <c r="M20" s="78"/>
      <c r="N20" s="78"/>
      <c r="O20" s="78"/>
      <c r="P20" s="78"/>
      <c r="Q20" s="78"/>
      <c r="R20" s="203">
        <f>F20/4</f>
        <v>23</v>
      </c>
      <c r="S20" s="203">
        <f>F20*0.25</f>
        <v>23</v>
      </c>
      <c r="T20" s="203">
        <f>F20*0.25</f>
        <v>23</v>
      </c>
      <c r="U20" s="203">
        <f>F20*0.25</f>
        <v>23</v>
      </c>
      <c r="V20" s="78">
        <f>SUM(V13:V18)</f>
        <v>2856000</v>
      </c>
      <c r="W20" s="78">
        <f>SUM(W13:W18)</f>
        <v>2856000</v>
      </c>
      <c r="X20" s="78">
        <f>SUM(X13:X18)</f>
        <v>2856000</v>
      </c>
      <c r="Y20" s="78">
        <f>SUM(Y13:Y18)</f>
        <v>2856000</v>
      </c>
      <c r="Z20" s="614">
        <v>5</v>
      </c>
      <c r="AA20" s="79">
        <f t="shared" si="7"/>
        <v>5000</v>
      </c>
      <c r="AB20" s="614">
        <v>5</v>
      </c>
      <c r="AC20" s="102">
        <f t="shared" si="13"/>
        <v>5000</v>
      </c>
      <c r="AD20" s="614">
        <v>5</v>
      </c>
      <c r="AE20" s="102">
        <f t="shared" si="14"/>
        <v>5000</v>
      </c>
      <c r="AF20" s="614">
        <v>5</v>
      </c>
      <c r="AG20" s="102">
        <f t="shared" si="15"/>
        <v>5000</v>
      </c>
      <c r="AH20" s="614">
        <v>5</v>
      </c>
      <c r="AI20" s="102">
        <f t="shared" si="16"/>
        <v>5000</v>
      </c>
      <c r="AJ20" s="203">
        <v>12</v>
      </c>
      <c r="AK20" s="102">
        <f t="shared" si="27"/>
        <v>12000</v>
      </c>
      <c r="AL20" s="614">
        <v>5</v>
      </c>
      <c r="AM20" s="102">
        <f t="shared" si="17"/>
        <v>5000</v>
      </c>
      <c r="AN20" s="614">
        <v>5</v>
      </c>
      <c r="AO20" s="102">
        <f t="shared" si="28"/>
        <v>5000</v>
      </c>
      <c r="AP20" s="614">
        <v>5</v>
      </c>
      <c r="AQ20" s="102">
        <f t="shared" si="18"/>
        <v>5000</v>
      </c>
      <c r="AR20" s="614">
        <v>5</v>
      </c>
      <c r="AS20" s="102">
        <f t="shared" si="19"/>
        <v>5000</v>
      </c>
      <c r="AT20" s="614">
        <v>5</v>
      </c>
      <c r="AU20" s="102">
        <f t="shared" si="29"/>
        <v>5000</v>
      </c>
      <c r="AV20" s="614">
        <v>5</v>
      </c>
      <c r="AW20" s="102">
        <f t="shared" si="30"/>
        <v>5000</v>
      </c>
      <c r="AX20" s="614">
        <v>5</v>
      </c>
      <c r="AY20" s="102">
        <f t="shared" si="31"/>
        <v>5000</v>
      </c>
      <c r="AZ20" s="614">
        <v>5</v>
      </c>
      <c r="BA20" s="102">
        <f t="shared" si="20"/>
        <v>5000</v>
      </c>
      <c r="BB20" s="614">
        <v>5</v>
      </c>
      <c r="BC20" s="102">
        <f t="shared" si="21"/>
        <v>5000</v>
      </c>
      <c r="BD20" s="614">
        <v>5</v>
      </c>
      <c r="BE20" s="102">
        <f t="shared" si="22"/>
        <v>5000</v>
      </c>
      <c r="BF20" s="614">
        <v>5</v>
      </c>
      <c r="BG20" s="102">
        <f t="shared" si="23"/>
        <v>5000</v>
      </c>
      <c r="BH20" s="614">
        <v>0</v>
      </c>
      <c r="BI20" s="102">
        <f t="shared" si="24"/>
        <v>0</v>
      </c>
      <c r="BJ20" s="79">
        <f t="shared" si="32"/>
        <v>92</v>
      </c>
      <c r="BK20" s="79">
        <f t="shared" si="32"/>
        <v>92000</v>
      </c>
      <c r="BL20" s="155" t="s">
        <v>224</v>
      </c>
      <c r="BN20" s="91"/>
      <c r="BO20" s="91"/>
      <c r="BP20" s="70"/>
      <c r="BQ20" s="91">
        <f>SUM(BQ13:BQ18)</f>
        <v>0</v>
      </c>
      <c r="BR20" s="70">
        <f t="shared" si="1"/>
        <v>0</v>
      </c>
      <c r="BS20" s="91">
        <f>SUM(BS13:BS18)</f>
        <v>0</v>
      </c>
      <c r="BT20" s="91">
        <f>G20</f>
        <v>92000</v>
      </c>
      <c r="BU20" s="75">
        <f t="shared" si="9"/>
        <v>92000</v>
      </c>
      <c r="BV20" s="101">
        <f t="shared" si="2"/>
        <v>92000</v>
      </c>
    </row>
    <row r="21" spans="1:74">
      <c r="A21" s="904"/>
      <c r="B21" s="93"/>
      <c r="C21" s="323" t="s">
        <v>820</v>
      </c>
      <c r="D21" s="324" t="s">
        <v>16</v>
      </c>
      <c r="E21" s="325">
        <v>20000</v>
      </c>
      <c r="F21" s="326">
        <f t="shared" si="25"/>
        <v>17</v>
      </c>
      <c r="G21" s="78">
        <f t="shared" si="26"/>
        <v>340000</v>
      </c>
      <c r="H21" s="327">
        <f t="shared" si="11"/>
        <v>68000</v>
      </c>
      <c r="I21" s="327">
        <f t="shared" si="12"/>
        <v>272000</v>
      </c>
      <c r="J21" s="78"/>
      <c r="K21" s="78"/>
      <c r="L21" s="78"/>
      <c r="M21" s="78"/>
      <c r="N21" s="78"/>
      <c r="O21" s="79"/>
      <c r="P21" s="79"/>
      <c r="Q21" s="79"/>
      <c r="R21" s="79"/>
      <c r="S21" s="79">
        <v>16</v>
      </c>
      <c r="T21" s="79"/>
      <c r="U21" s="79"/>
      <c r="V21" s="79"/>
      <c r="W21" s="79"/>
      <c r="X21" s="79"/>
      <c r="Y21" s="79"/>
      <c r="Z21" s="79">
        <v>1</v>
      </c>
      <c r="AA21" s="79">
        <f t="shared" si="7"/>
        <v>20000</v>
      </c>
      <c r="AB21" s="79">
        <v>1</v>
      </c>
      <c r="AC21" s="102">
        <f t="shared" si="13"/>
        <v>20000</v>
      </c>
      <c r="AD21" s="79">
        <v>1</v>
      </c>
      <c r="AE21" s="102">
        <f t="shared" si="14"/>
        <v>20000</v>
      </c>
      <c r="AF21" s="79">
        <v>1</v>
      </c>
      <c r="AG21" s="102">
        <f t="shared" si="15"/>
        <v>20000</v>
      </c>
      <c r="AH21" s="79">
        <v>1</v>
      </c>
      <c r="AI21" s="102">
        <f t="shared" si="16"/>
        <v>20000</v>
      </c>
      <c r="AJ21" s="79">
        <v>1</v>
      </c>
      <c r="AK21" s="102">
        <f t="shared" si="27"/>
        <v>20000</v>
      </c>
      <c r="AL21" s="79">
        <v>1</v>
      </c>
      <c r="AM21" s="102">
        <f t="shared" si="17"/>
        <v>20000</v>
      </c>
      <c r="AN21" s="79">
        <v>1</v>
      </c>
      <c r="AO21" s="102">
        <f t="shared" si="28"/>
        <v>20000</v>
      </c>
      <c r="AP21" s="79">
        <v>1</v>
      </c>
      <c r="AQ21" s="102">
        <f t="shared" si="18"/>
        <v>20000</v>
      </c>
      <c r="AR21" s="79">
        <v>1</v>
      </c>
      <c r="AS21" s="102">
        <f t="shared" si="19"/>
        <v>20000</v>
      </c>
      <c r="AT21" s="79">
        <v>1</v>
      </c>
      <c r="AU21" s="102">
        <f t="shared" si="29"/>
        <v>20000</v>
      </c>
      <c r="AV21" s="79">
        <v>1</v>
      </c>
      <c r="AW21" s="102">
        <f t="shared" si="30"/>
        <v>20000</v>
      </c>
      <c r="AX21" s="79">
        <v>1</v>
      </c>
      <c r="AY21" s="102">
        <f t="shared" si="31"/>
        <v>20000</v>
      </c>
      <c r="AZ21" s="79">
        <v>1</v>
      </c>
      <c r="BA21" s="102">
        <f t="shared" si="20"/>
        <v>20000</v>
      </c>
      <c r="BB21" s="79">
        <v>1</v>
      </c>
      <c r="BC21" s="102">
        <f t="shared" si="21"/>
        <v>20000</v>
      </c>
      <c r="BD21" s="79">
        <v>1</v>
      </c>
      <c r="BE21" s="102">
        <f t="shared" si="22"/>
        <v>20000</v>
      </c>
      <c r="BF21" s="79">
        <v>1</v>
      </c>
      <c r="BG21" s="102">
        <f t="shared" si="23"/>
        <v>20000</v>
      </c>
      <c r="BH21" s="79">
        <v>0</v>
      </c>
      <c r="BI21" s="102">
        <f t="shared" si="24"/>
        <v>0</v>
      </c>
      <c r="BJ21" s="79">
        <f t="shared" si="32"/>
        <v>17</v>
      </c>
      <c r="BK21" s="79">
        <f t="shared" si="32"/>
        <v>340000</v>
      </c>
      <c r="BL21" s="155" t="s">
        <v>224</v>
      </c>
      <c r="BN21" s="98"/>
      <c r="BO21" s="98"/>
      <c r="BP21" s="70">
        <f t="shared" ref="BP21:BP28" si="33">G21</f>
        <v>340000</v>
      </c>
      <c r="BQ21" s="98"/>
      <c r="BR21" s="70">
        <f t="shared" si="1"/>
        <v>340000</v>
      </c>
      <c r="BS21" s="98"/>
      <c r="BT21" s="98"/>
      <c r="BU21" s="75">
        <f t="shared" si="9"/>
        <v>0</v>
      </c>
      <c r="BV21" s="101">
        <f t="shared" si="2"/>
        <v>340000</v>
      </c>
    </row>
    <row r="22" spans="1:74" ht="31.5">
      <c r="A22" s="904"/>
      <c r="B22" s="93"/>
      <c r="C22" s="503" t="s">
        <v>822</v>
      </c>
      <c r="D22" s="324" t="s">
        <v>109</v>
      </c>
      <c r="E22" s="325">
        <v>120000</v>
      </c>
      <c r="F22" s="326">
        <f t="shared" si="25"/>
        <v>1</v>
      </c>
      <c r="G22" s="78">
        <f t="shared" si="26"/>
        <v>120000</v>
      </c>
      <c r="H22" s="327">
        <f t="shared" si="11"/>
        <v>24000</v>
      </c>
      <c r="I22" s="327">
        <f t="shared" si="12"/>
        <v>96000</v>
      </c>
      <c r="J22" s="78"/>
      <c r="K22" s="78"/>
      <c r="L22" s="78"/>
      <c r="M22" s="78"/>
      <c r="N22" s="78"/>
      <c r="O22" s="78"/>
      <c r="P22" s="78"/>
      <c r="Q22" s="78"/>
      <c r="R22" s="79"/>
      <c r="S22" s="79">
        <f>F22</f>
        <v>1</v>
      </c>
      <c r="T22" s="79"/>
      <c r="U22" s="79"/>
      <c r="V22" s="331">
        <f>R22*E22</f>
        <v>0</v>
      </c>
      <c r="W22" s="331">
        <f>S22*E22</f>
        <v>120000</v>
      </c>
      <c r="X22" s="331">
        <f>T22*E22</f>
        <v>0</v>
      </c>
      <c r="Y22" s="331">
        <f>U22*E22</f>
        <v>0</v>
      </c>
      <c r="Z22" s="79">
        <v>1</v>
      </c>
      <c r="AA22" s="79">
        <f t="shared" si="7"/>
        <v>120000</v>
      </c>
      <c r="AB22" s="79"/>
      <c r="AC22" s="102">
        <f t="shared" si="13"/>
        <v>0</v>
      </c>
      <c r="AD22" s="79"/>
      <c r="AE22" s="102">
        <f t="shared" si="14"/>
        <v>0</v>
      </c>
      <c r="AF22" s="79"/>
      <c r="AG22" s="102">
        <f t="shared" si="15"/>
        <v>0</v>
      </c>
      <c r="AH22" s="79"/>
      <c r="AI22" s="102">
        <f t="shared" si="16"/>
        <v>0</v>
      </c>
      <c r="AJ22" s="79">
        <v>0</v>
      </c>
      <c r="AK22" s="102">
        <f t="shared" si="27"/>
        <v>0</v>
      </c>
      <c r="AL22" s="79"/>
      <c r="AM22" s="102">
        <f t="shared" si="17"/>
        <v>0</v>
      </c>
      <c r="AN22" s="79"/>
      <c r="AO22" s="102">
        <f t="shared" si="28"/>
        <v>0</v>
      </c>
      <c r="AP22" s="79"/>
      <c r="AQ22" s="102">
        <f t="shared" si="18"/>
        <v>0</v>
      </c>
      <c r="AR22" s="79"/>
      <c r="AS22" s="102">
        <f t="shared" si="19"/>
        <v>0</v>
      </c>
      <c r="AT22" s="79"/>
      <c r="AU22" s="102">
        <f t="shared" si="29"/>
        <v>0</v>
      </c>
      <c r="AV22" s="79"/>
      <c r="AW22" s="102">
        <f t="shared" si="30"/>
        <v>0</v>
      </c>
      <c r="AX22" s="79"/>
      <c r="AY22" s="102">
        <f t="shared" si="31"/>
        <v>0</v>
      </c>
      <c r="AZ22" s="79"/>
      <c r="BA22" s="102">
        <f t="shared" si="20"/>
        <v>0</v>
      </c>
      <c r="BB22" s="79"/>
      <c r="BC22" s="102">
        <f t="shared" si="21"/>
        <v>0</v>
      </c>
      <c r="BD22" s="79"/>
      <c r="BE22" s="102">
        <f t="shared" si="22"/>
        <v>0</v>
      </c>
      <c r="BF22" s="79"/>
      <c r="BG22" s="102">
        <f t="shared" si="23"/>
        <v>0</v>
      </c>
      <c r="BH22" s="79"/>
      <c r="BI22" s="102">
        <f t="shared" si="24"/>
        <v>0</v>
      </c>
      <c r="BJ22" s="79">
        <f t="shared" si="32"/>
        <v>1</v>
      </c>
      <c r="BK22" s="79">
        <f t="shared" si="32"/>
        <v>120000</v>
      </c>
      <c r="BL22" s="155" t="s">
        <v>224</v>
      </c>
      <c r="BN22" s="70"/>
      <c r="BO22" s="70"/>
      <c r="BP22" s="70">
        <f t="shared" si="33"/>
        <v>120000</v>
      </c>
      <c r="BQ22" s="70"/>
      <c r="BR22" s="70">
        <f t="shared" si="1"/>
        <v>120000</v>
      </c>
      <c r="BS22" s="70"/>
      <c r="BT22" s="70"/>
      <c r="BU22" s="75">
        <f t="shared" si="9"/>
        <v>0</v>
      </c>
      <c r="BV22" s="101">
        <f t="shared" si="2"/>
        <v>120000</v>
      </c>
    </row>
    <row r="23" spans="1:74">
      <c r="A23" s="904"/>
      <c r="B23" s="93"/>
      <c r="C23" s="323" t="s">
        <v>819</v>
      </c>
      <c r="D23" s="324" t="s">
        <v>109</v>
      </c>
      <c r="E23" s="325">
        <v>30000</v>
      </c>
      <c r="F23" s="326">
        <f t="shared" si="25"/>
        <v>17</v>
      </c>
      <c r="G23" s="78">
        <f t="shared" si="26"/>
        <v>510000</v>
      </c>
      <c r="H23" s="327">
        <f t="shared" si="11"/>
        <v>102000</v>
      </c>
      <c r="I23" s="327">
        <f t="shared" si="12"/>
        <v>408000</v>
      </c>
      <c r="J23" s="78"/>
      <c r="K23" s="78"/>
      <c r="L23" s="78"/>
      <c r="M23" s="78"/>
      <c r="N23" s="78"/>
      <c r="O23" s="78"/>
      <c r="P23" s="78"/>
      <c r="Q23" s="78"/>
      <c r="R23" s="79"/>
      <c r="S23" s="79">
        <f t="shared" ref="S23:S28" si="34">F23</f>
        <v>17</v>
      </c>
      <c r="T23" s="79"/>
      <c r="U23" s="79"/>
      <c r="V23" s="331">
        <f t="shared" ref="V23:V46" si="35">R23*E23</f>
        <v>0</v>
      </c>
      <c r="W23" s="331">
        <f t="shared" ref="W23:W46" si="36">S23*E23</f>
        <v>510000</v>
      </c>
      <c r="X23" s="331">
        <f t="shared" ref="X23:X46" si="37">T23*E23</f>
        <v>0</v>
      </c>
      <c r="Y23" s="331">
        <f t="shared" ref="Y23:Y46" si="38">U23*E23</f>
        <v>0</v>
      </c>
      <c r="Z23" s="79">
        <v>1</v>
      </c>
      <c r="AA23" s="79">
        <f t="shared" si="7"/>
        <v>30000</v>
      </c>
      <c r="AB23" s="79">
        <v>1</v>
      </c>
      <c r="AC23" s="102">
        <f t="shared" si="13"/>
        <v>30000</v>
      </c>
      <c r="AD23" s="79">
        <v>1</v>
      </c>
      <c r="AE23" s="102">
        <f t="shared" si="14"/>
        <v>30000</v>
      </c>
      <c r="AF23" s="79">
        <v>1</v>
      </c>
      <c r="AG23" s="102">
        <f t="shared" si="15"/>
        <v>30000</v>
      </c>
      <c r="AH23" s="79">
        <v>1</v>
      </c>
      <c r="AI23" s="102">
        <f t="shared" si="16"/>
        <v>30000</v>
      </c>
      <c r="AJ23" s="79">
        <v>1</v>
      </c>
      <c r="AK23" s="102">
        <f t="shared" si="27"/>
        <v>30000</v>
      </c>
      <c r="AL23" s="79">
        <v>1</v>
      </c>
      <c r="AM23" s="102">
        <f t="shared" si="17"/>
        <v>30000</v>
      </c>
      <c r="AN23" s="79">
        <v>1</v>
      </c>
      <c r="AO23" s="102">
        <f t="shared" si="28"/>
        <v>30000</v>
      </c>
      <c r="AP23" s="79">
        <v>1</v>
      </c>
      <c r="AQ23" s="102">
        <f t="shared" si="18"/>
        <v>30000</v>
      </c>
      <c r="AR23" s="79">
        <v>1</v>
      </c>
      <c r="AS23" s="102">
        <f t="shared" si="19"/>
        <v>30000</v>
      </c>
      <c r="AT23" s="79">
        <v>1</v>
      </c>
      <c r="AU23" s="102">
        <f t="shared" si="29"/>
        <v>30000</v>
      </c>
      <c r="AV23" s="79">
        <v>1</v>
      </c>
      <c r="AW23" s="102">
        <f t="shared" si="30"/>
        <v>30000</v>
      </c>
      <c r="AX23" s="79">
        <v>1</v>
      </c>
      <c r="AY23" s="102">
        <f t="shared" si="31"/>
        <v>30000</v>
      </c>
      <c r="AZ23" s="79">
        <v>1</v>
      </c>
      <c r="BA23" s="102">
        <f t="shared" si="20"/>
        <v>30000</v>
      </c>
      <c r="BB23" s="79">
        <v>1</v>
      </c>
      <c r="BC23" s="102">
        <f t="shared" si="21"/>
        <v>30000</v>
      </c>
      <c r="BD23" s="79">
        <v>1</v>
      </c>
      <c r="BE23" s="102">
        <f t="shared" si="22"/>
        <v>30000</v>
      </c>
      <c r="BF23" s="79">
        <v>1</v>
      </c>
      <c r="BG23" s="102">
        <f t="shared" si="23"/>
        <v>30000</v>
      </c>
      <c r="BH23" s="79"/>
      <c r="BI23" s="102">
        <f t="shared" si="24"/>
        <v>0</v>
      </c>
      <c r="BJ23" s="79">
        <f t="shared" si="32"/>
        <v>17</v>
      </c>
      <c r="BK23" s="79">
        <f t="shared" si="32"/>
        <v>510000</v>
      </c>
      <c r="BL23" s="155" t="s">
        <v>224</v>
      </c>
      <c r="BN23" s="70"/>
      <c r="BO23" s="70"/>
      <c r="BP23" s="70">
        <f t="shared" si="33"/>
        <v>510000</v>
      </c>
      <c r="BQ23" s="70"/>
      <c r="BR23" s="70">
        <f t="shared" si="1"/>
        <v>510000</v>
      </c>
      <c r="BS23" s="70"/>
      <c r="BT23" s="70"/>
      <c r="BU23" s="75">
        <f t="shared" si="9"/>
        <v>0</v>
      </c>
      <c r="BV23" s="101">
        <f t="shared" si="2"/>
        <v>510000</v>
      </c>
    </row>
    <row r="24" spans="1:74" s="64" customFormat="1">
      <c r="A24" s="904"/>
      <c r="B24" s="93"/>
      <c r="C24" s="323" t="s">
        <v>114</v>
      </c>
      <c r="D24" s="324" t="s">
        <v>109</v>
      </c>
      <c r="E24" s="325">
        <v>50000</v>
      </c>
      <c r="F24" s="326">
        <f t="shared" si="25"/>
        <v>1</v>
      </c>
      <c r="G24" s="78">
        <f t="shared" si="26"/>
        <v>50000</v>
      </c>
      <c r="H24" s="327">
        <f t="shared" si="11"/>
        <v>10000</v>
      </c>
      <c r="I24" s="327">
        <f t="shared" si="12"/>
        <v>40000</v>
      </c>
      <c r="J24" s="96"/>
      <c r="K24" s="96"/>
      <c r="L24" s="96"/>
      <c r="M24" s="96"/>
      <c r="N24" s="96"/>
      <c r="O24" s="96"/>
      <c r="P24" s="96"/>
      <c r="Q24" s="96"/>
      <c r="R24" s="184"/>
      <c r="S24" s="184">
        <f t="shared" si="34"/>
        <v>1</v>
      </c>
      <c r="T24" s="184"/>
      <c r="U24" s="184"/>
      <c r="V24" s="331">
        <f t="shared" si="35"/>
        <v>0</v>
      </c>
      <c r="W24" s="331">
        <f t="shared" si="36"/>
        <v>50000</v>
      </c>
      <c r="X24" s="331">
        <f t="shared" si="37"/>
        <v>0</v>
      </c>
      <c r="Y24" s="331">
        <f t="shared" si="38"/>
        <v>0</v>
      </c>
      <c r="Z24" s="184">
        <v>1</v>
      </c>
      <c r="AA24" s="79">
        <f t="shared" si="7"/>
        <v>50000</v>
      </c>
      <c r="AB24" s="184"/>
      <c r="AC24" s="102">
        <f t="shared" si="13"/>
        <v>0</v>
      </c>
      <c r="AD24" s="184"/>
      <c r="AE24" s="102">
        <f t="shared" si="14"/>
        <v>0</v>
      </c>
      <c r="AF24" s="184"/>
      <c r="AG24" s="102">
        <f t="shared" si="15"/>
        <v>0</v>
      </c>
      <c r="AH24" s="184"/>
      <c r="AI24" s="102">
        <f t="shared" si="16"/>
        <v>0</v>
      </c>
      <c r="AJ24" s="79">
        <v>0</v>
      </c>
      <c r="AK24" s="102">
        <f t="shared" si="27"/>
        <v>0</v>
      </c>
      <c r="AL24" s="184"/>
      <c r="AM24" s="102">
        <f t="shared" si="17"/>
        <v>0</v>
      </c>
      <c r="AN24" s="184"/>
      <c r="AO24" s="102">
        <f t="shared" si="28"/>
        <v>0</v>
      </c>
      <c r="AP24" s="184"/>
      <c r="AQ24" s="102">
        <f t="shared" si="18"/>
        <v>0</v>
      </c>
      <c r="AR24" s="184"/>
      <c r="AS24" s="102">
        <f t="shared" si="19"/>
        <v>0</v>
      </c>
      <c r="AT24" s="184"/>
      <c r="AU24" s="102">
        <f t="shared" si="29"/>
        <v>0</v>
      </c>
      <c r="AV24" s="184"/>
      <c r="AW24" s="102">
        <f t="shared" si="30"/>
        <v>0</v>
      </c>
      <c r="AX24" s="184"/>
      <c r="AY24" s="102">
        <f t="shared" si="31"/>
        <v>0</v>
      </c>
      <c r="AZ24" s="184"/>
      <c r="BA24" s="102">
        <f t="shared" si="20"/>
        <v>0</v>
      </c>
      <c r="BB24" s="184"/>
      <c r="BC24" s="102">
        <f t="shared" si="21"/>
        <v>0</v>
      </c>
      <c r="BD24" s="184"/>
      <c r="BE24" s="102">
        <f t="shared" si="22"/>
        <v>0</v>
      </c>
      <c r="BF24" s="184"/>
      <c r="BG24" s="102">
        <f t="shared" si="23"/>
        <v>0</v>
      </c>
      <c r="BH24" s="184"/>
      <c r="BI24" s="102">
        <f t="shared" si="24"/>
        <v>0</v>
      </c>
      <c r="BJ24" s="79">
        <f t="shared" si="32"/>
        <v>1</v>
      </c>
      <c r="BK24" s="79">
        <f t="shared" si="32"/>
        <v>50000</v>
      </c>
      <c r="BL24" s="155" t="s">
        <v>224</v>
      </c>
      <c r="BN24" s="179"/>
      <c r="BO24" s="179"/>
      <c r="BP24" s="70">
        <f t="shared" si="33"/>
        <v>50000</v>
      </c>
      <c r="BQ24" s="179"/>
      <c r="BR24" s="70">
        <f t="shared" si="1"/>
        <v>50000</v>
      </c>
      <c r="BS24" s="179"/>
      <c r="BT24" s="179"/>
      <c r="BU24" s="75">
        <f t="shared" si="9"/>
        <v>0</v>
      </c>
      <c r="BV24" s="101">
        <f t="shared" si="2"/>
        <v>50000</v>
      </c>
    </row>
    <row r="25" spans="1:74">
      <c r="A25" s="904"/>
      <c r="B25" s="80"/>
      <c r="C25" s="323" t="s">
        <v>141</v>
      </c>
      <c r="D25" s="324" t="s">
        <v>109</v>
      </c>
      <c r="E25" s="325">
        <v>2500</v>
      </c>
      <c r="F25" s="326">
        <f t="shared" si="25"/>
        <v>22</v>
      </c>
      <c r="G25" s="78">
        <f t="shared" si="26"/>
        <v>55000</v>
      </c>
      <c r="H25" s="327">
        <f t="shared" si="11"/>
        <v>11000</v>
      </c>
      <c r="I25" s="327">
        <f t="shared" si="12"/>
        <v>44000</v>
      </c>
      <c r="J25" s="78"/>
      <c r="K25" s="78"/>
      <c r="L25" s="78"/>
      <c r="M25" s="78"/>
      <c r="N25" s="78"/>
      <c r="O25" s="78"/>
      <c r="P25" s="78"/>
      <c r="Q25" s="78"/>
      <c r="R25" s="79"/>
      <c r="S25" s="79">
        <f t="shared" si="34"/>
        <v>22</v>
      </c>
      <c r="T25" s="79"/>
      <c r="U25" s="79"/>
      <c r="V25" s="331">
        <f t="shared" si="35"/>
        <v>0</v>
      </c>
      <c r="W25" s="331">
        <f t="shared" si="36"/>
        <v>55000</v>
      </c>
      <c r="X25" s="331">
        <f t="shared" si="37"/>
        <v>0</v>
      </c>
      <c r="Y25" s="331">
        <f t="shared" si="38"/>
        <v>0</v>
      </c>
      <c r="Z25" s="79">
        <v>16</v>
      </c>
      <c r="AA25" s="79">
        <f t="shared" si="7"/>
        <v>40000</v>
      </c>
      <c r="AB25" s="79">
        <v>6</v>
      </c>
      <c r="AC25" s="102">
        <f t="shared" si="13"/>
        <v>15000</v>
      </c>
      <c r="AD25" s="79"/>
      <c r="AE25" s="102">
        <f t="shared" si="14"/>
        <v>0</v>
      </c>
      <c r="AF25" s="79"/>
      <c r="AG25" s="102">
        <f t="shared" si="15"/>
        <v>0</v>
      </c>
      <c r="AH25" s="79"/>
      <c r="AI25" s="102">
        <f t="shared" si="16"/>
        <v>0</v>
      </c>
      <c r="AJ25" s="79">
        <v>0</v>
      </c>
      <c r="AK25" s="102">
        <f t="shared" si="27"/>
        <v>0</v>
      </c>
      <c r="AL25" s="79"/>
      <c r="AM25" s="102">
        <f t="shared" si="17"/>
        <v>0</v>
      </c>
      <c r="AN25" s="79"/>
      <c r="AO25" s="102">
        <f t="shared" si="28"/>
        <v>0</v>
      </c>
      <c r="AP25" s="79"/>
      <c r="AQ25" s="102">
        <f t="shared" si="18"/>
        <v>0</v>
      </c>
      <c r="AR25" s="79"/>
      <c r="AS25" s="102">
        <f t="shared" si="19"/>
        <v>0</v>
      </c>
      <c r="AT25" s="79"/>
      <c r="AU25" s="102">
        <f t="shared" si="29"/>
        <v>0</v>
      </c>
      <c r="AV25" s="79"/>
      <c r="AW25" s="102">
        <f t="shared" si="30"/>
        <v>0</v>
      </c>
      <c r="AX25" s="79"/>
      <c r="AY25" s="102">
        <f t="shared" si="31"/>
        <v>0</v>
      </c>
      <c r="AZ25" s="79"/>
      <c r="BA25" s="102">
        <f t="shared" si="20"/>
        <v>0</v>
      </c>
      <c r="BB25" s="79"/>
      <c r="BC25" s="102">
        <f t="shared" si="21"/>
        <v>0</v>
      </c>
      <c r="BD25" s="79"/>
      <c r="BE25" s="102">
        <f t="shared" si="22"/>
        <v>0</v>
      </c>
      <c r="BF25" s="79"/>
      <c r="BG25" s="102">
        <f t="shared" si="23"/>
        <v>0</v>
      </c>
      <c r="BH25" s="79"/>
      <c r="BI25" s="102">
        <f t="shared" si="24"/>
        <v>0</v>
      </c>
      <c r="BJ25" s="79">
        <f t="shared" si="32"/>
        <v>22</v>
      </c>
      <c r="BK25" s="79">
        <f t="shared" si="32"/>
        <v>55000</v>
      </c>
      <c r="BL25" s="155" t="s">
        <v>224</v>
      </c>
      <c r="BN25" s="70"/>
      <c r="BO25" s="70"/>
      <c r="BP25" s="70">
        <f t="shared" si="33"/>
        <v>55000</v>
      </c>
      <c r="BQ25" s="70"/>
      <c r="BR25" s="70">
        <f t="shared" si="1"/>
        <v>55000</v>
      </c>
      <c r="BS25" s="70"/>
      <c r="BT25" s="70"/>
      <c r="BU25" s="75">
        <f t="shared" si="9"/>
        <v>0</v>
      </c>
      <c r="BV25" s="101">
        <f t="shared" si="2"/>
        <v>55000</v>
      </c>
    </row>
    <row r="26" spans="1:74">
      <c r="A26" s="904"/>
      <c r="B26" s="93"/>
      <c r="C26" s="323" t="s">
        <v>112</v>
      </c>
      <c r="D26" s="324" t="s">
        <v>109</v>
      </c>
      <c r="E26" s="325">
        <v>300000</v>
      </c>
      <c r="F26" s="326">
        <f t="shared" si="25"/>
        <v>1</v>
      </c>
      <c r="G26" s="78">
        <f t="shared" si="26"/>
        <v>300000</v>
      </c>
      <c r="H26" s="327">
        <f t="shared" si="11"/>
        <v>60000</v>
      </c>
      <c r="I26" s="327">
        <f t="shared" si="12"/>
        <v>240000</v>
      </c>
      <c r="J26" s="78"/>
      <c r="K26" s="78"/>
      <c r="L26" s="78"/>
      <c r="M26" s="78"/>
      <c r="N26" s="78"/>
      <c r="O26" s="78"/>
      <c r="P26" s="78"/>
      <c r="Q26" s="78"/>
      <c r="R26" s="79"/>
      <c r="S26" s="79">
        <f t="shared" si="34"/>
        <v>1</v>
      </c>
      <c r="T26" s="79"/>
      <c r="U26" s="79"/>
      <c r="V26" s="331">
        <f t="shared" si="35"/>
        <v>0</v>
      </c>
      <c r="W26" s="331">
        <f t="shared" si="36"/>
        <v>300000</v>
      </c>
      <c r="X26" s="331">
        <f t="shared" si="37"/>
        <v>0</v>
      </c>
      <c r="Y26" s="331">
        <f t="shared" si="38"/>
        <v>0</v>
      </c>
      <c r="Z26" s="79">
        <v>1</v>
      </c>
      <c r="AA26" s="79">
        <f t="shared" si="7"/>
        <v>300000</v>
      </c>
      <c r="AB26" s="79"/>
      <c r="AC26" s="102">
        <f t="shared" si="13"/>
        <v>0</v>
      </c>
      <c r="AD26" s="79"/>
      <c r="AE26" s="102">
        <f t="shared" si="14"/>
        <v>0</v>
      </c>
      <c r="AF26" s="79"/>
      <c r="AG26" s="102">
        <f t="shared" si="15"/>
        <v>0</v>
      </c>
      <c r="AH26" s="79"/>
      <c r="AI26" s="102">
        <f t="shared" si="16"/>
        <v>0</v>
      </c>
      <c r="AJ26" s="79">
        <v>0</v>
      </c>
      <c r="AK26" s="102">
        <f t="shared" si="27"/>
        <v>0</v>
      </c>
      <c r="AL26" s="79"/>
      <c r="AM26" s="102">
        <f t="shared" si="17"/>
        <v>0</v>
      </c>
      <c r="AN26" s="79"/>
      <c r="AO26" s="102">
        <f t="shared" si="28"/>
        <v>0</v>
      </c>
      <c r="AP26" s="79"/>
      <c r="AQ26" s="102">
        <f t="shared" si="18"/>
        <v>0</v>
      </c>
      <c r="AR26" s="79"/>
      <c r="AS26" s="102">
        <f t="shared" si="19"/>
        <v>0</v>
      </c>
      <c r="AT26" s="79"/>
      <c r="AU26" s="102">
        <f t="shared" si="29"/>
        <v>0</v>
      </c>
      <c r="AV26" s="79"/>
      <c r="AW26" s="102">
        <f t="shared" si="30"/>
        <v>0</v>
      </c>
      <c r="AX26" s="79"/>
      <c r="AY26" s="102">
        <f t="shared" si="31"/>
        <v>0</v>
      </c>
      <c r="AZ26" s="79"/>
      <c r="BA26" s="102">
        <f t="shared" si="20"/>
        <v>0</v>
      </c>
      <c r="BB26" s="79"/>
      <c r="BC26" s="102">
        <f t="shared" si="21"/>
        <v>0</v>
      </c>
      <c r="BD26" s="79"/>
      <c r="BE26" s="102">
        <f t="shared" si="22"/>
        <v>0</v>
      </c>
      <c r="BF26" s="79"/>
      <c r="BG26" s="102">
        <f t="shared" si="23"/>
        <v>0</v>
      </c>
      <c r="BH26" s="79"/>
      <c r="BI26" s="102">
        <f t="shared" si="24"/>
        <v>0</v>
      </c>
      <c r="BJ26" s="79">
        <f t="shared" si="32"/>
        <v>1</v>
      </c>
      <c r="BK26" s="79">
        <f t="shared" si="32"/>
        <v>300000</v>
      </c>
      <c r="BL26" s="155" t="s">
        <v>224</v>
      </c>
      <c r="BN26" s="70"/>
      <c r="BO26" s="70"/>
      <c r="BP26" s="70">
        <f t="shared" si="33"/>
        <v>300000</v>
      </c>
      <c r="BQ26" s="70"/>
      <c r="BR26" s="70">
        <f t="shared" si="1"/>
        <v>300000</v>
      </c>
      <c r="BS26" s="70"/>
      <c r="BT26" s="70"/>
      <c r="BU26" s="75">
        <f t="shared" si="9"/>
        <v>0</v>
      </c>
      <c r="BV26" s="101">
        <f t="shared" si="2"/>
        <v>300000</v>
      </c>
    </row>
    <row r="27" spans="1:74">
      <c r="A27" s="904"/>
      <c r="B27" s="93"/>
      <c r="C27" s="323" t="s">
        <v>113</v>
      </c>
      <c r="D27" s="324" t="s">
        <v>109</v>
      </c>
      <c r="E27" s="325">
        <v>250000</v>
      </c>
      <c r="F27" s="326">
        <f t="shared" si="25"/>
        <v>2</v>
      </c>
      <c r="G27" s="78">
        <f t="shared" si="26"/>
        <v>500000</v>
      </c>
      <c r="H27" s="327">
        <f t="shared" si="11"/>
        <v>100000</v>
      </c>
      <c r="I27" s="327">
        <f t="shared" si="12"/>
        <v>400000</v>
      </c>
      <c r="J27" s="78"/>
      <c r="K27" s="78"/>
      <c r="L27" s="78"/>
      <c r="M27" s="78"/>
      <c r="N27" s="78"/>
      <c r="O27" s="78"/>
      <c r="P27" s="78"/>
      <c r="Q27" s="78"/>
      <c r="R27" s="79"/>
      <c r="S27" s="79">
        <f t="shared" si="34"/>
        <v>2</v>
      </c>
      <c r="T27" s="79"/>
      <c r="U27" s="79"/>
      <c r="V27" s="331">
        <f t="shared" si="35"/>
        <v>0</v>
      </c>
      <c r="W27" s="331">
        <f t="shared" si="36"/>
        <v>500000</v>
      </c>
      <c r="X27" s="331">
        <f t="shared" si="37"/>
        <v>0</v>
      </c>
      <c r="Y27" s="331">
        <f t="shared" si="38"/>
        <v>0</v>
      </c>
      <c r="Z27" s="79">
        <v>1</v>
      </c>
      <c r="AA27" s="79">
        <f t="shared" si="7"/>
        <v>250000</v>
      </c>
      <c r="AB27" s="79">
        <v>1</v>
      </c>
      <c r="AC27" s="102">
        <f t="shared" si="13"/>
        <v>250000</v>
      </c>
      <c r="AD27" s="79"/>
      <c r="AE27" s="102">
        <f t="shared" si="14"/>
        <v>0</v>
      </c>
      <c r="AF27" s="79"/>
      <c r="AG27" s="102">
        <f t="shared" si="15"/>
        <v>0</v>
      </c>
      <c r="AH27" s="79"/>
      <c r="AI27" s="102">
        <f t="shared" si="16"/>
        <v>0</v>
      </c>
      <c r="AJ27" s="79">
        <v>0</v>
      </c>
      <c r="AK27" s="102">
        <f t="shared" si="27"/>
        <v>0</v>
      </c>
      <c r="AL27" s="79"/>
      <c r="AM27" s="102">
        <f t="shared" si="17"/>
        <v>0</v>
      </c>
      <c r="AN27" s="79"/>
      <c r="AO27" s="102">
        <f t="shared" si="28"/>
        <v>0</v>
      </c>
      <c r="AP27" s="79"/>
      <c r="AQ27" s="102">
        <f t="shared" si="18"/>
        <v>0</v>
      </c>
      <c r="AR27" s="79"/>
      <c r="AS27" s="102">
        <f t="shared" si="19"/>
        <v>0</v>
      </c>
      <c r="AT27" s="79"/>
      <c r="AU27" s="102">
        <f t="shared" si="29"/>
        <v>0</v>
      </c>
      <c r="AV27" s="79"/>
      <c r="AW27" s="102">
        <f t="shared" si="30"/>
        <v>0</v>
      </c>
      <c r="AX27" s="79"/>
      <c r="AY27" s="102">
        <f t="shared" si="31"/>
        <v>0</v>
      </c>
      <c r="AZ27" s="79"/>
      <c r="BA27" s="102">
        <f t="shared" si="20"/>
        <v>0</v>
      </c>
      <c r="BB27" s="79"/>
      <c r="BC27" s="102">
        <f t="shared" si="21"/>
        <v>0</v>
      </c>
      <c r="BD27" s="79"/>
      <c r="BE27" s="102">
        <f t="shared" si="22"/>
        <v>0</v>
      </c>
      <c r="BF27" s="79"/>
      <c r="BG27" s="102">
        <f t="shared" si="23"/>
        <v>0</v>
      </c>
      <c r="BH27" s="79"/>
      <c r="BI27" s="102">
        <f t="shared" si="24"/>
        <v>0</v>
      </c>
      <c r="BJ27" s="79">
        <f t="shared" si="32"/>
        <v>2</v>
      </c>
      <c r="BK27" s="79">
        <f t="shared" si="32"/>
        <v>500000</v>
      </c>
      <c r="BL27" s="155" t="s">
        <v>224</v>
      </c>
      <c r="BN27" s="70"/>
      <c r="BO27" s="70"/>
      <c r="BP27" s="70">
        <f t="shared" si="33"/>
        <v>500000</v>
      </c>
      <c r="BQ27" s="70"/>
      <c r="BR27" s="70">
        <f t="shared" si="1"/>
        <v>500000</v>
      </c>
      <c r="BS27" s="70"/>
      <c r="BT27" s="70"/>
      <c r="BU27" s="75">
        <f t="shared" si="9"/>
        <v>0</v>
      </c>
      <c r="BV27" s="101">
        <f t="shared" si="2"/>
        <v>500000</v>
      </c>
    </row>
    <row r="28" spans="1:74" ht="31.5">
      <c r="A28" s="904"/>
      <c r="B28" s="93"/>
      <c r="C28" s="503" t="s">
        <v>821</v>
      </c>
      <c r="D28" s="324" t="s">
        <v>16</v>
      </c>
      <c r="E28" s="325" t="s">
        <v>481</v>
      </c>
      <c r="F28" s="326">
        <f t="shared" si="25"/>
        <v>13</v>
      </c>
      <c r="G28" s="78">
        <f t="shared" si="26"/>
        <v>2080000</v>
      </c>
      <c r="H28" s="327">
        <f t="shared" si="11"/>
        <v>416000</v>
      </c>
      <c r="I28" s="327">
        <f t="shared" si="12"/>
        <v>1664000</v>
      </c>
      <c r="J28" s="78"/>
      <c r="K28" s="78"/>
      <c r="L28" s="78"/>
      <c r="M28" s="78"/>
      <c r="N28" s="78"/>
      <c r="O28" s="78"/>
      <c r="P28" s="78"/>
      <c r="Q28" s="78"/>
      <c r="R28" s="79"/>
      <c r="S28" s="79">
        <f t="shared" si="34"/>
        <v>13</v>
      </c>
      <c r="T28" s="79"/>
      <c r="U28" s="79"/>
      <c r="V28" s="331">
        <f t="shared" si="35"/>
        <v>0</v>
      </c>
      <c r="W28" s="331">
        <f t="shared" si="36"/>
        <v>2080000</v>
      </c>
      <c r="X28" s="331">
        <f t="shared" si="37"/>
        <v>0</v>
      </c>
      <c r="Y28" s="331">
        <f t="shared" si="38"/>
        <v>0</v>
      </c>
      <c r="Z28" s="79">
        <v>1</v>
      </c>
      <c r="AA28" s="79">
        <f t="shared" si="7"/>
        <v>160000</v>
      </c>
      <c r="AB28" s="79">
        <v>1</v>
      </c>
      <c r="AC28" s="102">
        <f t="shared" si="13"/>
        <v>160000</v>
      </c>
      <c r="AD28" s="79">
        <v>0</v>
      </c>
      <c r="AE28" s="102">
        <f t="shared" si="14"/>
        <v>0</v>
      </c>
      <c r="AF28" s="79">
        <v>0</v>
      </c>
      <c r="AG28" s="102">
        <f t="shared" si="15"/>
        <v>0</v>
      </c>
      <c r="AH28" s="79">
        <v>1</v>
      </c>
      <c r="AI28" s="102">
        <f t="shared" si="16"/>
        <v>160000</v>
      </c>
      <c r="AJ28" s="79">
        <v>1</v>
      </c>
      <c r="AK28" s="102">
        <f t="shared" si="27"/>
        <v>160000</v>
      </c>
      <c r="AL28" s="79">
        <v>1</v>
      </c>
      <c r="AM28" s="102">
        <f t="shared" si="17"/>
        <v>160000</v>
      </c>
      <c r="AN28" s="79">
        <v>1</v>
      </c>
      <c r="AO28" s="102">
        <f t="shared" si="28"/>
        <v>160000</v>
      </c>
      <c r="AP28" s="79">
        <v>1</v>
      </c>
      <c r="AQ28" s="102">
        <f t="shared" si="18"/>
        <v>160000</v>
      </c>
      <c r="AR28" s="79">
        <v>1</v>
      </c>
      <c r="AS28" s="102">
        <f t="shared" si="19"/>
        <v>160000</v>
      </c>
      <c r="AT28" s="79">
        <v>1</v>
      </c>
      <c r="AU28" s="102">
        <f t="shared" si="29"/>
        <v>160000</v>
      </c>
      <c r="AV28" s="79">
        <v>1</v>
      </c>
      <c r="AW28" s="102">
        <f t="shared" si="30"/>
        <v>160000</v>
      </c>
      <c r="AX28" s="79">
        <v>1</v>
      </c>
      <c r="AY28" s="102">
        <f t="shared" si="31"/>
        <v>160000</v>
      </c>
      <c r="AZ28" s="79">
        <v>0</v>
      </c>
      <c r="BA28" s="102">
        <f t="shared" si="20"/>
        <v>0</v>
      </c>
      <c r="BB28" s="79">
        <v>1</v>
      </c>
      <c r="BC28" s="102">
        <f t="shared" si="21"/>
        <v>160000</v>
      </c>
      <c r="BD28" s="79">
        <v>0</v>
      </c>
      <c r="BE28" s="102">
        <f t="shared" si="22"/>
        <v>0</v>
      </c>
      <c r="BF28" s="79">
        <v>1</v>
      </c>
      <c r="BG28" s="102">
        <f t="shared" si="23"/>
        <v>160000</v>
      </c>
      <c r="BH28" s="79"/>
      <c r="BI28" s="102">
        <f t="shared" si="24"/>
        <v>0</v>
      </c>
      <c r="BJ28" s="79">
        <f t="shared" si="32"/>
        <v>13</v>
      </c>
      <c r="BK28" s="79">
        <f t="shared" si="32"/>
        <v>2080000</v>
      </c>
      <c r="BL28" s="155" t="s">
        <v>224</v>
      </c>
      <c r="BN28" s="70"/>
      <c r="BO28" s="70"/>
      <c r="BP28" s="70">
        <f t="shared" si="33"/>
        <v>2080000</v>
      </c>
      <c r="BQ28" s="70"/>
      <c r="BR28" s="70">
        <f t="shared" si="1"/>
        <v>2080000</v>
      </c>
      <c r="BS28" s="70"/>
      <c r="BT28" s="70"/>
      <c r="BU28" s="75">
        <f t="shared" si="9"/>
        <v>0</v>
      </c>
      <c r="BV28" s="101">
        <f t="shared" si="2"/>
        <v>2080000</v>
      </c>
    </row>
    <row r="29" spans="1:74" s="482" customFormat="1" ht="24.2" customHeight="1">
      <c r="A29" s="904"/>
      <c r="B29" s="478"/>
      <c r="C29" s="334" t="s">
        <v>488</v>
      </c>
      <c r="D29" s="479"/>
      <c r="E29" s="483"/>
      <c r="F29" s="484">
        <f>SUM(F17:F28)</f>
        <v>591</v>
      </c>
      <c r="G29" s="484">
        <f t="shared" ref="G29:BR29" si="39">SUM(G17:G28)</f>
        <v>16321000</v>
      </c>
      <c r="H29" s="484">
        <f t="shared" si="39"/>
        <v>3264200</v>
      </c>
      <c r="I29" s="484">
        <f t="shared" si="39"/>
        <v>13056800</v>
      </c>
      <c r="J29" s="484">
        <f t="shared" si="39"/>
        <v>0</v>
      </c>
      <c r="K29" s="484">
        <f t="shared" si="39"/>
        <v>0</v>
      </c>
      <c r="L29" s="484">
        <f t="shared" si="39"/>
        <v>0</v>
      </c>
      <c r="M29" s="484">
        <f t="shared" si="39"/>
        <v>0</v>
      </c>
      <c r="N29" s="484">
        <f t="shared" si="39"/>
        <v>0</v>
      </c>
      <c r="O29" s="484">
        <f t="shared" si="39"/>
        <v>0</v>
      </c>
      <c r="P29" s="484">
        <f t="shared" si="39"/>
        <v>0</v>
      </c>
      <c r="Q29" s="484">
        <f t="shared" si="39"/>
        <v>0</v>
      </c>
      <c r="R29" s="484">
        <f t="shared" si="39"/>
        <v>142</v>
      </c>
      <c r="S29" s="484">
        <f t="shared" si="39"/>
        <v>198</v>
      </c>
      <c r="T29" s="484">
        <f t="shared" si="39"/>
        <v>125</v>
      </c>
      <c r="U29" s="484">
        <f t="shared" si="39"/>
        <v>125</v>
      </c>
      <c r="V29" s="484">
        <f t="shared" si="39"/>
        <v>6562000</v>
      </c>
      <c r="W29" s="484">
        <f t="shared" si="39"/>
        <v>9327000</v>
      </c>
      <c r="X29" s="484">
        <f t="shared" si="39"/>
        <v>5712000</v>
      </c>
      <c r="Y29" s="484">
        <f t="shared" si="39"/>
        <v>5712000</v>
      </c>
      <c r="Z29" s="484">
        <f t="shared" si="39"/>
        <v>53</v>
      </c>
      <c r="AA29" s="484">
        <f t="shared" si="39"/>
        <v>1697000</v>
      </c>
      <c r="AB29" s="484">
        <f t="shared" si="39"/>
        <v>40</v>
      </c>
      <c r="AC29" s="484">
        <f t="shared" si="39"/>
        <v>1202000</v>
      </c>
      <c r="AD29" s="484">
        <f t="shared" si="39"/>
        <v>32</v>
      </c>
      <c r="AE29" s="484">
        <f t="shared" si="39"/>
        <v>777000</v>
      </c>
      <c r="AF29" s="484">
        <f t="shared" si="39"/>
        <v>32</v>
      </c>
      <c r="AG29" s="484">
        <f t="shared" si="39"/>
        <v>777000</v>
      </c>
      <c r="AH29" s="484">
        <f t="shared" si="39"/>
        <v>33</v>
      </c>
      <c r="AI29" s="484">
        <f t="shared" si="39"/>
        <v>937000</v>
      </c>
      <c r="AJ29" s="484">
        <f t="shared" si="39"/>
        <v>40</v>
      </c>
      <c r="AK29" s="484">
        <f t="shared" si="39"/>
        <v>944000</v>
      </c>
      <c r="AL29" s="484">
        <f t="shared" si="39"/>
        <v>33</v>
      </c>
      <c r="AM29" s="484">
        <f t="shared" si="39"/>
        <v>937000</v>
      </c>
      <c r="AN29" s="484">
        <f t="shared" si="39"/>
        <v>33</v>
      </c>
      <c r="AO29" s="484">
        <f t="shared" si="39"/>
        <v>937000</v>
      </c>
      <c r="AP29" s="484">
        <f t="shared" si="39"/>
        <v>33</v>
      </c>
      <c r="AQ29" s="484">
        <f t="shared" si="39"/>
        <v>937000</v>
      </c>
      <c r="AR29" s="484">
        <f t="shared" si="39"/>
        <v>33</v>
      </c>
      <c r="AS29" s="484">
        <f t="shared" si="39"/>
        <v>937000</v>
      </c>
      <c r="AT29" s="484">
        <f t="shared" si="39"/>
        <v>33</v>
      </c>
      <c r="AU29" s="484">
        <f t="shared" si="39"/>
        <v>937000</v>
      </c>
      <c r="AV29" s="484">
        <f t="shared" si="39"/>
        <v>33</v>
      </c>
      <c r="AW29" s="484">
        <f t="shared" si="39"/>
        <v>937000</v>
      </c>
      <c r="AX29" s="484">
        <f t="shared" si="39"/>
        <v>33</v>
      </c>
      <c r="AY29" s="484">
        <f t="shared" si="39"/>
        <v>937000</v>
      </c>
      <c r="AZ29" s="484">
        <f t="shared" si="39"/>
        <v>32</v>
      </c>
      <c r="BA29" s="484">
        <f t="shared" si="39"/>
        <v>777000</v>
      </c>
      <c r="BB29" s="484">
        <f t="shared" si="39"/>
        <v>33</v>
      </c>
      <c r="BC29" s="484">
        <f t="shared" si="39"/>
        <v>937000</v>
      </c>
      <c r="BD29" s="484">
        <f t="shared" si="39"/>
        <v>32</v>
      </c>
      <c r="BE29" s="484">
        <f t="shared" si="39"/>
        <v>777000</v>
      </c>
      <c r="BF29" s="484">
        <f t="shared" si="39"/>
        <v>33</v>
      </c>
      <c r="BG29" s="484">
        <f t="shared" si="39"/>
        <v>937000</v>
      </c>
      <c r="BH29" s="484">
        <f t="shared" si="39"/>
        <v>0</v>
      </c>
      <c r="BI29" s="484">
        <f t="shared" si="39"/>
        <v>0</v>
      </c>
      <c r="BJ29" s="484">
        <f t="shared" si="39"/>
        <v>591</v>
      </c>
      <c r="BK29" s="484">
        <f t="shared" si="39"/>
        <v>16321000</v>
      </c>
      <c r="BL29" s="484">
        <f t="shared" si="39"/>
        <v>0</v>
      </c>
      <c r="BM29" s="484">
        <f t="shared" si="39"/>
        <v>0</v>
      </c>
      <c r="BN29" s="484">
        <f t="shared" si="39"/>
        <v>0</v>
      </c>
      <c r="BO29" s="484">
        <f t="shared" si="39"/>
        <v>0</v>
      </c>
      <c r="BP29" s="484">
        <f t="shared" si="39"/>
        <v>4805000</v>
      </c>
      <c r="BQ29" s="484">
        <f t="shared" si="39"/>
        <v>0</v>
      </c>
      <c r="BR29" s="484">
        <f t="shared" si="39"/>
        <v>3955000</v>
      </c>
      <c r="BS29" s="484">
        <f>SUM(BS17:BS28)</f>
        <v>0</v>
      </c>
      <c r="BT29" s="484">
        <f>SUM(BT17:BT28)</f>
        <v>12366000</v>
      </c>
      <c r="BU29" s="484">
        <f>SUM(BU17:BU28)</f>
        <v>12366000</v>
      </c>
      <c r="BV29" s="484">
        <f>SUM(BV17:BV28)</f>
        <v>16321000</v>
      </c>
    </row>
    <row r="30" spans="1:74" s="90" customFormat="1">
      <c r="A30" s="904"/>
      <c r="B30" s="93"/>
      <c r="C30" s="93" t="s">
        <v>455</v>
      </c>
      <c r="D30" s="93" t="s">
        <v>471</v>
      </c>
      <c r="E30" s="100"/>
      <c r="F30" s="311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  <c r="S30" s="79"/>
      <c r="T30" s="79"/>
      <c r="U30" s="79"/>
      <c r="V30" s="331"/>
      <c r="W30" s="331"/>
      <c r="X30" s="331"/>
      <c r="Y30" s="331"/>
      <c r="Z30" s="79"/>
      <c r="AA30" s="79"/>
      <c r="AB30" s="79"/>
      <c r="AC30" s="102"/>
      <c r="AD30" s="79"/>
      <c r="AE30" s="102"/>
      <c r="AF30" s="79"/>
      <c r="AG30" s="102"/>
      <c r="AH30" s="79"/>
      <c r="AI30" s="102"/>
      <c r="AJ30" s="79"/>
      <c r="AK30" s="102"/>
      <c r="AL30" s="79"/>
      <c r="AM30" s="102"/>
      <c r="AN30" s="79"/>
      <c r="AO30" s="102"/>
      <c r="AP30" s="79"/>
      <c r="AQ30" s="102"/>
      <c r="AR30" s="79"/>
      <c r="AS30" s="102"/>
      <c r="AT30" s="79"/>
      <c r="AU30" s="102"/>
      <c r="AV30" s="79"/>
      <c r="AW30" s="102"/>
      <c r="AX30" s="79"/>
      <c r="AY30" s="102"/>
      <c r="AZ30" s="79"/>
      <c r="BA30" s="102"/>
      <c r="BB30" s="79"/>
      <c r="BC30" s="102"/>
      <c r="BD30" s="79"/>
      <c r="BE30" s="102"/>
      <c r="BF30" s="79"/>
      <c r="BG30" s="102"/>
      <c r="BH30" s="79"/>
      <c r="BI30" s="102"/>
      <c r="BJ30" s="79"/>
      <c r="BK30" s="84"/>
      <c r="BL30" s="155"/>
      <c r="BN30" s="98"/>
      <c r="BO30" s="98"/>
      <c r="BP30" s="180">
        <f>G30</f>
        <v>0</v>
      </c>
      <c r="BQ30" s="98"/>
      <c r="BR30" s="98">
        <f t="shared" ref="BR30:BR46" si="40">BN30+BO30+BP30+BQ30</f>
        <v>0</v>
      </c>
      <c r="BS30" s="98"/>
      <c r="BT30" s="98"/>
      <c r="BU30" s="91">
        <f t="shared" ref="BU30:BU53" si="41">BS30+BT30</f>
        <v>0</v>
      </c>
      <c r="BV30" s="102">
        <f t="shared" si="2"/>
        <v>0</v>
      </c>
    </row>
    <row r="31" spans="1:74">
      <c r="A31" s="904"/>
      <c r="B31" s="93"/>
      <c r="C31" s="93" t="s">
        <v>456</v>
      </c>
      <c r="D31" s="93" t="s">
        <v>471</v>
      </c>
      <c r="E31" s="100"/>
      <c r="F31" s="31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9"/>
      <c r="S31" s="79"/>
      <c r="T31" s="79"/>
      <c r="U31" s="79"/>
      <c r="V31" s="331"/>
      <c r="W31" s="331"/>
      <c r="X31" s="331"/>
      <c r="Y31" s="331"/>
      <c r="Z31" s="79"/>
      <c r="AA31" s="79"/>
      <c r="AB31" s="79"/>
      <c r="AC31" s="102"/>
      <c r="AD31" s="79"/>
      <c r="AE31" s="102"/>
      <c r="AF31" s="79"/>
      <c r="AG31" s="102"/>
      <c r="AH31" s="79"/>
      <c r="AI31" s="102"/>
      <c r="AJ31" s="79"/>
      <c r="AK31" s="102"/>
      <c r="AL31" s="79"/>
      <c r="AM31" s="102"/>
      <c r="AN31" s="79"/>
      <c r="AO31" s="102"/>
      <c r="AP31" s="79"/>
      <c r="AQ31" s="102"/>
      <c r="AR31" s="79"/>
      <c r="AS31" s="102"/>
      <c r="AT31" s="79"/>
      <c r="AU31" s="102"/>
      <c r="AV31" s="79"/>
      <c r="AW31" s="102"/>
      <c r="AX31" s="79"/>
      <c r="AY31" s="102"/>
      <c r="AZ31" s="79"/>
      <c r="BA31" s="102"/>
      <c r="BB31" s="79"/>
      <c r="BC31" s="102"/>
      <c r="BD31" s="79"/>
      <c r="BE31" s="102"/>
      <c r="BF31" s="79"/>
      <c r="BG31" s="102"/>
      <c r="BH31" s="79"/>
      <c r="BI31" s="102"/>
      <c r="BJ31" s="79"/>
      <c r="BK31" s="84"/>
      <c r="BL31" s="155"/>
      <c r="BN31" s="70"/>
      <c r="BO31" s="70"/>
      <c r="BP31" s="137">
        <f>G31</f>
        <v>0</v>
      </c>
      <c r="BQ31" s="70"/>
      <c r="BR31" s="70">
        <f t="shared" si="40"/>
        <v>0</v>
      </c>
      <c r="BS31" s="70"/>
      <c r="BT31" s="70"/>
      <c r="BU31" s="75">
        <f t="shared" si="41"/>
        <v>0</v>
      </c>
      <c r="BV31" s="101">
        <f t="shared" si="2"/>
        <v>0</v>
      </c>
    </row>
    <row r="32" spans="1:74">
      <c r="A32" s="904"/>
      <c r="B32" s="93"/>
      <c r="C32" s="93" t="s">
        <v>457</v>
      </c>
      <c r="D32" s="93" t="s">
        <v>471</v>
      </c>
      <c r="E32" s="100"/>
      <c r="F32" s="311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  <c r="S32" s="79"/>
      <c r="T32" s="79"/>
      <c r="U32" s="79"/>
      <c r="V32" s="331"/>
      <c r="W32" s="331"/>
      <c r="X32" s="331"/>
      <c r="Y32" s="331"/>
      <c r="Z32" s="79"/>
      <c r="AA32" s="79"/>
      <c r="AB32" s="79"/>
      <c r="AC32" s="102"/>
      <c r="AD32" s="79"/>
      <c r="AE32" s="102"/>
      <c r="AF32" s="79"/>
      <c r="AG32" s="102"/>
      <c r="AH32" s="79"/>
      <c r="AI32" s="102"/>
      <c r="AJ32" s="79"/>
      <c r="AK32" s="102"/>
      <c r="AL32" s="79"/>
      <c r="AM32" s="102"/>
      <c r="AN32" s="79"/>
      <c r="AO32" s="102"/>
      <c r="AP32" s="79"/>
      <c r="AQ32" s="102"/>
      <c r="AR32" s="79"/>
      <c r="AS32" s="102"/>
      <c r="AT32" s="79"/>
      <c r="AU32" s="102"/>
      <c r="AV32" s="79"/>
      <c r="AW32" s="102"/>
      <c r="AX32" s="79"/>
      <c r="AY32" s="102"/>
      <c r="AZ32" s="79"/>
      <c r="BA32" s="102"/>
      <c r="BB32" s="79"/>
      <c r="BC32" s="102"/>
      <c r="BD32" s="79"/>
      <c r="BE32" s="102"/>
      <c r="BF32" s="79"/>
      <c r="BG32" s="102"/>
      <c r="BH32" s="79"/>
      <c r="BI32" s="102"/>
      <c r="BJ32" s="79"/>
      <c r="BK32" s="84"/>
      <c r="BL32" s="155"/>
      <c r="BN32" s="70"/>
      <c r="BO32" s="70"/>
      <c r="BP32" s="137">
        <f>G32</f>
        <v>0</v>
      </c>
      <c r="BQ32" s="70"/>
      <c r="BR32" s="70">
        <f t="shared" si="40"/>
        <v>0</v>
      </c>
      <c r="BS32" s="70"/>
      <c r="BT32" s="70"/>
      <c r="BU32" s="75">
        <f t="shared" si="41"/>
        <v>0</v>
      </c>
      <c r="BV32" s="101">
        <f t="shared" si="2"/>
        <v>0</v>
      </c>
    </row>
    <row r="33" spans="1:74" s="90" customFormat="1">
      <c r="A33" s="904"/>
      <c r="B33" s="93"/>
      <c r="C33" s="323" t="s">
        <v>458</v>
      </c>
      <c r="D33" s="93" t="s">
        <v>471</v>
      </c>
      <c r="E33" s="325">
        <v>53000</v>
      </c>
      <c r="F33" s="311">
        <f>BJ33</f>
        <v>204</v>
      </c>
      <c r="G33" s="78">
        <f>F33*E33</f>
        <v>10812000</v>
      </c>
      <c r="H33" s="78">
        <f>G33*0.5</f>
        <v>5406000</v>
      </c>
      <c r="I33" s="78">
        <f>G33*0.5</f>
        <v>5406000</v>
      </c>
      <c r="J33" s="78"/>
      <c r="K33" s="78"/>
      <c r="L33" s="78"/>
      <c r="M33" s="78"/>
      <c r="N33" s="78"/>
      <c r="O33" s="78"/>
      <c r="P33" s="78"/>
      <c r="Q33" s="78"/>
      <c r="R33" s="79">
        <f>F33*0.25</f>
        <v>51</v>
      </c>
      <c r="S33" s="79">
        <f>F33*0.25</f>
        <v>51</v>
      </c>
      <c r="T33" s="79">
        <f>F33*0.25</f>
        <v>51</v>
      </c>
      <c r="U33" s="79">
        <f>F33*0.25</f>
        <v>51</v>
      </c>
      <c r="V33" s="331">
        <f t="shared" si="35"/>
        <v>2703000</v>
      </c>
      <c r="W33" s="331">
        <f t="shared" si="36"/>
        <v>2703000</v>
      </c>
      <c r="X33" s="331">
        <f t="shared" si="37"/>
        <v>2703000</v>
      </c>
      <c r="Y33" s="331">
        <f t="shared" si="38"/>
        <v>2703000</v>
      </c>
      <c r="Z33" s="79">
        <v>12</v>
      </c>
      <c r="AA33" s="79">
        <f t="shared" ref="AA33:AA46" si="42">Z33*E33</f>
        <v>636000</v>
      </c>
      <c r="AB33" s="79">
        <v>12</v>
      </c>
      <c r="AC33" s="102">
        <f t="shared" ref="AC33:AC46" si="43">AB33*E33</f>
        <v>636000</v>
      </c>
      <c r="AD33" s="79">
        <v>12</v>
      </c>
      <c r="AE33" s="102">
        <f t="shared" ref="AE33:AE46" si="44">AD33*E33</f>
        <v>636000</v>
      </c>
      <c r="AF33" s="79">
        <v>12</v>
      </c>
      <c r="AG33" s="102">
        <f t="shared" ref="AG33:AG46" si="45">AF33*E33</f>
        <v>636000</v>
      </c>
      <c r="AH33" s="79">
        <v>12</v>
      </c>
      <c r="AI33" s="102">
        <f t="shared" ref="AI33:AI46" si="46">AH33*E33</f>
        <v>636000</v>
      </c>
      <c r="AJ33" s="79">
        <v>12</v>
      </c>
      <c r="AK33" s="102">
        <f>AJ33*E33</f>
        <v>636000</v>
      </c>
      <c r="AL33" s="79">
        <v>12</v>
      </c>
      <c r="AM33" s="102">
        <f t="shared" ref="AM33:AM46" si="47">AL33*E33</f>
        <v>636000</v>
      </c>
      <c r="AN33" s="79">
        <v>12</v>
      </c>
      <c r="AO33" s="102">
        <f>AN33*E33</f>
        <v>636000</v>
      </c>
      <c r="AP33" s="79">
        <v>12</v>
      </c>
      <c r="AQ33" s="102">
        <f t="shared" ref="AQ33:AQ46" si="48">AP33*E33</f>
        <v>636000</v>
      </c>
      <c r="AR33" s="79">
        <v>12</v>
      </c>
      <c r="AS33" s="102">
        <f t="shared" ref="AS33:AS46" si="49">AR33*E33</f>
        <v>636000</v>
      </c>
      <c r="AT33" s="79">
        <v>12</v>
      </c>
      <c r="AU33" s="102">
        <f>AT33*E33</f>
        <v>636000</v>
      </c>
      <c r="AV33" s="79">
        <v>12</v>
      </c>
      <c r="AW33" s="102">
        <f>AV33*E33</f>
        <v>636000</v>
      </c>
      <c r="AX33" s="79">
        <v>12</v>
      </c>
      <c r="AY33" s="102">
        <f>AX33*E33</f>
        <v>636000</v>
      </c>
      <c r="AZ33" s="79">
        <v>12</v>
      </c>
      <c r="BA33" s="102">
        <f t="shared" ref="BA33:BA46" si="50">AZ33*E33</f>
        <v>636000</v>
      </c>
      <c r="BB33" s="79">
        <v>12</v>
      </c>
      <c r="BC33" s="102">
        <f t="shared" ref="BC33:BC46" si="51">BB33*E33</f>
        <v>636000</v>
      </c>
      <c r="BD33" s="79">
        <v>12</v>
      </c>
      <c r="BE33" s="102">
        <f t="shared" ref="BE33:BE46" si="52">BD33*E33</f>
        <v>636000</v>
      </c>
      <c r="BF33" s="79">
        <v>12</v>
      </c>
      <c r="BG33" s="102">
        <f t="shared" ref="BG33:BG46" si="53">BF33*E33</f>
        <v>636000</v>
      </c>
      <c r="BH33" s="79"/>
      <c r="BI33" s="102">
        <f t="shared" ref="BI33:BI46" si="54">BH33*E33</f>
        <v>0</v>
      </c>
      <c r="BJ33" s="79">
        <f t="shared" ref="BJ33:BK46" si="55">BH33+BF33+BD33+BB33+AZ33+AX33+AV33+AT33+AR33+AP33+AN33+AL33+AJ33+AH33+AF33+AD33+AB33+Z33</f>
        <v>204</v>
      </c>
      <c r="BK33" s="79">
        <f t="shared" si="55"/>
        <v>10812000</v>
      </c>
      <c r="BL33" s="155" t="s">
        <v>226</v>
      </c>
      <c r="BN33" s="98"/>
      <c r="BO33" s="98"/>
      <c r="BP33" s="180"/>
      <c r="BQ33" s="98"/>
      <c r="BR33" s="98">
        <f t="shared" si="40"/>
        <v>0</v>
      </c>
      <c r="BS33" s="98">
        <f>G33</f>
        <v>10812000</v>
      </c>
      <c r="BT33" s="98"/>
      <c r="BU33" s="75">
        <f t="shared" si="41"/>
        <v>10812000</v>
      </c>
      <c r="BV33" s="101">
        <f t="shared" si="2"/>
        <v>10812000</v>
      </c>
    </row>
    <row r="34" spans="1:74" s="90" customFormat="1">
      <c r="A34" s="904"/>
      <c r="B34" s="93"/>
      <c r="C34" s="323" t="s">
        <v>142</v>
      </c>
      <c r="D34" s="93" t="s">
        <v>471</v>
      </c>
      <c r="E34" s="325">
        <v>53000</v>
      </c>
      <c r="F34" s="311">
        <f t="shared" ref="F34:F46" si="56">BJ34</f>
        <v>204</v>
      </c>
      <c r="G34" s="78">
        <f t="shared" ref="G34:G46" si="57">F34*E34</f>
        <v>10812000</v>
      </c>
      <c r="H34" s="78">
        <f t="shared" ref="H34:H45" si="58">G34*0.5</f>
        <v>5406000</v>
      </c>
      <c r="I34" s="78">
        <f t="shared" ref="I34:I45" si="59">G34*0.5</f>
        <v>5406000</v>
      </c>
      <c r="J34" s="78"/>
      <c r="K34" s="78"/>
      <c r="L34" s="78"/>
      <c r="M34" s="78"/>
      <c r="N34" s="78"/>
      <c r="O34" s="78"/>
      <c r="P34" s="78"/>
      <c r="Q34" s="78"/>
      <c r="R34" s="79">
        <f t="shared" ref="R34:R46" si="60">F34*0.25</f>
        <v>51</v>
      </c>
      <c r="S34" s="79">
        <f t="shared" ref="S34:S46" si="61">F34*0.25</f>
        <v>51</v>
      </c>
      <c r="T34" s="79">
        <f t="shared" ref="T34:T46" si="62">F34*0.25</f>
        <v>51</v>
      </c>
      <c r="U34" s="79">
        <f t="shared" ref="U34:U46" si="63">F34*0.25</f>
        <v>51</v>
      </c>
      <c r="V34" s="331">
        <f t="shared" si="35"/>
        <v>2703000</v>
      </c>
      <c r="W34" s="331">
        <f t="shared" si="36"/>
        <v>2703000</v>
      </c>
      <c r="X34" s="331">
        <f t="shared" si="37"/>
        <v>2703000</v>
      </c>
      <c r="Y34" s="331">
        <f t="shared" si="38"/>
        <v>2703000</v>
      </c>
      <c r="Z34" s="79">
        <v>12</v>
      </c>
      <c r="AA34" s="79">
        <f t="shared" si="42"/>
        <v>636000</v>
      </c>
      <c r="AB34" s="79">
        <v>12</v>
      </c>
      <c r="AC34" s="102">
        <f t="shared" si="43"/>
        <v>636000</v>
      </c>
      <c r="AD34" s="79">
        <v>12</v>
      </c>
      <c r="AE34" s="102">
        <f t="shared" si="44"/>
        <v>636000</v>
      </c>
      <c r="AF34" s="79">
        <v>12</v>
      </c>
      <c r="AG34" s="102">
        <f t="shared" si="45"/>
        <v>636000</v>
      </c>
      <c r="AH34" s="79">
        <v>12</v>
      </c>
      <c r="AI34" s="102">
        <f t="shared" si="46"/>
        <v>636000</v>
      </c>
      <c r="AJ34" s="79">
        <v>12</v>
      </c>
      <c r="AK34" s="102">
        <f t="shared" ref="AK34:AK46" si="64">AJ34*E34</f>
        <v>636000</v>
      </c>
      <c r="AL34" s="79">
        <v>12</v>
      </c>
      <c r="AM34" s="102">
        <f t="shared" si="47"/>
        <v>636000</v>
      </c>
      <c r="AN34" s="79">
        <v>12</v>
      </c>
      <c r="AO34" s="102">
        <f t="shared" ref="AO34:AO46" si="65">AN34*E34</f>
        <v>636000</v>
      </c>
      <c r="AP34" s="79">
        <v>12</v>
      </c>
      <c r="AQ34" s="102">
        <f t="shared" si="48"/>
        <v>636000</v>
      </c>
      <c r="AR34" s="79">
        <v>12</v>
      </c>
      <c r="AS34" s="102">
        <f t="shared" si="49"/>
        <v>636000</v>
      </c>
      <c r="AT34" s="79">
        <v>12</v>
      </c>
      <c r="AU34" s="102">
        <f t="shared" ref="AU34:AU46" si="66">AT34*E34</f>
        <v>636000</v>
      </c>
      <c r="AV34" s="79">
        <v>12</v>
      </c>
      <c r="AW34" s="102">
        <f t="shared" ref="AW34:AW46" si="67">AV34*E34</f>
        <v>636000</v>
      </c>
      <c r="AX34" s="79">
        <v>12</v>
      </c>
      <c r="AY34" s="102">
        <f t="shared" ref="AY34:AY46" si="68">AX34*E34</f>
        <v>636000</v>
      </c>
      <c r="AZ34" s="79">
        <v>12</v>
      </c>
      <c r="BA34" s="102">
        <f t="shared" si="50"/>
        <v>636000</v>
      </c>
      <c r="BB34" s="79">
        <v>12</v>
      </c>
      <c r="BC34" s="102">
        <f t="shared" si="51"/>
        <v>636000</v>
      </c>
      <c r="BD34" s="79">
        <v>12</v>
      </c>
      <c r="BE34" s="102">
        <f t="shared" si="52"/>
        <v>636000</v>
      </c>
      <c r="BF34" s="79">
        <v>12</v>
      </c>
      <c r="BG34" s="102">
        <f t="shared" si="53"/>
        <v>636000</v>
      </c>
      <c r="BH34" s="79"/>
      <c r="BI34" s="102">
        <f t="shared" si="54"/>
        <v>0</v>
      </c>
      <c r="BJ34" s="79">
        <f t="shared" si="55"/>
        <v>204</v>
      </c>
      <c r="BK34" s="79">
        <f t="shared" si="55"/>
        <v>10812000</v>
      </c>
      <c r="BL34" s="155" t="s">
        <v>226</v>
      </c>
      <c r="BN34" s="98"/>
      <c r="BO34" s="98"/>
      <c r="BP34" s="180"/>
      <c r="BQ34" s="98"/>
      <c r="BR34" s="98">
        <f t="shared" si="40"/>
        <v>0</v>
      </c>
      <c r="BS34" s="98">
        <f t="shared" ref="BS34:BS46" si="69">G34</f>
        <v>10812000</v>
      </c>
      <c r="BT34" s="98"/>
      <c r="BU34" s="75">
        <f t="shared" si="41"/>
        <v>10812000</v>
      </c>
      <c r="BV34" s="101">
        <f t="shared" si="2"/>
        <v>10812000</v>
      </c>
    </row>
    <row r="35" spans="1:74" s="90" customFormat="1">
      <c r="A35" s="904"/>
      <c r="B35" s="93"/>
      <c r="C35" s="323" t="s">
        <v>459</v>
      </c>
      <c r="D35" s="93" t="s">
        <v>471</v>
      </c>
      <c r="E35" s="325">
        <v>53000</v>
      </c>
      <c r="F35" s="311">
        <f t="shared" si="56"/>
        <v>170</v>
      </c>
      <c r="G35" s="78">
        <f t="shared" si="57"/>
        <v>9010000</v>
      </c>
      <c r="H35" s="78">
        <f t="shared" si="58"/>
        <v>4505000</v>
      </c>
      <c r="I35" s="78">
        <f t="shared" si="59"/>
        <v>4505000</v>
      </c>
      <c r="J35" s="78"/>
      <c r="K35" s="78"/>
      <c r="L35" s="78"/>
      <c r="M35" s="78"/>
      <c r="N35" s="78"/>
      <c r="O35" s="78"/>
      <c r="P35" s="78"/>
      <c r="Q35" s="78"/>
      <c r="R35" s="79">
        <f t="shared" si="60"/>
        <v>42.5</v>
      </c>
      <c r="S35" s="79">
        <f t="shared" si="61"/>
        <v>42.5</v>
      </c>
      <c r="T35" s="79">
        <f t="shared" si="62"/>
        <v>42.5</v>
      </c>
      <c r="U35" s="79">
        <f t="shared" si="63"/>
        <v>42.5</v>
      </c>
      <c r="V35" s="331">
        <f t="shared" si="35"/>
        <v>2252500</v>
      </c>
      <c r="W35" s="331">
        <f t="shared" si="36"/>
        <v>2252500</v>
      </c>
      <c r="X35" s="331">
        <f t="shared" si="37"/>
        <v>2252500</v>
      </c>
      <c r="Y35" s="331">
        <f t="shared" si="38"/>
        <v>2252500</v>
      </c>
      <c r="Z35" s="79">
        <v>10</v>
      </c>
      <c r="AA35" s="79">
        <f t="shared" si="42"/>
        <v>530000</v>
      </c>
      <c r="AB35" s="79">
        <v>10</v>
      </c>
      <c r="AC35" s="102">
        <f t="shared" si="43"/>
        <v>530000</v>
      </c>
      <c r="AD35" s="79">
        <v>10</v>
      </c>
      <c r="AE35" s="102">
        <f t="shared" si="44"/>
        <v>530000</v>
      </c>
      <c r="AF35" s="79">
        <v>10</v>
      </c>
      <c r="AG35" s="102">
        <f t="shared" si="45"/>
        <v>530000</v>
      </c>
      <c r="AH35" s="79">
        <v>10</v>
      </c>
      <c r="AI35" s="102">
        <f t="shared" si="46"/>
        <v>530000</v>
      </c>
      <c r="AJ35" s="79">
        <v>10</v>
      </c>
      <c r="AK35" s="102">
        <f t="shared" si="64"/>
        <v>530000</v>
      </c>
      <c r="AL35" s="79">
        <v>10</v>
      </c>
      <c r="AM35" s="102">
        <f t="shared" si="47"/>
        <v>530000</v>
      </c>
      <c r="AN35" s="79">
        <v>10</v>
      </c>
      <c r="AO35" s="102">
        <f t="shared" si="65"/>
        <v>530000</v>
      </c>
      <c r="AP35" s="79">
        <v>10</v>
      </c>
      <c r="AQ35" s="102">
        <f t="shared" si="48"/>
        <v>530000</v>
      </c>
      <c r="AR35" s="79">
        <v>10</v>
      </c>
      <c r="AS35" s="102">
        <f t="shared" si="49"/>
        <v>530000</v>
      </c>
      <c r="AT35" s="79">
        <v>10</v>
      </c>
      <c r="AU35" s="102">
        <f t="shared" si="66"/>
        <v>530000</v>
      </c>
      <c r="AV35" s="79">
        <v>10</v>
      </c>
      <c r="AW35" s="102">
        <f t="shared" si="67"/>
        <v>530000</v>
      </c>
      <c r="AX35" s="79">
        <v>10</v>
      </c>
      <c r="AY35" s="102">
        <f t="shared" si="68"/>
        <v>530000</v>
      </c>
      <c r="AZ35" s="79">
        <v>10</v>
      </c>
      <c r="BA35" s="102">
        <f t="shared" si="50"/>
        <v>530000</v>
      </c>
      <c r="BB35" s="79">
        <v>10</v>
      </c>
      <c r="BC35" s="102">
        <f t="shared" si="51"/>
        <v>530000</v>
      </c>
      <c r="BD35" s="79">
        <v>10</v>
      </c>
      <c r="BE35" s="102">
        <f t="shared" si="52"/>
        <v>530000</v>
      </c>
      <c r="BF35" s="79">
        <v>10</v>
      </c>
      <c r="BG35" s="102">
        <f t="shared" si="53"/>
        <v>530000</v>
      </c>
      <c r="BH35" s="79"/>
      <c r="BI35" s="102">
        <f t="shared" si="54"/>
        <v>0</v>
      </c>
      <c r="BJ35" s="79">
        <f t="shared" si="55"/>
        <v>170</v>
      </c>
      <c r="BK35" s="79">
        <f t="shared" si="55"/>
        <v>9010000</v>
      </c>
      <c r="BL35" s="155" t="s">
        <v>226</v>
      </c>
      <c r="BN35" s="98"/>
      <c r="BO35" s="98"/>
      <c r="BP35" s="180"/>
      <c r="BQ35" s="98"/>
      <c r="BR35" s="98">
        <f t="shared" si="40"/>
        <v>0</v>
      </c>
      <c r="BS35" s="98">
        <f t="shared" si="69"/>
        <v>9010000</v>
      </c>
      <c r="BT35" s="98"/>
      <c r="BU35" s="75">
        <f t="shared" si="41"/>
        <v>9010000</v>
      </c>
      <c r="BV35" s="101">
        <f t="shared" si="2"/>
        <v>9010000</v>
      </c>
    </row>
    <row r="36" spans="1:74">
      <c r="A36" s="904"/>
      <c r="B36" s="93"/>
      <c r="C36" s="323" t="s">
        <v>460</v>
      </c>
      <c r="D36" s="93" t="s">
        <v>471</v>
      </c>
      <c r="E36" s="325">
        <v>50000</v>
      </c>
      <c r="F36" s="311">
        <f t="shared" si="56"/>
        <v>0</v>
      </c>
      <c r="G36" s="78">
        <f t="shared" si="57"/>
        <v>0</v>
      </c>
      <c r="H36" s="78">
        <f t="shared" si="58"/>
        <v>0</v>
      </c>
      <c r="I36" s="78">
        <f t="shared" si="59"/>
        <v>0</v>
      </c>
      <c r="J36" s="78"/>
      <c r="K36" s="78"/>
      <c r="L36" s="78"/>
      <c r="M36" s="78"/>
      <c r="N36" s="78"/>
      <c r="O36" s="78"/>
      <c r="P36" s="78"/>
      <c r="Q36" s="78"/>
      <c r="R36" s="79">
        <f t="shared" si="60"/>
        <v>0</v>
      </c>
      <c r="S36" s="79">
        <f t="shared" si="61"/>
        <v>0</v>
      </c>
      <c r="T36" s="79">
        <f t="shared" si="62"/>
        <v>0</v>
      </c>
      <c r="U36" s="79">
        <f t="shared" si="63"/>
        <v>0</v>
      </c>
      <c r="V36" s="331">
        <f t="shared" si="35"/>
        <v>0</v>
      </c>
      <c r="W36" s="331">
        <f t="shared" si="36"/>
        <v>0</v>
      </c>
      <c r="X36" s="331">
        <f t="shared" si="37"/>
        <v>0</v>
      </c>
      <c r="Y36" s="331">
        <f t="shared" si="38"/>
        <v>0</v>
      </c>
      <c r="Z36" s="79">
        <v>0</v>
      </c>
      <c r="AA36" s="79">
        <f t="shared" si="42"/>
        <v>0</v>
      </c>
      <c r="AB36" s="79">
        <v>0</v>
      </c>
      <c r="AC36" s="102">
        <f t="shared" si="43"/>
        <v>0</v>
      </c>
      <c r="AD36" s="79">
        <v>0</v>
      </c>
      <c r="AE36" s="102">
        <f t="shared" si="44"/>
        <v>0</v>
      </c>
      <c r="AF36" s="79">
        <v>0</v>
      </c>
      <c r="AG36" s="102">
        <f t="shared" si="45"/>
        <v>0</v>
      </c>
      <c r="AH36" s="79">
        <v>0</v>
      </c>
      <c r="AI36" s="102">
        <f t="shared" si="46"/>
        <v>0</v>
      </c>
      <c r="AJ36" s="79">
        <v>0</v>
      </c>
      <c r="AK36" s="102">
        <f t="shared" si="64"/>
        <v>0</v>
      </c>
      <c r="AL36" s="79">
        <v>0</v>
      </c>
      <c r="AM36" s="102">
        <f t="shared" si="47"/>
        <v>0</v>
      </c>
      <c r="AN36" s="79">
        <v>0</v>
      </c>
      <c r="AO36" s="102">
        <f t="shared" si="65"/>
        <v>0</v>
      </c>
      <c r="AP36" s="79">
        <v>0</v>
      </c>
      <c r="AQ36" s="102">
        <f t="shared" si="48"/>
        <v>0</v>
      </c>
      <c r="AR36" s="79">
        <v>0</v>
      </c>
      <c r="AS36" s="102">
        <f t="shared" si="49"/>
        <v>0</v>
      </c>
      <c r="AT36" s="79">
        <v>0</v>
      </c>
      <c r="AU36" s="102">
        <f t="shared" si="66"/>
        <v>0</v>
      </c>
      <c r="AV36" s="79">
        <v>0</v>
      </c>
      <c r="AW36" s="102">
        <f t="shared" si="67"/>
        <v>0</v>
      </c>
      <c r="AX36" s="79">
        <v>0</v>
      </c>
      <c r="AY36" s="102">
        <f t="shared" si="68"/>
        <v>0</v>
      </c>
      <c r="AZ36" s="79">
        <v>0</v>
      </c>
      <c r="BA36" s="102">
        <f t="shared" si="50"/>
        <v>0</v>
      </c>
      <c r="BB36" s="79">
        <v>0</v>
      </c>
      <c r="BC36" s="102">
        <f t="shared" si="51"/>
        <v>0</v>
      </c>
      <c r="BD36" s="79">
        <v>0</v>
      </c>
      <c r="BE36" s="102">
        <f t="shared" si="52"/>
        <v>0</v>
      </c>
      <c r="BF36" s="79">
        <v>0</v>
      </c>
      <c r="BG36" s="102">
        <f t="shared" si="53"/>
        <v>0</v>
      </c>
      <c r="BH36" s="79"/>
      <c r="BI36" s="102">
        <f t="shared" si="54"/>
        <v>0</v>
      </c>
      <c r="BJ36" s="79">
        <f t="shared" si="55"/>
        <v>0</v>
      </c>
      <c r="BK36" s="79">
        <f t="shared" si="55"/>
        <v>0</v>
      </c>
      <c r="BL36" s="155" t="s">
        <v>226</v>
      </c>
      <c r="BN36" s="70"/>
      <c r="BO36" s="70"/>
      <c r="BP36" s="137"/>
      <c r="BQ36" s="70"/>
      <c r="BR36" s="70">
        <f t="shared" si="40"/>
        <v>0</v>
      </c>
      <c r="BS36" s="98">
        <f t="shared" si="69"/>
        <v>0</v>
      </c>
      <c r="BT36" s="70"/>
      <c r="BU36" s="75">
        <f t="shared" si="41"/>
        <v>0</v>
      </c>
      <c r="BV36" s="101">
        <f t="shared" si="2"/>
        <v>0</v>
      </c>
    </row>
    <row r="37" spans="1:74">
      <c r="A37" s="904"/>
      <c r="B37" s="93"/>
      <c r="C37" s="323" t="s">
        <v>716</v>
      </c>
      <c r="D37" s="93" t="s">
        <v>471</v>
      </c>
      <c r="E37" s="325">
        <v>15000</v>
      </c>
      <c r="F37" s="311">
        <f t="shared" si="56"/>
        <v>0</v>
      </c>
      <c r="G37" s="78">
        <f t="shared" si="57"/>
        <v>0</v>
      </c>
      <c r="H37" s="78">
        <f t="shared" si="58"/>
        <v>0</v>
      </c>
      <c r="I37" s="78">
        <f t="shared" si="59"/>
        <v>0</v>
      </c>
      <c r="J37" s="78"/>
      <c r="K37" s="78"/>
      <c r="L37" s="78"/>
      <c r="M37" s="78"/>
      <c r="N37" s="78"/>
      <c r="O37" s="78"/>
      <c r="P37" s="78"/>
      <c r="Q37" s="78"/>
      <c r="R37" s="79">
        <f t="shared" si="60"/>
        <v>0</v>
      </c>
      <c r="S37" s="79">
        <f t="shared" si="61"/>
        <v>0</v>
      </c>
      <c r="T37" s="79">
        <f t="shared" si="62"/>
        <v>0</v>
      </c>
      <c r="U37" s="79">
        <f t="shared" si="63"/>
        <v>0</v>
      </c>
      <c r="V37" s="331">
        <f t="shared" si="35"/>
        <v>0</v>
      </c>
      <c r="W37" s="331">
        <f t="shared" si="36"/>
        <v>0</v>
      </c>
      <c r="X37" s="331">
        <f t="shared" si="37"/>
        <v>0</v>
      </c>
      <c r="Y37" s="331">
        <f t="shared" si="38"/>
        <v>0</v>
      </c>
      <c r="Z37" s="79">
        <v>0</v>
      </c>
      <c r="AA37" s="79">
        <f t="shared" si="42"/>
        <v>0</v>
      </c>
      <c r="AB37" s="79">
        <v>0</v>
      </c>
      <c r="AC37" s="102">
        <f t="shared" si="43"/>
        <v>0</v>
      </c>
      <c r="AD37" s="79">
        <v>0</v>
      </c>
      <c r="AE37" s="102">
        <f t="shared" si="44"/>
        <v>0</v>
      </c>
      <c r="AF37" s="79">
        <v>0</v>
      </c>
      <c r="AG37" s="102">
        <f t="shared" si="45"/>
        <v>0</v>
      </c>
      <c r="AH37" s="79">
        <v>0</v>
      </c>
      <c r="AI37" s="102">
        <f t="shared" si="46"/>
        <v>0</v>
      </c>
      <c r="AJ37" s="79">
        <v>0</v>
      </c>
      <c r="AK37" s="102">
        <f t="shared" si="64"/>
        <v>0</v>
      </c>
      <c r="AL37" s="79">
        <v>0</v>
      </c>
      <c r="AM37" s="102">
        <f t="shared" si="47"/>
        <v>0</v>
      </c>
      <c r="AN37" s="79">
        <v>0</v>
      </c>
      <c r="AO37" s="102">
        <f t="shared" si="65"/>
        <v>0</v>
      </c>
      <c r="AP37" s="79">
        <v>0</v>
      </c>
      <c r="AQ37" s="102">
        <f t="shared" si="48"/>
        <v>0</v>
      </c>
      <c r="AR37" s="79">
        <v>0</v>
      </c>
      <c r="AS37" s="102">
        <f t="shared" si="49"/>
        <v>0</v>
      </c>
      <c r="AT37" s="79">
        <v>0</v>
      </c>
      <c r="AU37" s="102">
        <f t="shared" si="66"/>
        <v>0</v>
      </c>
      <c r="AV37" s="79">
        <v>0</v>
      </c>
      <c r="AW37" s="102">
        <f t="shared" si="67"/>
        <v>0</v>
      </c>
      <c r="AX37" s="79">
        <v>0</v>
      </c>
      <c r="AY37" s="102">
        <f t="shared" si="68"/>
        <v>0</v>
      </c>
      <c r="AZ37" s="79">
        <v>0</v>
      </c>
      <c r="BA37" s="102">
        <f t="shared" si="50"/>
        <v>0</v>
      </c>
      <c r="BB37" s="79">
        <v>0</v>
      </c>
      <c r="BC37" s="102">
        <f t="shared" si="51"/>
        <v>0</v>
      </c>
      <c r="BD37" s="79">
        <v>0</v>
      </c>
      <c r="BE37" s="102">
        <f t="shared" si="52"/>
        <v>0</v>
      </c>
      <c r="BF37" s="79">
        <v>0</v>
      </c>
      <c r="BG37" s="102">
        <f t="shared" si="53"/>
        <v>0</v>
      </c>
      <c r="BH37" s="79"/>
      <c r="BI37" s="102">
        <f t="shared" si="54"/>
        <v>0</v>
      </c>
      <c r="BJ37" s="79">
        <f t="shared" si="55"/>
        <v>0</v>
      </c>
      <c r="BK37" s="79">
        <f t="shared" si="55"/>
        <v>0</v>
      </c>
      <c r="BL37" s="155" t="s">
        <v>226</v>
      </c>
      <c r="BN37" s="70"/>
      <c r="BO37" s="70"/>
      <c r="BP37" s="137"/>
      <c r="BQ37" s="70"/>
      <c r="BR37" s="70">
        <f t="shared" si="40"/>
        <v>0</v>
      </c>
      <c r="BS37" s="98">
        <f t="shared" si="69"/>
        <v>0</v>
      </c>
      <c r="BT37" s="70"/>
      <c r="BU37" s="75">
        <f t="shared" si="41"/>
        <v>0</v>
      </c>
      <c r="BV37" s="101">
        <f t="shared" si="2"/>
        <v>0</v>
      </c>
    </row>
    <row r="38" spans="1:74" s="48" customFormat="1">
      <c r="A38" s="904"/>
      <c r="B38" s="93"/>
      <c r="C38" s="323" t="s">
        <v>461</v>
      </c>
      <c r="D38" s="93" t="s">
        <v>471</v>
      </c>
      <c r="E38" s="325">
        <v>32000</v>
      </c>
      <c r="F38" s="311">
        <f t="shared" si="56"/>
        <v>204</v>
      </c>
      <c r="G38" s="78">
        <f t="shared" si="57"/>
        <v>6528000</v>
      </c>
      <c r="H38" s="78">
        <f t="shared" si="58"/>
        <v>3264000</v>
      </c>
      <c r="I38" s="78">
        <f t="shared" si="59"/>
        <v>3264000</v>
      </c>
      <c r="J38" s="78"/>
      <c r="K38" s="78"/>
      <c r="L38" s="78"/>
      <c r="M38" s="78"/>
      <c r="N38" s="78"/>
      <c r="O38" s="78"/>
      <c r="P38" s="78"/>
      <c r="Q38" s="78"/>
      <c r="R38" s="79">
        <f t="shared" si="60"/>
        <v>51</v>
      </c>
      <c r="S38" s="79">
        <f t="shared" si="61"/>
        <v>51</v>
      </c>
      <c r="T38" s="79">
        <f t="shared" si="62"/>
        <v>51</v>
      </c>
      <c r="U38" s="79">
        <f t="shared" si="63"/>
        <v>51</v>
      </c>
      <c r="V38" s="331">
        <f t="shared" si="35"/>
        <v>1632000</v>
      </c>
      <c r="W38" s="331">
        <f t="shared" si="36"/>
        <v>1632000</v>
      </c>
      <c r="X38" s="331">
        <f t="shared" si="37"/>
        <v>1632000</v>
      </c>
      <c r="Y38" s="331">
        <f t="shared" si="38"/>
        <v>1632000</v>
      </c>
      <c r="Z38" s="79">
        <v>12</v>
      </c>
      <c r="AA38" s="79">
        <f t="shared" si="42"/>
        <v>384000</v>
      </c>
      <c r="AB38" s="79">
        <v>12</v>
      </c>
      <c r="AC38" s="102">
        <f t="shared" si="43"/>
        <v>384000</v>
      </c>
      <c r="AD38" s="79">
        <v>12</v>
      </c>
      <c r="AE38" s="102">
        <f t="shared" si="44"/>
        <v>384000</v>
      </c>
      <c r="AF38" s="79">
        <v>12</v>
      </c>
      <c r="AG38" s="102">
        <f t="shared" si="45"/>
        <v>384000</v>
      </c>
      <c r="AH38" s="79">
        <v>12</v>
      </c>
      <c r="AI38" s="102">
        <f t="shared" si="46"/>
        <v>384000</v>
      </c>
      <c r="AJ38" s="79">
        <v>12</v>
      </c>
      <c r="AK38" s="102">
        <f t="shared" si="64"/>
        <v>384000</v>
      </c>
      <c r="AL38" s="79">
        <v>12</v>
      </c>
      <c r="AM38" s="102">
        <f t="shared" si="47"/>
        <v>384000</v>
      </c>
      <c r="AN38" s="79">
        <v>12</v>
      </c>
      <c r="AO38" s="102">
        <f t="shared" si="65"/>
        <v>384000</v>
      </c>
      <c r="AP38" s="79">
        <v>12</v>
      </c>
      <c r="AQ38" s="102">
        <f t="shared" si="48"/>
        <v>384000</v>
      </c>
      <c r="AR38" s="79">
        <v>12</v>
      </c>
      <c r="AS38" s="102">
        <f t="shared" si="49"/>
        <v>384000</v>
      </c>
      <c r="AT38" s="79">
        <v>12</v>
      </c>
      <c r="AU38" s="102">
        <f t="shared" si="66"/>
        <v>384000</v>
      </c>
      <c r="AV38" s="79">
        <v>12</v>
      </c>
      <c r="AW38" s="102">
        <f t="shared" si="67"/>
        <v>384000</v>
      </c>
      <c r="AX38" s="79">
        <v>12</v>
      </c>
      <c r="AY38" s="102">
        <f t="shared" si="68"/>
        <v>384000</v>
      </c>
      <c r="AZ38" s="79">
        <v>12</v>
      </c>
      <c r="BA38" s="102">
        <f t="shared" si="50"/>
        <v>384000</v>
      </c>
      <c r="BB38" s="79">
        <v>12</v>
      </c>
      <c r="BC38" s="102">
        <f t="shared" si="51"/>
        <v>384000</v>
      </c>
      <c r="BD38" s="79">
        <v>12</v>
      </c>
      <c r="BE38" s="102">
        <f t="shared" si="52"/>
        <v>384000</v>
      </c>
      <c r="BF38" s="79">
        <v>12</v>
      </c>
      <c r="BG38" s="102">
        <f t="shared" si="53"/>
        <v>384000</v>
      </c>
      <c r="BH38" s="79"/>
      <c r="BI38" s="102">
        <f t="shared" si="54"/>
        <v>0</v>
      </c>
      <c r="BJ38" s="79">
        <f t="shared" si="55"/>
        <v>204</v>
      </c>
      <c r="BK38" s="79">
        <f t="shared" si="55"/>
        <v>6528000</v>
      </c>
      <c r="BL38" s="155" t="s">
        <v>226</v>
      </c>
      <c r="BN38" s="137"/>
      <c r="BO38" s="137"/>
      <c r="BP38" s="137"/>
      <c r="BQ38" s="137"/>
      <c r="BR38" s="70">
        <f t="shared" si="40"/>
        <v>0</v>
      </c>
      <c r="BS38" s="98">
        <f t="shared" si="69"/>
        <v>6528000</v>
      </c>
      <c r="BT38" s="137"/>
      <c r="BU38" s="75">
        <f t="shared" si="41"/>
        <v>6528000</v>
      </c>
      <c r="BV38" s="101">
        <f t="shared" si="2"/>
        <v>6528000</v>
      </c>
    </row>
    <row r="39" spans="1:74" s="90" customFormat="1">
      <c r="A39" s="904"/>
      <c r="B39" s="93"/>
      <c r="C39" s="323" t="s">
        <v>462</v>
      </c>
      <c r="D39" s="93" t="s">
        <v>471</v>
      </c>
      <c r="E39" s="325">
        <v>10000</v>
      </c>
      <c r="F39" s="311">
        <f t="shared" si="56"/>
        <v>0</v>
      </c>
      <c r="G39" s="78">
        <f t="shared" si="57"/>
        <v>0</v>
      </c>
      <c r="H39" s="78">
        <f t="shared" si="58"/>
        <v>0</v>
      </c>
      <c r="I39" s="78">
        <f t="shared" si="59"/>
        <v>0</v>
      </c>
      <c r="J39" s="78"/>
      <c r="K39" s="78"/>
      <c r="L39" s="78"/>
      <c r="M39" s="78"/>
      <c r="N39" s="78"/>
      <c r="O39" s="78"/>
      <c r="P39" s="78"/>
      <c r="Q39" s="78"/>
      <c r="R39" s="79">
        <f t="shared" si="60"/>
        <v>0</v>
      </c>
      <c r="S39" s="79">
        <f t="shared" si="61"/>
        <v>0</v>
      </c>
      <c r="T39" s="79">
        <f t="shared" si="62"/>
        <v>0</v>
      </c>
      <c r="U39" s="79">
        <f t="shared" si="63"/>
        <v>0</v>
      </c>
      <c r="V39" s="331">
        <f t="shared" si="35"/>
        <v>0</v>
      </c>
      <c r="W39" s="331">
        <f t="shared" si="36"/>
        <v>0</v>
      </c>
      <c r="X39" s="331">
        <f t="shared" si="37"/>
        <v>0</v>
      </c>
      <c r="Y39" s="331">
        <f t="shared" si="38"/>
        <v>0</v>
      </c>
      <c r="Z39" s="79">
        <v>0</v>
      </c>
      <c r="AA39" s="79">
        <f t="shared" si="42"/>
        <v>0</v>
      </c>
      <c r="AB39" s="79">
        <v>0</v>
      </c>
      <c r="AC39" s="102">
        <f t="shared" si="43"/>
        <v>0</v>
      </c>
      <c r="AD39" s="79">
        <v>0</v>
      </c>
      <c r="AE39" s="102">
        <f t="shared" si="44"/>
        <v>0</v>
      </c>
      <c r="AF39" s="79">
        <v>0</v>
      </c>
      <c r="AG39" s="102">
        <f t="shared" si="45"/>
        <v>0</v>
      </c>
      <c r="AH39" s="79">
        <v>0</v>
      </c>
      <c r="AI39" s="102">
        <f t="shared" si="46"/>
        <v>0</v>
      </c>
      <c r="AJ39" s="79">
        <v>0</v>
      </c>
      <c r="AK39" s="102">
        <f t="shared" si="64"/>
        <v>0</v>
      </c>
      <c r="AL39" s="79">
        <v>0</v>
      </c>
      <c r="AM39" s="102">
        <f t="shared" si="47"/>
        <v>0</v>
      </c>
      <c r="AN39" s="79">
        <v>0</v>
      </c>
      <c r="AO39" s="102">
        <f t="shared" si="65"/>
        <v>0</v>
      </c>
      <c r="AP39" s="79">
        <v>0</v>
      </c>
      <c r="AQ39" s="102">
        <f t="shared" si="48"/>
        <v>0</v>
      </c>
      <c r="AR39" s="79">
        <v>0</v>
      </c>
      <c r="AS39" s="102">
        <f t="shared" si="49"/>
        <v>0</v>
      </c>
      <c r="AT39" s="79">
        <v>0</v>
      </c>
      <c r="AU39" s="102">
        <f t="shared" si="66"/>
        <v>0</v>
      </c>
      <c r="AV39" s="79">
        <v>0</v>
      </c>
      <c r="AW39" s="102">
        <f t="shared" si="67"/>
        <v>0</v>
      </c>
      <c r="AX39" s="79">
        <v>0</v>
      </c>
      <c r="AY39" s="102">
        <f t="shared" si="68"/>
        <v>0</v>
      </c>
      <c r="AZ39" s="79">
        <v>0</v>
      </c>
      <c r="BA39" s="102">
        <f t="shared" si="50"/>
        <v>0</v>
      </c>
      <c r="BB39" s="79">
        <v>0</v>
      </c>
      <c r="BC39" s="102">
        <f t="shared" si="51"/>
        <v>0</v>
      </c>
      <c r="BD39" s="79">
        <v>0</v>
      </c>
      <c r="BE39" s="102">
        <f t="shared" si="52"/>
        <v>0</v>
      </c>
      <c r="BF39" s="79">
        <v>0</v>
      </c>
      <c r="BG39" s="102">
        <f t="shared" si="53"/>
        <v>0</v>
      </c>
      <c r="BH39" s="79"/>
      <c r="BI39" s="102">
        <f t="shared" si="54"/>
        <v>0</v>
      </c>
      <c r="BJ39" s="79">
        <f t="shared" si="55"/>
        <v>0</v>
      </c>
      <c r="BK39" s="79">
        <f t="shared" si="55"/>
        <v>0</v>
      </c>
      <c r="BL39" s="155" t="s">
        <v>226</v>
      </c>
      <c r="BN39" s="98"/>
      <c r="BO39" s="98"/>
      <c r="BP39" s="180"/>
      <c r="BQ39" s="98"/>
      <c r="BR39" s="98">
        <f t="shared" si="40"/>
        <v>0</v>
      </c>
      <c r="BS39" s="98">
        <f t="shared" si="69"/>
        <v>0</v>
      </c>
      <c r="BT39" s="98"/>
      <c r="BU39" s="75">
        <f t="shared" si="41"/>
        <v>0</v>
      </c>
      <c r="BV39" s="101">
        <f t="shared" si="2"/>
        <v>0</v>
      </c>
    </row>
    <row r="40" spans="1:74">
      <c r="A40" s="904"/>
      <c r="B40" s="93"/>
      <c r="C40" s="323" t="s">
        <v>463</v>
      </c>
      <c r="D40" s="93" t="s">
        <v>471</v>
      </c>
      <c r="E40" s="325">
        <v>8000</v>
      </c>
      <c r="F40" s="311">
        <f t="shared" si="56"/>
        <v>204</v>
      </c>
      <c r="G40" s="78">
        <f t="shared" si="57"/>
        <v>1632000</v>
      </c>
      <c r="H40" s="78">
        <f t="shared" si="58"/>
        <v>816000</v>
      </c>
      <c r="I40" s="78">
        <f t="shared" si="59"/>
        <v>816000</v>
      </c>
      <c r="J40" s="78"/>
      <c r="K40" s="78"/>
      <c r="L40" s="78"/>
      <c r="M40" s="78"/>
      <c r="N40" s="78"/>
      <c r="O40" s="78"/>
      <c r="P40" s="78"/>
      <c r="Q40" s="78"/>
      <c r="R40" s="79">
        <f t="shared" si="60"/>
        <v>51</v>
      </c>
      <c r="S40" s="79">
        <f t="shared" si="61"/>
        <v>51</v>
      </c>
      <c r="T40" s="79">
        <f t="shared" si="62"/>
        <v>51</v>
      </c>
      <c r="U40" s="79">
        <f t="shared" si="63"/>
        <v>51</v>
      </c>
      <c r="V40" s="331">
        <f t="shared" si="35"/>
        <v>408000</v>
      </c>
      <c r="W40" s="331">
        <f t="shared" si="36"/>
        <v>408000</v>
      </c>
      <c r="X40" s="331">
        <f t="shared" si="37"/>
        <v>408000</v>
      </c>
      <c r="Y40" s="331">
        <f t="shared" si="38"/>
        <v>408000</v>
      </c>
      <c r="Z40" s="79">
        <v>12</v>
      </c>
      <c r="AA40" s="79">
        <f t="shared" si="42"/>
        <v>96000</v>
      </c>
      <c r="AB40" s="79">
        <v>12</v>
      </c>
      <c r="AC40" s="102">
        <f t="shared" si="43"/>
        <v>96000</v>
      </c>
      <c r="AD40" s="79">
        <v>12</v>
      </c>
      <c r="AE40" s="102">
        <f t="shared" si="44"/>
        <v>96000</v>
      </c>
      <c r="AF40" s="79">
        <v>12</v>
      </c>
      <c r="AG40" s="102">
        <f t="shared" si="45"/>
        <v>96000</v>
      </c>
      <c r="AH40" s="79">
        <v>12</v>
      </c>
      <c r="AI40" s="102">
        <f t="shared" si="46"/>
        <v>96000</v>
      </c>
      <c r="AJ40" s="79">
        <v>12</v>
      </c>
      <c r="AK40" s="102">
        <f t="shared" si="64"/>
        <v>96000</v>
      </c>
      <c r="AL40" s="79">
        <v>12</v>
      </c>
      <c r="AM40" s="102">
        <f t="shared" si="47"/>
        <v>96000</v>
      </c>
      <c r="AN40" s="79">
        <v>12</v>
      </c>
      <c r="AO40" s="102">
        <f t="shared" si="65"/>
        <v>96000</v>
      </c>
      <c r="AP40" s="79">
        <v>12</v>
      </c>
      <c r="AQ40" s="102">
        <f t="shared" si="48"/>
        <v>96000</v>
      </c>
      <c r="AR40" s="79">
        <v>12</v>
      </c>
      <c r="AS40" s="102">
        <f t="shared" si="49"/>
        <v>96000</v>
      </c>
      <c r="AT40" s="79">
        <v>12</v>
      </c>
      <c r="AU40" s="102">
        <f t="shared" si="66"/>
        <v>96000</v>
      </c>
      <c r="AV40" s="79">
        <v>12</v>
      </c>
      <c r="AW40" s="102">
        <f t="shared" si="67"/>
        <v>96000</v>
      </c>
      <c r="AX40" s="79">
        <v>12</v>
      </c>
      <c r="AY40" s="102">
        <f t="shared" si="68"/>
        <v>96000</v>
      </c>
      <c r="AZ40" s="79">
        <v>12</v>
      </c>
      <c r="BA40" s="102">
        <f t="shared" si="50"/>
        <v>96000</v>
      </c>
      <c r="BB40" s="79">
        <v>12</v>
      </c>
      <c r="BC40" s="102">
        <f t="shared" si="51"/>
        <v>96000</v>
      </c>
      <c r="BD40" s="79">
        <v>12</v>
      </c>
      <c r="BE40" s="102">
        <f t="shared" si="52"/>
        <v>96000</v>
      </c>
      <c r="BF40" s="79">
        <v>12</v>
      </c>
      <c r="BG40" s="102">
        <f t="shared" si="53"/>
        <v>96000</v>
      </c>
      <c r="BH40" s="79"/>
      <c r="BI40" s="102">
        <f t="shared" si="54"/>
        <v>0</v>
      </c>
      <c r="BJ40" s="79">
        <f t="shared" si="55"/>
        <v>204</v>
      </c>
      <c r="BK40" s="79">
        <f t="shared" si="55"/>
        <v>1632000</v>
      </c>
      <c r="BL40" s="155" t="s">
        <v>226</v>
      </c>
      <c r="BN40" s="70"/>
      <c r="BO40" s="70"/>
      <c r="BP40" s="137"/>
      <c r="BQ40" s="70"/>
      <c r="BR40" s="70">
        <f t="shared" si="40"/>
        <v>0</v>
      </c>
      <c r="BS40" s="98">
        <f t="shared" si="69"/>
        <v>1632000</v>
      </c>
      <c r="BT40" s="70"/>
      <c r="BU40" s="75">
        <f t="shared" si="41"/>
        <v>1632000</v>
      </c>
      <c r="BV40" s="101">
        <f t="shared" si="2"/>
        <v>1632000</v>
      </c>
    </row>
    <row r="41" spans="1:74">
      <c r="A41" s="904"/>
      <c r="B41" s="93"/>
      <c r="C41" s="323" t="s">
        <v>133</v>
      </c>
      <c r="D41" s="93" t="s">
        <v>471</v>
      </c>
      <c r="E41" s="325">
        <v>5500</v>
      </c>
      <c r="F41" s="311">
        <f t="shared" si="56"/>
        <v>204</v>
      </c>
      <c r="G41" s="78">
        <f t="shared" si="57"/>
        <v>1122000</v>
      </c>
      <c r="H41" s="78">
        <f t="shared" si="58"/>
        <v>561000</v>
      </c>
      <c r="I41" s="78">
        <f t="shared" si="59"/>
        <v>561000</v>
      </c>
      <c r="J41" s="78"/>
      <c r="K41" s="78"/>
      <c r="L41" s="78"/>
      <c r="M41" s="78"/>
      <c r="N41" s="78"/>
      <c r="O41" s="78"/>
      <c r="P41" s="78"/>
      <c r="Q41" s="78"/>
      <c r="R41" s="79">
        <f t="shared" si="60"/>
        <v>51</v>
      </c>
      <c r="S41" s="79">
        <f t="shared" si="61"/>
        <v>51</v>
      </c>
      <c r="T41" s="79">
        <f t="shared" si="62"/>
        <v>51</v>
      </c>
      <c r="U41" s="79">
        <f t="shared" si="63"/>
        <v>51</v>
      </c>
      <c r="V41" s="331">
        <f t="shared" si="35"/>
        <v>280500</v>
      </c>
      <c r="W41" s="331">
        <f t="shared" si="36"/>
        <v>280500</v>
      </c>
      <c r="X41" s="331">
        <f t="shared" si="37"/>
        <v>280500</v>
      </c>
      <c r="Y41" s="331">
        <f t="shared" si="38"/>
        <v>280500</v>
      </c>
      <c r="Z41" s="79">
        <v>12</v>
      </c>
      <c r="AA41" s="79">
        <f t="shared" si="42"/>
        <v>66000</v>
      </c>
      <c r="AB41" s="79">
        <v>12</v>
      </c>
      <c r="AC41" s="102">
        <f t="shared" si="43"/>
        <v>66000</v>
      </c>
      <c r="AD41" s="79">
        <v>12</v>
      </c>
      <c r="AE41" s="102">
        <f t="shared" si="44"/>
        <v>66000</v>
      </c>
      <c r="AF41" s="79">
        <v>12</v>
      </c>
      <c r="AG41" s="102">
        <f t="shared" si="45"/>
        <v>66000</v>
      </c>
      <c r="AH41" s="79">
        <v>12</v>
      </c>
      <c r="AI41" s="102">
        <f t="shared" si="46"/>
        <v>66000</v>
      </c>
      <c r="AJ41" s="79">
        <v>12</v>
      </c>
      <c r="AK41" s="102">
        <f t="shared" si="64"/>
        <v>66000</v>
      </c>
      <c r="AL41" s="79">
        <v>12</v>
      </c>
      <c r="AM41" s="102">
        <f t="shared" si="47"/>
        <v>66000</v>
      </c>
      <c r="AN41" s="79">
        <v>12</v>
      </c>
      <c r="AO41" s="102">
        <f t="shared" si="65"/>
        <v>66000</v>
      </c>
      <c r="AP41" s="79">
        <v>12</v>
      </c>
      <c r="AQ41" s="102">
        <f t="shared" si="48"/>
        <v>66000</v>
      </c>
      <c r="AR41" s="79">
        <v>12</v>
      </c>
      <c r="AS41" s="102">
        <f t="shared" si="49"/>
        <v>66000</v>
      </c>
      <c r="AT41" s="79">
        <v>12</v>
      </c>
      <c r="AU41" s="102">
        <f t="shared" si="66"/>
        <v>66000</v>
      </c>
      <c r="AV41" s="79">
        <v>12</v>
      </c>
      <c r="AW41" s="102">
        <f t="shared" si="67"/>
        <v>66000</v>
      </c>
      <c r="AX41" s="79">
        <v>12</v>
      </c>
      <c r="AY41" s="102">
        <f t="shared" si="68"/>
        <v>66000</v>
      </c>
      <c r="AZ41" s="79">
        <v>12</v>
      </c>
      <c r="BA41" s="102">
        <f t="shared" si="50"/>
        <v>66000</v>
      </c>
      <c r="BB41" s="79">
        <v>12</v>
      </c>
      <c r="BC41" s="102">
        <f t="shared" si="51"/>
        <v>66000</v>
      </c>
      <c r="BD41" s="79">
        <v>12</v>
      </c>
      <c r="BE41" s="102">
        <f t="shared" si="52"/>
        <v>66000</v>
      </c>
      <c r="BF41" s="79">
        <v>12</v>
      </c>
      <c r="BG41" s="102">
        <f t="shared" si="53"/>
        <v>66000</v>
      </c>
      <c r="BH41" s="79"/>
      <c r="BI41" s="102">
        <f t="shared" si="54"/>
        <v>0</v>
      </c>
      <c r="BJ41" s="79">
        <f t="shared" si="55"/>
        <v>204</v>
      </c>
      <c r="BK41" s="79">
        <f t="shared" si="55"/>
        <v>1122000</v>
      </c>
      <c r="BL41" s="155" t="s">
        <v>226</v>
      </c>
      <c r="BN41" s="70"/>
      <c r="BO41" s="70"/>
      <c r="BP41" s="137"/>
      <c r="BQ41" s="70"/>
      <c r="BR41" s="70">
        <f t="shared" si="40"/>
        <v>0</v>
      </c>
      <c r="BS41" s="98">
        <f t="shared" si="69"/>
        <v>1122000</v>
      </c>
      <c r="BT41" s="70"/>
      <c r="BU41" s="75">
        <f t="shared" si="41"/>
        <v>1122000</v>
      </c>
      <c r="BV41" s="101">
        <f t="shared" si="2"/>
        <v>1122000</v>
      </c>
    </row>
    <row r="42" spans="1:74">
      <c r="A42" s="904"/>
      <c r="B42" s="93"/>
      <c r="C42" s="323" t="s">
        <v>134</v>
      </c>
      <c r="D42" s="93" t="s">
        <v>471</v>
      </c>
      <c r="E42" s="325">
        <v>3000</v>
      </c>
      <c r="F42" s="311">
        <f t="shared" si="56"/>
        <v>204</v>
      </c>
      <c r="G42" s="78">
        <f t="shared" si="57"/>
        <v>612000</v>
      </c>
      <c r="H42" s="78">
        <f t="shared" si="58"/>
        <v>306000</v>
      </c>
      <c r="I42" s="78">
        <f t="shared" si="59"/>
        <v>306000</v>
      </c>
      <c r="J42" s="78"/>
      <c r="K42" s="78"/>
      <c r="L42" s="78"/>
      <c r="M42" s="78"/>
      <c r="N42" s="78"/>
      <c r="O42" s="78"/>
      <c r="P42" s="78"/>
      <c r="Q42" s="78"/>
      <c r="R42" s="79">
        <f t="shared" si="60"/>
        <v>51</v>
      </c>
      <c r="S42" s="79">
        <f t="shared" si="61"/>
        <v>51</v>
      </c>
      <c r="T42" s="79">
        <f t="shared" si="62"/>
        <v>51</v>
      </c>
      <c r="U42" s="79">
        <f t="shared" si="63"/>
        <v>51</v>
      </c>
      <c r="V42" s="331">
        <f t="shared" si="35"/>
        <v>153000</v>
      </c>
      <c r="W42" s="331">
        <f t="shared" si="36"/>
        <v>153000</v>
      </c>
      <c r="X42" s="331">
        <f t="shared" si="37"/>
        <v>153000</v>
      </c>
      <c r="Y42" s="331">
        <f t="shared" si="38"/>
        <v>153000</v>
      </c>
      <c r="Z42" s="79">
        <v>12</v>
      </c>
      <c r="AA42" s="79">
        <f t="shared" si="42"/>
        <v>36000</v>
      </c>
      <c r="AB42" s="79">
        <v>12</v>
      </c>
      <c r="AC42" s="102">
        <f t="shared" si="43"/>
        <v>36000</v>
      </c>
      <c r="AD42" s="79">
        <v>12</v>
      </c>
      <c r="AE42" s="102">
        <f t="shared" si="44"/>
        <v>36000</v>
      </c>
      <c r="AF42" s="79">
        <v>12</v>
      </c>
      <c r="AG42" s="102">
        <f t="shared" si="45"/>
        <v>36000</v>
      </c>
      <c r="AH42" s="79">
        <v>12</v>
      </c>
      <c r="AI42" s="102">
        <f t="shared" si="46"/>
        <v>36000</v>
      </c>
      <c r="AJ42" s="79">
        <v>12</v>
      </c>
      <c r="AK42" s="102">
        <f t="shared" si="64"/>
        <v>36000</v>
      </c>
      <c r="AL42" s="79">
        <v>12</v>
      </c>
      <c r="AM42" s="102">
        <f t="shared" si="47"/>
        <v>36000</v>
      </c>
      <c r="AN42" s="79">
        <v>12</v>
      </c>
      <c r="AO42" s="102">
        <f t="shared" si="65"/>
        <v>36000</v>
      </c>
      <c r="AP42" s="79">
        <v>12</v>
      </c>
      <c r="AQ42" s="102">
        <f t="shared" si="48"/>
        <v>36000</v>
      </c>
      <c r="AR42" s="79">
        <v>12</v>
      </c>
      <c r="AS42" s="102">
        <f t="shared" si="49"/>
        <v>36000</v>
      </c>
      <c r="AT42" s="79">
        <v>12</v>
      </c>
      <c r="AU42" s="102">
        <f t="shared" si="66"/>
        <v>36000</v>
      </c>
      <c r="AV42" s="79">
        <v>12</v>
      </c>
      <c r="AW42" s="102">
        <f t="shared" si="67"/>
        <v>36000</v>
      </c>
      <c r="AX42" s="79">
        <v>12</v>
      </c>
      <c r="AY42" s="102">
        <f t="shared" si="68"/>
        <v>36000</v>
      </c>
      <c r="AZ42" s="79">
        <v>12</v>
      </c>
      <c r="BA42" s="102">
        <f t="shared" si="50"/>
        <v>36000</v>
      </c>
      <c r="BB42" s="79">
        <v>12</v>
      </c>
      <c r="BC42" s="102">
        <f t="shared" si="51"/>
        <v>36000</v>
      </c>
      <c r="BD42" s="79">
        <v>12</v>
      </c>
      <c r="BE42" s="102">
        <f t="shared" si="52"/>
        <v>36000</v>
      </c>
      <c r="BF42" s="79">
        <v>12</v>
      </c>
      <c r="BG42" s="102">
        <f t="shared" si="53"/>
        <v>36000</v>
      </c>
      <c r="BH42" s="79"/>
      <c r="BI42" s="102">
        <f t="shared" si="54"/>
        <v>0</v>
      </c>
      <c r="BJ42" s="79">
        <f t="shared" si="55"/>
        <v>204</v>
      </c>
      <c r="BK42" s="79">
        <f t="shared" si="55"/>
        <v>612000</v>
      </c>
      <c r="BL42" s="155" t="s">
        <v>226</v>
      </c>
      <c r="BN42" s="70"/>
      <c r="BO42" s="70"/>
      <c r="BP42" s="137"/>
      <c r="BQ42" s="70"/>
      <c r="BR42" s="70">
        <f t="shared" si="40"/>
        <v>0</v>
      </c>
      <c r="BS42" s="98">
        <f t="shared" si="69"/>
        <v>612000</v>
      </c>
      <c r="BT42" s="70"/>
      <c r="BU42" s="75">
        <f t="shared" si="41"/>
        <v>612000</v>
      </c>
      <c r="BV42" s="101">
        <f t="shared" si="2"/>
        <v>612000</v>
      </c>
    </row>
    <row r="43" spans="1:74" s="90" customFormat="1">
      <c r="A43" s="904"/>
      <c r="B43" s="93"/>
      <c r="C43" s="323" t="s">
        <v>135</v>
      </c>
      <c r="D43" s="93" t="s">
        <v>471</v>
      </c>
      <c r="E43" s="325">
        <f>750*3</f>
        <v>2250</v>
      </c>
      <c r="F43" s="311">
        <f t="shared" si="56"/>
        <v>204</v>
      </c>
      <c r="G43" s="78">
        <f t="shared" si="57"/>
        <v>459000</v>
      </c>
      <c r="H43" s="78">
        <f t="shared" si="58"/>
        <v>229500</v>
      </c>
      <c r="I43" s="78">
        <f t="shared" si="59"/>
        <v>229500</v>
      </c>
      <c r="J43" s="78"/>
      <c r="K43" s="78"/>
      <c r="L43" s="78"/>
      <c r="M43" s="78"/>
      <c r="N43" s="78"/>
      <c r="O43" s="78"/>
      <c r="P43" s="78"/>
      <c r="Q43" s="78"/>
      <c r="R43" s="79">
        <f t="shared" si="60"/>
        <v>51</v>
      </c>
      <c r="S43" s="79">
        <f t="shared" si="61"/>
        <v>51</v>
      </c>
      <c r="T43" s="79">
        <f t="shared" si="62"/>
        <v>51</v>
      </c>
      <c r="U43" s="79">
        <f t="shared" si="63"/>
        <v>51</v>
      </c>
      <c r="V43" s="331">
        <f t="shared" si="35"/>
        <v>114750</v>
      </c>
      <c r="W43" s="331">
        <f t="shared" si="36"/>
        <v>114750</v>
      </c>
      <c r="X43" s="331">
        <f t="shared" si="37"/>
        <v>114750</v>
      </c>
      <c r="Y43" s="331">
        <f t="shared" si="38"/>
        <v>114750</v>
      </c>
      <c r="Z43" s="79">
        <v>12</v>
      </c>
      <c r="AA43" s="79">
        <f t="shared" si="42"/>
        <v>27000</v>
      </c>
      <c r="AB43" s="79">
        <v>12</v>
      </c>
      <c r="AC43" s="102">
        <f t="shared" si="43"/>
        <v>27000</v>
      </c>
      <c r="AD43" s="79">
        <v>12</v>
      </c>
      <c r="AE43" s="102">
        <f t="shared" si="44"/>
        <v>27000</v>
      </c>
      <c r="AF43" s="79">
        <v>12</v>
      </c>
      <c r="AG43" s="102">
        <f t="shared" si="45"/>
        <v>27000</v>
      </c>
      <c r="AH43" s="79">
        <v>12</v>
      </c>
      <c r="AI43" s="102">
        <f t="shared" si="46"/>
        <v>27000</v>
      </c>
      <c r="AJ43" s="79">
        <v>12</v>
      </c>
      <c r="AK43" s="102">
        <f t="shared" si="64"/>
        <v>27000</v>
      </c>
      <c r="AL43" s="79">
        <v>12</v>
      </c>
      <c r="AM43" s="102">
        <f t="shared" si="47"/>
        <v>27000</v>
      </c>
      <c r="AN43" s="79">
        <v>12</v>
      </c>
      <c r="AO43" s="102">
        <f t="shared" si="65"/>
        <v>27000</v>
      </c>
      <c r="AP43" s="79">
        <v>12</v>
      </c>
      <c r="AQ43" s="102">
        <f t="shared" si="48"/>
        <v>27000</v>
      </c>
      <c r="AR43" s="79">
        <v>12</v>
      </c>
      <c r="AS43" s="102">
        <f t="shared" si="49"/>
        <v>27000</v>
      </c>
      <c r="AT43" s="79">
        <v>12</v>
      </c>
      <c r="AU43" s="102">
        <f t="shared" si="66"/>
        <v>27000</v>
      </c>
      <c r="AV43" s="79">
        <v>12</v>
      </c>
      <c r="AW43" s="102">
        <f t="shared" si="67"/>
        <v>27000</v>
      </c>
      <c r="AX43" s="79">
        <v>12</v>
      </c>
      <c r="AY43" s="102">
        <f t="shared" si="68"/>
        <v>27000</v>
      </c>
      <c r="AZ43" s="79">
        <v>12</v>
      </c>
      <c r="BA43" s="102">
        <f t="shared" si="50"/>
        <v>27000</v>
      </c>
      <c r="BB43" s="79">
        <v>12</v>
      </c>
      <c r="BC43" s="102">
        <f t="shared" si="51"/>
        <v>27000</v>
      </c>
      <c r="BD43" s="79">
        <v>12</v>
      </c>
      <c r="BE43" s="102">
        <f t="shared" si="52"/>
        <v>27000</v>
      </c>
      <c r="BF43" s="79">
        <v>12</v>
      </c>
      <c r="BG43" s="102">
        <f t="shared" si="53"/>
        <v>27000</v>
      </c>
      <c r="BH43" s="79"/>
      <c r="BI43" s="102">
        <f t="shared" si="54"/>
        <v>0</v>
      </c>
      <c r="BJ43" s="79">
        <f t="shared" si="55"/>
        <v>204</v>
      </c>
      <c r="BK43" s="79">
        <f t="shared" si="55"/>
        <v>459000</v>
      </c>
      <c r="BL43" s="155" t="s">
        <v>226</v>
      </c>
      <c r="BN43" s="98"/>
      <c r="BO43" s="98"/>
      <c r="BP43" s="180"/>
      <c r="BQ43" s="98"/>
      <c r="BR43" s="98">
        <f t="shared" si="40"/>
        <v>0</v>
      </c>
      <c r="BS43" s="98">
        <f t="shared" si="69"/>
        <v>459000</v>
      </c>
      <c r="BT43" s="98"/>
      <c r="BU43" s="75">
        <f t="shared" si="41"/>
        <v>459000</v>
      </c>
      <c r="BV43" s="101">
        <f t="shared" si="2"/>
        <v>459000</v>
      </c>
    </row>
    <row r="44" spans="1:74">
      <c r="A44" s="904"/>
      <c r="B44" s="93"/>
      <c r="C44" s="323" t="s">
        <v>136</v>
      </c>
      <c r="D44" s="93" t="s">
        <v>471</v>
      </c>
      <c r="E44" s="325" t="s">
        <v>485</v>
      </c>
      <c r="F44" s="311">
        <f t="shared" si="56"/>
        <v>0</v>
      </c>
      <c r="G44" s="78">
        <f t="shared" si="57"/>
        <v>0</v>
      </c>
      <c r="H44" s="78">
        <f t="shared" si="58"/>
        <v>0</v>
      </c>
      <c r="I44" s="78">
        <f t="shared" si="59"/>
        <v>0</v>
      </c>
      <c r="J44" s="78"/>
      <c r="K44" s="78"/>
      <c r="L44" s="78"/>
      <c r="M44" s="78"/>
      <c r="N44" s="78"/>
      <c r="O44" s="78"/>
      <c r="P44" s="78"/>
      <c r="Q44" s="78"/>
      <c r="R44" s="79">
        <f t="shared" si="60"/>
        <v>0</v>
      </c>
      <c r="S44" s="79">
        <f t="shared" si="61"/>
        <v>0</v>
      </c>
      <c r="T44" s="79">
        <f t="shared" si="62"/>
        <v>0</v>
      </c>
      <c r="U44" s="79">
        <f t="shared" si="63"/>
        <v>0</v>
      </c>
      <c r="V44" s="331">
        <f t="shared" si="35"/>
        <v>0</v>
      </c>
      <c r="W44" s="331">
        <f t="shared" si="36"/>
        <v>0</v>
      </c>
      <c r="X44" s="331">
        <f t="shared" si="37"/>
        <v>0</v>
      </c>
      <c r="Y44" s="331">
        <f t="shared" si="38"/>
        <v>0</v>
      </c>
      <c r="Z44" s="79">
        <v>0</v>
      </c>
      <c r="AA44" s="79">
        <f t="shared" si="42"/>
        <v>0</v>
      </c>
      <c r="AB44" s="79">
        <v>0</v>
      </c>
      <c r="AC44" s="102">
        <f t="shared" si="43"/>
        <v>0</v>
      </c>
      <c r="AD44" s="79">
        <v>0</v>
      </c>
      <c r="AE44" s="102">
        <f t="shared" si="44"/>
        <v>0</v>
      </c>
      <c r="AF44" s="79">
        <v>0</v>
      </c>
      <c r="AG44" s="102">
        <f t="shared" si="45"/>
        <v>0</v>
      </c>
      <c r="AH44" s="79">
        <v>0</v>
      </c>
      <c r="AI44" s="102">
        <f t="shared" si="46"/>
        <v>0</v>
      </c>
      <c r="AJ44" s="79">
        <v>0</v>
      </c>
      <c r="AK44" s="102">
        <f t="shared" si="64"/>
        <v>0</v>
      </c>
      <c r="AL44" s="79">
        <v>0</v>
      </c>
      <c r="AM44" s="102">
        <f t="shared" si="47"/>
        <v>0</v>
      </c>
      <c r="AN44" s="79">
        <v>0</v>
      </c>
      <c r="AO44" s="102">
        <f t="shared" si="65"/>
        <v>0</v>
      </c>
      <c r="AP44" s="79">
        <v>0</v>
      </c>
      <c r="AQ44" s="102">
        <f t="shared" si="48"/>
        <v>0</v>
      </c>
      <c r="AR44" s="79">
        <v>0</v>
      </c>
      <c r="AS44" s="102">
        <f t="shared" si="49"/>
        <v>0</v>
      </c>
      <c r="AT44" s="79">
        <v>0</v>
      </c>
      <c r="AU44" s="102">
        <f t="shared" si="66"/>
        <v>0</v>
      </c>
      <c r="AV44" s="79">
        <v>0</v>
      </c>
      <c r="AW44" s="102">
        <f t="shared" si="67"/>
        <v>0</v>
      </c>
      <c r="AX44" s="79">
        <v>0</v>
      </c>
      <c r="AY44" s="102">
        <f t="shared" si="68"/>
        <v>0</v>
      </c>
      <c r="AZ44" s="79">
        <v>0</v>
      </c>
      <c r="BA44" s="102">
        <f t="shared" si="50"/>
        <v>0</v>
      </c>
      <c r="BB44" s="79">
        <v>0</v>
      </c>
      <c r="BC44" s="102">
        <f t="shared" si="51"/>
        <v>0</v>
      </c>
      <c r="BD44" s="79">
        <v>0</v>
      </c>
      <c r="BE44" s="102">
        <f t="shared" si="52"/>
        <v>0</v>
      </c>
      <c r="BF44" s="79">
        <v>0</v>
      </c>
      <c r="BG44" s="102">
        <f t="shared" si="53"/>
        <v>0</v>
      </c>
      <c r="BH44" s="79"/>
      <c r="BI44" s="102">
        <f t="shared" si="54"/>
        <v>0</v>
      </c>
      <c r="BJ44" s="79">
        <f t="shared" si="55"/>
        <v>0</v>
      </c>
      <c r="BK44" s="79">
        <f t="shared" si="55"/>
        <v>0</v>
      </c>
      <c r="BL44" s="155" t="s">
        <v>226</v>
      </c>
      <c r="BN44" s="70"/>
      <c r="BO44" s="70"/>
      <c r="BP44" s="137"/>
      <c r="BQ44" s="70"/>
      <c r="BR44" s="70">
        <f t="shared" si="40"/>
        <v>0</v>
      </c>
      <c r="BS44" s="98">
        <f t="shared" si="69"/>
        <v>0</v>
      </c>
      <c r="BT44" s="70"/>
      <c r="BU44" s="75">
        <f t="shared" si="41"/>
        <v>0</v>
      </c>
      <c r="BV44" s="101">
        <f t="shared" si="2"/>
        <v>0</v>
      </c>
    </row>
    <row r="45" spans="1:74" ht="31.5">
      <c r="A45" s="904"/>
      <c r="B45" s="93"/>
      <c r="C45" s="503" t="s">
        <v>718</v>
      </c>
      <c r="D45" s="93" t="s">
        <v>16</v>
      </c>
      <c r="E45" s="325">
        <v>65000</v>
      </c>
      <c r="F45" s="311">
        <f t="shared" si="56"/>
        <v>204</v>
      </c>
      <c r="G45" s="78">
        <f t="shared" si="57"/>
        <v>13260000</v>
      </c>
      <c r="H45" s="78">
        <f t="shared" si="58"/>
        <v>6630000</v>
      </c>
      <c r="I45" s="78">
        <f t="shared" si="59"/>
        <v>6630000</v>
      </c>
      <c r="J45" s="78"/>
      <c r="K45" s="78"/>
      <c r="L45" s="78"/>
      <c r="M45" s="78"/>
      <c r="N45" s="78"/>
      <c r="O45" s="78"/>
      <c r="P45" s="78"/>
      <c r="Q45" s="78"/>
      <c r="R45" s="79">
        <f t="shared" si="60"/>
        <v>51</v>
      </c>
      <c r="S45" s="79">
        <f t="shared" si="61"/>
        <v>51</v>
      </c>
      <c r="T45" s="79">
        <f t="shared" si="62"/>
        <v>51</v>
      </c>
      <c r="U45" s="79">
        <f t="shared" si="63"/>
        <v>51</v>
      </c>
      <c r="V45" s="331">
        <f t="shared" si="35"/>
        <v>3315000</v>
      </c>
      <c r="W45" s="331">
        <f t="shared" si="36"/>
        <v>3315000</v>
      </c>
      <c r="X45" s="331">
        <f t="shared" si="37"/>
        <v>3315000</v>
      </c>
      <c r="Y45" s="331">
        <f t="shared" si="38"/>
        <v>3315000</v>
      </c>
      <c r="Z45" s="79">
        <v>12</v>
      </c>
      <c r="AA45" s="79">
        <f t="shared" si="42"/>
        <v>780000</v>
      </c>
      <c r="AB45" s="79">
        <v>12</v>
      </c>
      <c r="AC45" s="102">
        <f t="shared" si="43"/>
        <v>780000</v>
      </c>
      <c r="AD45" s="79">
        <v>12</v>
      </c>
      <c r="AE45" s="102">
        <f t="shared" si="44"/>
        <v>780000</v>
      </c>
      <c r="AF45" s="79">
        <v>12</v>
      </c>
      <c r="AG45" s="102">
        <f t="shared" si="45"/>
        <v>780000</v>
      </c>
      <c r="AH45" s="79">
        <v>12</v>
      </c>
      <c r="AI45" s="102">
        <f t="shared" si="46"/>
        <v>780000</v>
      </c>
      <c r="AJ45" s="79">
        <v>12</v>
      </c>
      <c r="AK45" s="102">
        <f t="shared" si="64"/>
        <v>780000</v>
      </c>
      <c r="AL45" s="79">
        <v>12</v>
      </c>
      <c r="AM45" s="102">
        <f t="shared" si="47"/>
        <v>780000</v>
      </c>
      <c r="AN45" s="79">
        <v>12</v>
      </c>
      <c r="AO45" s="102">
        <f t="shared" si="65"/>
        <v>780000</v>
      </c>
      <c r="AP45" s="79">
        <v>12</v>
      </c>
      <c r="AQ45" s="102">
        <f t="shared" si="48"/>
        <v>780000</v>
      </c>
      <c r="AR45" s="79">
        <v>12</v>
      </c>
      <c r="AS45" s="102">
        <f t="shared" si="49"/>
        <v>780000</v>
      </c>
      <c r="AT45" s="79">
        <v>12</v>
      </c>
      <c r="AU45" s="102">
        <f t="shared" si="66"/>
        <v>780000</v>
      </c>
      <c r="AV45" s="79">
        <v>12</v>
      </c>
      <c r="AW45" s="102">
        <f t="shared" si="67"/>
        <v>780000</v>
      </c>
      <c r="AX45" s="79">
        <v>12</v>
      </c>
      <c r="AY45" s="102">
        <f t="shared" si="68"/>
        <v>780000</v>
      </c>
      <c r="AZ45" s="79">
        <v>12</v>
      </c>
      <c r="BA45" s="102">
        <f t="shared" si="50"/>
        <v>780000</v>
      </c>
      <c r="BB45" s="79">
        <v>12</v>
      </c>
      <c r="BC45" s="102">
        <f t="shared" si="51"/>
        <v>780000</v>
      </c>
      <c r="BD45" s="79">
        <v>12</v>
      </c>
      <c r="BE45" s="102">
        <f t="shared" si="52"/>
        <v>780000</v>
      </c>
      <c r="BF45" s="79">
        <v>12</v>
      </c>
      <c r="BG45" s="102">
        <f t="shared" si="53"/>
        <v>780000</v>
      </c>
      <c r="BH45" s="79"/>
      <c r="BI45" s="102">
        <f t="shared" si="54"/>
        <v>0</v>
      </c>
      <c r="BJ45" s="79">
        <f t="shared" si="55"/>
        <v>204</v>
      </c>
      <c r="BK45" s="79">
        <f t="shared" si="55"/>
        <v>13260000</v>
      </c>
      <c r="BL45" s="155" t="s">
        <v>226</v>
      </c>
      <c r="BN45" s="70"/>
      <c r="BO45" s="70"/>
      <c r="BP45" s="137"/>
      <c r="BQ45" s="70"/>
      <c r="BR45" s="70">
        <f t="shared" si="40"/>
        <v>0</v>
      </c>
      <c r="BS45" s="98">
        <f t="shared" si="69"/>
        <v>13260000</v>
      </c>
      <c r="BT45" s="70"/>
      <c r="BU45" s="75">
        <f t="shared" si="41"/>
        <v>13260000</v>
      </c>
      <c r="BV45" s="101">
        <f t="shared" si="2"/>
        <v>13260000</v>
      </c>
    </row>
    <row r="46" spans="1:74" s="90" customFormat="1">
      <c r="A46" s="904"/>
      <c r="B46" s="93"/>
      <c r="C46" s="323" t="s">
        <v>464</v>
      </c>
      <c r="D46" s="93" t="s">
        <v>471</v>
      </c>
      <c r="E46" s="325" t="s">
        <v>441</v>
      </c>
      <c r="F46" s="311">
        <f t="shared" si="56"/>
        <v>0</v>
      </c>
      <c r="G46" s="78">
        <f t="shared" si="57"/>
        <v>0</v>
      </c>
      <c r="H46" s="78">
        <f>G46*0</f>
        <v>0</v>
      </c>
      <c r="I46" s="78">
        <f>G46</f>
        <v>0</v>
      </c>
      <c r="J46" s="78"/>
      <c r="K46" s="78"/>
      <c r="L46" s="78"/>
      <c r="M46" s="78"/>
      <c r="N46" s="78"/>
      <c r="O46" s="78"/>
      <c r="P46" s="78"/>
      <c r="Q46" s="78"/>
      <c r="R46" s="79">
        <f t="shared" si="60"/>
        <v>0</v>
      </c>
      <c r="S46" s="79">
        <f t="shared" si="61"/>
        <v>0</v>
      </c>
      <c r="T46" s="79">
        <f t="shared" si="62"/>
        <v>0</v>
      </c>
      <c r="U46" s="79">
        <f t="shared" si="63"/>
        <v>0</v>
      </c>
      <c r="V46" s="331">
        <f t="shared" si="35"/>
        <v>0</v>
      </c>
      <c r="W46" s="331">
        <f t="shared" si="36"/>
        <v>0</v>
      </c>
      <c r="X46" s="331">
        <f t="shared" si="37"/>
        <v>0</v>
      </c>
      <c r="Y46" s="331">
        <f t="shared" si="38"/>
        <v>0</v>
      </c>
      <c r="Z46" s="79">
        <v>0</v>
      </c>
      <c r="AA46" s="79">
        <f t="shared" si="42"/>
        <v>0</v>
      </c>
      <c r="AB46" s="79">
        <v>0</v>
      </c>
      <c r="AC46" s="102">
        <f t="shared" si="43"/>
        <v>0</v>
      </c>
      <c r="AD46" s="79">
        <v>0</v>
      </c>
      <c r="AE46" s="102">
        <f t="shared" si="44"/>
        <v>0</v>
      </c>
      <c r="AF46" s="79">
        <v>0</v>
      </c>
      <c r="AG46" s="102">
        <f t="shared" si="45"/>
        <v>0</v>
      </c>
      <c r="AH46" s="79">
        <v>0</v>
      </c>
      <c r="AI46" s="102">
        <f t="shared" si="46"/>
        <v>0</v>
      </c>
      <c r="AJ46" s="79">
        <v>0</v>
      </c>
      <c r="AK46" s="102">
        <f t="shared" si="64"/>
        <v>0</v>
      </c>
      <c r="AL46" s="79">
        <v>0</v>
      </c>
      <c r="AM46" s="102">
        <f t="shared" si="47"/>
        <v>0</v>
      </c>
      <c r="AN46" s="79">
        <v>0</v>
      </c>
      <c r="AO46" s="102">
        <f t="shared" si="65"/>
        <v>0</v>
      </c>
      <c r="AP46" s="79">
        <v>0</v>
      </c>
      <c r="AQ46" s="102">
        <f t="shared" si="48"/>
        <v>0</v>
      </c>
      <c r="AR46" s="79">
        <v>0</v>
      </c>
      <c r="AS46" s="102">
        <f t="shared" si="49"/>
        <v>0</v>
      </c>
      <c r="AT46" s="79">
        <v>0</v>
      </c>
      <c r="AU46" s="102">
        <f t="shared" si="66"/>
        <v>0</v>
      </c>
      <c r="AV46" s="79">
        <v>0</v>
      </c>
      <c r="AW46" s="102">
        <f t="shared" si="67"/>
        <v>0</v>
      </c>
      <c r="AX46" s="79">
        <v>0</v>
      </c>
      <c r="AY46" s="102">
        <f t="shared" si="68"/>
        <v>0</v>
      </c>
      <c r="AZ46" s="79">
        <v>0</v>
      </c>
      <c r="BA46" s="102">
        <f t="shared" si="50"/>
        <v>0</v>
      </c>
      <c r="BB46" s="79">
        <v>0</v>
      </c>
      <c r="BC46" s="102">
        <f t="shared" si="51"/>
        <v>0</v>
      </c>
      <c r="BD46" s="79">
        <v>0</v>
      </c>
      <c r="BE46" s="102">
        <f t="shared" si="52"/>
        <v>0</v>
      </c>
      <c r="BF46" s="79">
        <v>0</v>
      </c>
      <c r="BG46" s="102">
        <f t="shared" si="53"/>
        <v>0</v>
      </c>
      <c r="BH46" s="79"/>
      <c r="BI46" s="102">
        <f t="shared" si="54"/>
        <v>0</v>
      </c>
      <c r="BJ46" s="79">
        <f t="shared" si="55"/>
        <v>0</v>
      </c>
      <c r="BK46" s="79">
        <f t="shared" si="55"/>
        <v>0</v>
      </c>
      <c r="BL46" s="155" t="s">
        <v>225</v>
      </c>
      <c r="BN46" s="98"/>
      <c r="BO46" s="98"/>
      <c r="BP46" s="180"/>
      <c r="BQ46" s="98"/>
      <c r="BR46" s="98">
        <f t="shared" si="40"/>
        <v>0</v>
      </c>
      <c r="BS46" s="98">
        <f t="shared" si="69"/>
        <v>0</v>
      </c>
      <c r="BT46" s="98"/>
      <c r="BU46" s="75">
        <f t="shared" si="41"/>
        <v>0</v>
      </c>
      <c r="BV46" s="101">
        <f t="shared" si="2"/>
        <v>0</v>
      </c>
    </row>
    <row r="47" spans="1:74" s="240" customFormat="1" ht="31.5">
      <c r="A47" s="904"/>
      <c r="B47" s="363"/>
      <c r="C47" s="343" t="s">
        <v>465</v>
      </c>
      <c r="D47" s="363" t="s">
        <v>471</v>
      </c>
      <c r="E47" s="475"/>
      <c r="F47" s="685">
        <f>SUM(F33:F46)</f>
        <v>1802</v>
      </c>
      <c r="G47" s="685">
        <f t="shared" ref="G47:BR47" si="70">SUM(G33:G46)</f>
        <v>54247000</v>
      </c>
      <c r="H47" s="685">
        <f t="shared" si="70"/>
        <v>27123500</v>
      </c>
      <c r="I47" s="685">
        <f t="shared" si="70"/>
        <v>27123500</v>
      </c>
      <c r="J47" s="685">
        <f t="shared" si="70"/>
        <v>0</v>
      </c>
      <c r="K47" s="685">
        <f t="shared" si="70"/>
        <v>0</v>
      </c>
      <c r="L47" s="685">
        <f t="shared" si="70"/>
        <v>0</v>
      </c>
      <c r="M47" s="685">
        <f t="shared" si="70"/>
        <v>0</v>
      </c>
      <c r="N47" s="685">
        <f t="shared" si="70"/>
        <v>0</v>
      </c>
      <c r="O47" s="685">
        <f t="shared" si="70"/>
        <v>0</v>
      </c>
      <c r="P47" s="685">
        <f t="shared" si="70"/>
        <v>0</v>
      </c>
      <c r="Q47" s="685">
        <f t="shared" si="70"/>
        <v>0</v>
      </c>
      <c r="R47" s="685">
        <f t="shared" si="70"/>
        <v>450.5</v>
      </c>
      <c r="S47" s="685">
        <f t="shared" si="70"/>
        <v>450.5</v>
      </c>
      <c r="T47" s="685">
        <f t="shared" si="70"/>
        <v>450.5</v>
      </c>
      <c r="U47" s="685">
        <f t="shared" si="70"/>
        <v>450.5</v>
      </c>
      <c r="V47" s="685">
        <f t="shared" si="70"/>
        <v>13561750</v>
      </c>
      <c r="W47" s="685">
        <f t="shared" si="70"/>
        <v>13561750</v>
      </c>
      <c r="X47" s="685">
        <f t="shared" si="70"/>
        <v>13561750</v>
      </c>
      <c r="Y47" s="685">
        <f t="shared" si="70"/>
        <v>13561750</v>
      </c>
      <c r="Z47" s="685">
        <f t="shared" si="70"/>
        <v>106</v>
      </c>
      <c r="AA47" s="685">
        <f t="shared" si="70"/>
        <v>3191000</v>
      </c>
      <c r="AB47" s="685">
        <f t="shared" si="70"/>
        <v>106</v>
      </c>
      <c r="AC47" s="685">
        <f t="shared" si="70"/>
        <v>3191000</v>
      </c>
      <c r="AD47" s="685">
        <f t="shared" si="70"/>
        <v>106</v>
      </c>
      <c r="AE47" s="685">
        <f t="shared" si="70"/>
        <v>3191000</v>
      </c>
      <c r="AF47" s="685">
        <f t="shared" si="70"/>
        <v>106</v>
      </c>
      <c r="AG47" s="685">
        <f t="shared" si="70"/>
        <v>3191000</v>
      </c>
      <c r="AH47" s="685">
        <f t="shared" si="70"/>
        <v>106</v>
      </c>
      <c r="AI47" s="685">
        <f t="shared" si="70"/>
        <v>3191000</v>
      </c>
      <c r="AJ47" s="685">
        <f t="shared" si="70"/>
        <v>106</v>
      </c>
      <c r="AK47" s="685">
        <f t="shared" si="70"/>
        <v>3191000</v>
      </c>
      <c r="AL47" s="685">
        <f t="shared" si="70"/>
        <v>106</v>
      </c>
      <c r="AM47" s="685">
        <f t="shared" si="70"/>
        <v>3191000</v>
      </c>
      <c r="AN47" s="685">
        <f t="shared" si="70"/>
        <v>106</v>
      </c>
      <c r="AO47" s="685">
        <f t="shared" si="70"/>
        <v>3191000</v>
      </c>
      <c r="AP47" s="685">
        <f t="shared" si="70"/>
        <v>106</v>
      </c>
      <c r="AQ47" s="685">
        <f t="shared" si="70"/>
        <v>3191000</v>
      </c>
      <c r="AR47" s="685">
        <f t="shared" si="70"/>
        <v>106</v>
      </c>
      <c r="AS47" s="685">
        <f t="shared" si="70"/>
        <v>3191000</v>
      </c>
      <c r="AT47" s="685">
        <f t="shared" si="70"/>
        <v>106</v>
      </c>
      <c r="AU47" s="685">
        <f t="shared" si="70"/>
        <v>3191000</v>
      </c>
      <c r="AV47" s="685">
        <f t="shared" si="70"/>
        <v>106</v>
      </c>
      <c r="AW47" s="685">
        <f t="shared" si="70"/>
        <v>3191000</v>
      </c>
      <c r="AX47" s="685">
        <f t="shared" si="70"/>
        <v>106</v>
      </c>
      <c r="AY47" s="685">
        <f t="shared" si="70"/>
        <v>3191000</v>
      </c>
      <c r="AZ47" s="685">
        <f t="shared" si="70"/>
        <v>106</v>
      </c>
      <c r="BA47" s="685">
        <f t="shared" si="70"/>
        <v>3191000</v>
      </c>
      <c r="BB47" s="685">
        <f t="shared" si="70"/>
        <v>106</v>
      </c>
      <c r="BC47" s="685">
        <f t="shared" si="70"/>
        <v>3191000</v>
      </c>
      <c r="BD47" s="685">
        <f t="shared" si="70"/>
        <v>106</v>
      </c>
      <c r="BE47" s="685">
        <f t="shared" si="70"/>
        <v>3191000</v>
      </c>
      <c r="BF47" s="685">
        <f t="shared" si="70"/>
        <v>106</v>
      </c>
      <c r="BG47" s="685">
        <f t="shared" si="70"/>
        <v>3191000</v>
      </c>
      <c r="BH47" s="685">
        <f t="shared" si="70"/>
        <v>0</v>
      </c>
      <c r="BI47" s="685">
        <f t="shared" si="70"/>
        <v>0</v>
      </c>
      <c r="BJ47" s="685">
        <f t="shared" si="70"/>
        <v>1802</v>
      </c>
      <c r="BK47" s="685">
        <f t="shared" si="70"/>
        <v>54247000</v>
      </c>
      <c r="BL47" s="685">
        <f t="shared" si="70"/>
        <v>0</v>
      </c>
      <c r="BM47" s="685">
        <f t="shared" si="70"/>
        <v>0</v>
      </c>
      <c r="BN47" s="685">
        <f t="shared" si="70"/>
        <v>0</v>
      </c>
      <c r="BO47" s="685">
        <f t="shared" si="70"/>
        <v>0</v>
      </c>
      <c r="BP47" s="685">
        <f t="shared" si="70"/>
        <v>0</v>
      </c>
      <c r="BQ47" s="685">
        <f t="shared" si="70"/>
        <v>0</v>
      </c>
      <c r="BR47" s="685">
        <f t="shared" si="70"/>
        <v>0</v>
      </c>
      <c r="BS47" s="685">
        <f>SUM(BS33:BS46)</f>
        <v>54247000</v>
      </c>
      <c r="BT47" s="685">
        <f>SUM(BT33:BT46)</f>
        <v>0</v>
      </c>
      <c r="BU47" s="685">
        <f>SUM(BU33:BU46)</f>
        <v>54247000</v>
      </c>
      <c r="BV47" s="685">
        <f>SUM(BV33:BV46)</f>
        <v>54247000</v>
      </c>
    </row>
    <row r="48" spans="1:74" s="48" customFormat="1" ht="27.75" customHeight="1">
      <c r="A48" s="904"/>
      <c r="B48" s="122"/>
      <c r="C48" s="202" t="s">
        <v>466</v>
      </c>
      <c r="D48" s="93" t="s">
        <v>471</v>
      </c>
      <c r="E48" s="614"/>
      <c r="F48" s="213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614"/>
      <c r="S48" s="614"/>
      <c r="T48" s="614"/>
      <c r="U48" s="614"/>
      <c r="V48" s="241"/>
      <c r="W48" s="241"/>
      <c r="X48" s="241"/>
      <c r="Y48" s="241"/>
      <c r="Z48" s="614"/>
      <c r="AA48" s="79"/>
      <c r="AB48" s="79"/>
      <c r="AC48" s="102"/>
      <c r="AD48" s="79"/>
      <c r="AE48" s="102"/>
      <c r="AF48" s="79"/>
      <c r="AG48" s="102"/>
      <c r="AH48" s="79"/>
      <c r="AI48" s="102"/>
      <c r="AJ48" s="79"/>
      <c r="AK48" s="102"/>
      <c r="AL48" s="79"/>
      <c r="AM48" s="102"/>
      <c r="AN48" s="79"/>
      <c r="AO48" s="102"/>
      <c r="AP48" s="79"/>
      <c r="AQ48" s="102"/>
      <c r="AR48" s="79"/>
      <c r="AS48" s="102"/>
      <c r="AT48" s="79"/>
      <c r="AU48" s="102"/>
      <c r="AV48" s="79"/>
      <c r="AW48" s="102"/>
      <c r="AX48" s="79"/>
      <c r="AY48" s="102"/>
      <c r="AZ48" s="79"/>
      <c r="BA48" s="102"/>
      <c r="BB48" s="79"/>
      <c r="BC48" s="102"/>
      <c r="BD48" s="79"/>
      <c r="BE48" s="102"/>
      <c r="BF48" s="79"/>
      <c r="BG48" s="102"/>
      <c r="BH48" s="79"/>
      <c r="BI48" s="102"/>
      <c r="BJ48" s="79"/>
      <c r="BK48" s="84"/>
      <c r="BL48" s="155"/>
      <c r="BN48" s="574"/>
      <c r="BO48" s="574"/>
      <c r="BP48" s="574"/>
      <c r="BQ48" s="574"/>
      <c r="BR48" s="574"/>
      <c r="BS48" s="574"/>
      <c r="BT48" s="574"/>
      <c r="BU48" s="574"/>
      <c r="BV48" s="380"/>
    </row>
    <row r="49" spans="1:74" ht="28.5" customHeight="1">
      <c r="A49" s="904"/>
      <c r="B49" s="122"/>
      <c r="C49" s="323" t="s">
        <v>143</v>
      </c>
      <c r="D49" s="93" t="s">
        <v>471</v>
      </c>
      <c r="E49" s="325">
        <v>50000</v>
      </c>
      <c r="F49" s="326">
        <f>BJ49</f>
        <v>204</v>
      </c>
      <c r="G49" s="78">
        <f>F49*E49</f>
        <v>10200000</v>
      </c>
      <c r="H49" s="78">
        <f>G49*0.5</f>
        <v>5100000</v>
      </c>
      <c r="I49" s="78">
        <f>G49*0.5</f>
        <v>5100000</v>
      </c>
      <c r="J49" s="78"/>
      <c r="K49" s="78"/>
      <c r="L49" s="78"/>
      <c r="M49" s="78"/>
      <c r="N49" s="78"/>
      <c r="O49" s="79"/>
      <c r="P49" s="79"/>
      <c r="Q49" s="79"/>
      <c r="R49" s="79">
        <f>F49*0.25</f>
        <v>51</v>
      </c>
      <c r="S49" s="79">
        <f>F49*0.25</f>
        <v>51</v>
      </c>
      <c r="T49" s="79">
        <f>F49*0.25</f>
        <v>51</v>
      </c>
      <c r="U49" s="79">
        <f>F49*0.25</f>
        <v>51</v>
      </c>
      <c r="V49" s="79">
        <f>R49*G49</f>
        <v>520200000</v>
      </c>
      <c r="W49" s="79">
        <f>S49*G49</f>
        <v>520200000</v>
      </c>
      <c r="X49" s="79">
        <f>T49*G49</f>
        <v>520200000</v>
      </c>
      <c r="Y49" s="79">
        <f>U49*G49</f>
        <v>520200000</v>
      </c>
      <c r="Z49" s="79">
        <v>12</v>
      </c>
      <c r="AA49" s="79">
        <f>Z49*E49</f>
        <v>600000</v>
      </c>
      <c r="AB49" s="79">
        <v>12</v>
      </c>
      <c r="AC49" s="102">
        <f>AB49*E49</f>
        <v>600000</v>
      </c>
      <c r="AD49" s="79">
        <v>12</v>
      </c>
      <c r="AE49" s="102">
        <f>AD49*E49</f>
        <v>600000</v>
      </c>
      <c r="AF49" s="79">
        <v>12</v>
      </c>
      <c r="AG49" s="102">
        <f>AF49*E49</f>
        <v>600000</v>
      </c>
      <c r="AH49" s="79">
        <v>12</v>
      </c>
      <c r="AI49" s="102">
        <f>AH49*E49</f>
        <v>600000</v>
      </c>
      <c r="AJ49" s="79">
        <v>12</v>
      </c>
      <c r="AK49" s="102">
        <f>AJ49*E49</f>
        <v>600000</v>
      </c>
      <c r="AL49" s="79">
        <v>12</v>
      </c>
      <c r="AM49" s="102">
        <f>AL49*E49</f>
        <v>600000</v>
      </c>
      <c r="AN49" s="79">
        <v>12</v>
      </c>
      <c r="AO49" s="102">
        <f>AN49*E49</f>
        <v>600000</v>
      </c>
      <c r="AP49" s="79">
        <v>12</v>
      </c>
      <c r="AQ49" s="102">
        <f>AP49*E49</f>
        <v>600000</v>
      </c>
      <c r="AR49" s="79">
        <v>12</v>
      </c>
      <c r="AS49" s="102">
        <f>AR49*E49</f>
        <v>600000</v>
      </c>
      <c r="AT49" s="79">
        <v>12</v>
      </c>
      <c r="AU49" s="102">
        <f>AT49*E49</f>
        <v>600000</v>
      </c>
      <c r="AV49" s="79">
        <v>12</v>
      </c>
      <c r="AW49" s="102">
        <f>AV49*E49</f>
        <v>600000</v>
      </c>
      <c r="AX49" s="79">
        <v>12</v>
      </c>
      <c r="AY49" s="102">
        <f>AX49*E49</f>
        <v>600000</v>
      </c>
      <c r="AZ49" s="79">
        <v>12</v>
      </c>
      <c r="BA49" s="102">
        <f>AZ49*E49</f>
        <v>600000</v>
      </c>
      <c r="BB49" s="79">
        <v>12</v>
      </c>
      <c r="BC49" s="102">
        <f>BB49*E49</f>
        <v>600000</v>
      </c>
      <c r="BD49" s="79">
        <v>12</v>
      </c>
      <c r="BE49" s="102">
        <f>BD49*E49</f>
        <v>600000</v>
      </c>
      <c r="BF49" s="79">
        <v>12</v>
      </c>
      <c r="BG49" s="102">
        <f>BF49*E49</f>
        <v>600000</v>
      </c>
      <c r="BH49" s="79"/>
      <c r="BI49" s="102">
        <f>BH49*E49</f>
        <v>0</v>
      </c>
      <c r="BJ49" s="79">
        <f t="shared" ref="BJ49:BK53" si="71">BH49+BF49+BD49+BB49+AZ49+AX49+AV49+AT49+AR49+AP49+AN49+AL49+AJ49+AH49+AF49+AD49+AB49+Z49</f>
        <v>204</v>
      </c>
      <c r="BK49" s="79">
        <f t="shared" si="71"/>
        <v>10200000</v>
      </c>
      <c r="BL49" s="155" t="s">
        <v>226</v>
      </c>
      <c r="BN49" s="70"/>
      <c r="BO49" s="70"/>
      <c r="BP49" s="70"/>
      <c r="BQ49" s="70"/>
      <c r="BR49" s="70"/>
      <c r="BS49" s="70"/>
      <c r="BT49" s="70">
        <f>G49</f>
        <v>10200000</v>
      </c>
      <c r="BU49" s="75">
        <f t="shared" si="41"/>
        <v>10200000</v>
      </c>
      <c r="BV49" s="101">
        <f t="shared" si="2"/>
        <v>10200000</v>
      </c>
    </row>
    <row r="50" spans="1:74" ht="33.75" customHeight="1">
      <c r="A50" s="904"/>
      <c r="B50" s="93"/>
      <c r="C50" s="323" t="s">
        <v>467</v>
      </c>
      <c r="D50" s="93" t="s">
        <v>471</v>
      </c>
      <c r="E50" s="325">
        <v>30000</v>
      </c>
      <c r="F50" s="326">
        <f>BJ50</f>
        <v>204</v>
      </c>
      <c r="G50" s="78">
        <f>F50*E50</f>
        <v>6120000</v>
      </c>
      <c r="H50" s="78">
        <f>G50*0.5</f>
        <v>3060000</v>
      </c>
      <c r="I50" s="78">
        <f>G50*0.5</f>
        <v>3060000</v>
      </c>
      <c r="J50" s="78"/>
      <c r="K50" s="78"/>
      <c r="L50" s="78"/>
      <c r="M50" s="78"/>
      <c r="N50" s="78"/>
      <c r="O50" s="79"/>
      <c r="P50" s="79"/>
      <c r="Q50" s="79"/>
      <c r="R50" s="79">
        <f>F50*0.25</f>
        <v>51</v>
      </c>
      <c r="S50" s="79">
        <f>F50*0.25</f>
        <v>51</v>
      </c>
      <c r="T50" s="79">
        <f>F50*0.25</f>
        <v>51</v>
      </c>
      <c r="U50" s="79">
        <f>F50*0.25</f>
        <v>51</v>
      </c>
      <c r="V50" s="79">
        <f>R50*G50</f>
        <v>312120000</v>
      </c>
      <c r="W50" s="79">
        <f>S50*G50</f>
        <v>312120000</v>
      </c>
      <c r="X50" s="79">
        <f>T50*G50</f>
        <v>312120000</v>
      </c>
      <c r="Y50" s="79">
        <f>U50*G50</f>
        <v>312120000</v>
      </c>
      <c r="Z50" s="79">
        <v>12</v>
      </c>
      <c r="AA50" s="79">
        <f>Z50*E50</f>
        <v>360000</v>
      </c>
      <c r="AB50" s="79">
        <v>12</v>
      </c>
      <c r="AC50" s="102">
        <f>AB50*E50</f>
        <v>360000</v>
      </c>
      <c r="AD50" s="79">
        <v>12</v>
      </c>
      <c r="AE50" s="102">
        <f>AD50*E50</f>
        <v>360000</v>
      </c>
      <c r="AF50" s="79">
        <v>12</v>
      </c>
      <c r="AG50" s="102">
        <f>AF50*E50</f>
        <v>360000</v>
      </c>
      <c r="AH50" s="79">
        <v>12</v>
      </c>
      <c r="AI50" s="102">
        <f>AH50*E50</f>
        <v>360000</v>
      </c>
      <c r="AJ50" s="79">
        <v>12</v>
      </c>
      <c r="AK50" s="102">
        <f>AJ50*E50</f>
        <v>360000</v>
      </c>
      <c r="AL50" s="79">
        <v>12</v>
      </c>
      <c r="AM50" s="102">
        <f>AL50*E50</f>
        <v>360000</v>
      </c>
      <c r="AN50" s="79">
        <v>12</v>
      </c>
      <c r="AO50" s="102">
        <f>AN50*E50</f>
        <v>360000</v>
      </c>
      <c r="AP50" s="79">
        <v>12</v>
      </c>
      <c r="AQ50" s="102">
        <f>AP50*E50</f>
        <v>360000</v>
      </c>
      <c r="AR50" s="79">
        <v>12</v>
      </c>
      <c r="AS50" s="102">
        <f>AR50*E50</f>
        <v>360000</v>
      </c>
      <c r="AT50" s="79">
        <v>12</v>
      </c>
      <c r="AU50" s="102">
        <f>AT50*E50</f>
        <v>360000</v>
      </c>
      <c r="AV50" s="79">
        <v>12</v>
      </c>
      <c r="AW50" s="102">
        <f>AV50*E50</f>
        <v>360000</v>
      </c>
      <c r="AX50" s="79">
        <v>12</v>
      </c>
      <c r="AY50" s="102">
        <f>AX50*E50</f>
        <v>360000</v>
      </c>
      <c r="AZ50" s="79">
        <v>12</v>
      </c>
      <c r="BA50" s="102">
        <f>AZ50*E50</f>
        <v>360000</v>
      </c>
      <c r="BB50" s="79">
        <v>12</v>
      </c>
      <c r="BC50" s="102">
        <f>BB50*E50</f>
        <v>360000</v>
      </c>
      <c r="BD50" s="79">
        <v>12</v>
      </c>
      <c r="BE50" s="102">
        <f>BD50*E50</f>
        <v>360000</v>
      </c>
      <c r="BF50" s="79">
        <v>12</v>
      </c>
      <c r="BG50" s="102">
        <f>BF50*E50</f>
        <v>360000</v>
      </c>
      <c r="BH50" s="79"/>
      <c r="BI50" s="102">
        <f>BH50*E50</f>
        <v>0</v>
      </c>
      <c r="BJ50" s="79">
        <f t="shared" si="71"/>
        <v>204</v>
      </c>
      <c r="BK50" s="79">
        <f t="shared" si="71"/>
        <v>6120000</v>
      </c>
      <c r="BL50" s="155" t="s">
        <v>226</v>
      </c>
      <c r="BN50" s="70"/>
      <c r="BO50" s="70"/>
      <c r="BP50" s="70"/>
      <c r="BQ50" s="70"/>
      <c r="BR50" s="70"/>
      <c r="BS50" s="70"/>
      <c r="BT50" s="70">
        <f>G50</f>
        <v>6120000</v>
      </c>
      <c r="BU50" s="75">
        <f t="shared" si="41"/>
        <v>6120000</v>
      </c>
      <c r="BV50" s="101">
        <f t="shared" si="2"/>
        <v>6120000</v>
      </c>
    </row>
    <row r="51" spans="1:74" ht="33.75" customHeight="1">
      <c r="A51" s="904"/>
      <c r="B51" s="93"/>
      <c r="C51" s="323" t="s">
        <v>137</v>
      </c>
      <c r="D51" s="93" t="s">
        <v>16</v>
      </c>
      <c r="E51" s="325">
        <v>10000</v>
      </c>
      <c r="F51" s="326">
        <f>BJ51</f>
        <v>17</v>
      </c>
      <c r="G51" s="78">
        <f>F51*E51</f>
        <v>170000</v>
      </c>
      <c r="H51" s="78">
        <f>G51*0.5</f>
        <v>85000</v>
      </c>
      <c r="I51" s="78">
        <f>G51*0.5</f>
        <v>85000</v>
      </c>
      <c r="J51" s="78"/>
      <c r="K51" s="78"/>
      <c r="L51" s="78"/>
      <c r="M51" s="78"/>
      <c r="N51" s="78"/>
      <c r="O51" s="78"/>
      <c r="P51" s="78"/>
      <c r="Q51" s="78"/>
      <c r="R51" s="79"/>
      <c r="S51" s="79">
        <f>F51</f>
        <v>17</v>
      </c>
      <c r="T51" s="79"/>
      <c r="U51" s="79"/>
      <c r="V51" s="79">
        <f>R51*G51</f>
        <v>0</v>
      </c>
      <c r="W51" s="79">
        <f>S51*G51</f>
        <v>2890000</v>
      </c>
      <c r="X51" s="79">
        <f>T51*G51</f>
        <v>0</v>
      </c>
      <c r="Y51" s="79">
        <f>U51*G51</f>
        <v>0</v>
      </c>
      <c r="Z51" s="79">
        <v>1</v>
      </c>
      <c r="AA51" s="79">
        <f>Z51*E51</f>
        <v>10000</v>
      </c>
      <c r="AB51" s="79">
        <v>1</v>
      </c>
      <c r="AC51" s="102">
        <f>AB51*E51</f>
        <v>10000</v>
      </c>
      <c r="AD51" s="79">
        <v>1</v>
      </c>
      <c r="AE51" s="102">
        <f>AD51*E51</f>
        <v>10000</v>
      </c>
      <c r="AF51" s="79">
        <v>1</v>
      </c>
      <c r="AG51" s="102">
        <f>AF51*E51</f>
        <v>10000</v>
      </c>
      <c r="AH51" s="79">
        <v>1</v>
      </c>
      <c r="AI51" s="102">
        <f>AH51*E51</f>
        <v>10000</v>
      </c>
      <c r="AJ51" s="79">
        <v>1</v>
      </c>
      <c r="AK51" s="102">
        <f>AJ51*E51</f>
        <v>10000</v>
      </c>
      <c r="AL51" s="79">
        <v>1</v>
      </c>
      <c r="AM51" s="102">
        <f>AL51*E51</f>
        <v>10000</v>
      </c>
      <c r="AN51" s="79">
        <v>1</v>
      </c>
      <c r="AO51" s="102">
        <f>AN51*E51</f>
        <v>10000</v>
      </c>
      <c r="AP51" s="79">
        <v>1</v>
      </c>
      <c r="AQ51" s="102">
        <f>AP51*E51</f>
        <v>10000</v>
      </c>
      <c r="AR51" s="79">
        <v>1</v>
      </c>
      <c r="AS51" s="102">
        <f>AR51*E51</f>
        <v>10000</v>
      </c>
      <c r="AT51" s="79">
        <v>1</v>
      </c>
      <c r="AU51" s="102">
        <f>AT51*E51</f>
        <v>10000</v>
      </c>
      <c r="AV51" s="79">
        <v>1</v>
      </c>
      <c r="AW51" s="102">
        <f>AV51*E51</f>
        <v>10000</v>
      </c>
      <c r="AX51" s="79">
        <v>1</v>
      </c>
      <c r="AY51" s="102">
        <f>AX51*E51</f>
        <v>10000</v>
      </c>
      <c r="AZ51" s="79">
        <v>1</v>
      </c>
      <c r="BA51" s="102">
        <f>AZ51*E51</f>
        <v>10000</v>
      </c>
      <c r="BB51" s="79">
        <v>1</v>
      </c>
      <c r="BC51" s="102">
        <f>BB51*E51</f>
        <v>10000</v>
      </c>
      <c r="BD51" s="79">
        <v>1</v>
      </c>
      <c r="BE51" s="102">
        <f>BD51*E51</f>
        <v>10000</v>
      </c>
      <c r="BF51" s="79">
        <v>1</v>
      </c>
      <c r="BG51" s="102">
        <f>BF51*E51</f>
        <v>10000</v>
      </c>
      <c r="BH51" s="79"/>
      <c r="BI51" s="102">
        <f>BH51*E51</f>
        <v>0</v>
      </c>
      <c r="BJ51" s="79">
        <f t="shared" si="71"/>
        <v>17</v>
      </c>
      <c r="BK51" s="79">
        <f t="shared" si="71"/>
        <v>170000</v>
      </c>
      <c r="BL51" s="155" t="s">
        <v>226</v>
      </c>
      <c r="BN51" s="70"/>
      <c r="BO51" s="70"/>
      <c r="BP51" s="137"/>
      <c r="BQ51" s="70"/>
      <c r="BR51" s="70">
        <f>BN51+BO51+BP51+BQ51</f>
        <v>0</v>
      </c>
      <c r="BS51" s="70"/>
      <c r="BT51" s="70">
        <f>G51</f>
        <v>170000</v>
      </c>
      <c r="BU51" s="75">
        <f t="shared" si="41"/>
        <v>170000</v>
      </c>
      <c r="BV51" s="101">
        <f t="shared" si="2"/>
        <v>170000</v>
      </c>
    </row>
    <row r="52" spans="1:74" ht="33.75" customHeight="1">
      <c r="A52" s="904"/>
      <c r="B52" s="93"/>
      <c r="C52" s="323" t="s">
        <v>797</v>
      </c>
      <c r="D52" s="93" t="s">
        <v>471</v>
      </c>
      <c r="E52" s="325" t="s">
        <v>484</v>
      </c>
      <c r="F52" s="326">
        <f>BJ52</f>
        <v>204</v>
      </c>
      <c r="G52" s="78">
        <f>F52*E52</f>
        <v>5100000</v>
      </c>
      <c r="H52" s="78">
        <f>G52*0.5</f>
        <v>2550000</v>
      </c>
      <c r="I52" s="78">
        <f>G52*0.5</f>
        <v>2550000</v>
      </c>
      <c r="J52" s="78"/>
      <c r="K52" s="78"/>
      <c r="L52" s="78"/>
      <c r="M52" s="78"/>
      <c r="N52" s="78"/>
      <c r="O52" s="78"/>
      <c r="P52" s="78"/>
      <c r="Q52" s="78"/>
      <c r="R52" s="79">
        <f>F52*0.25</f>
        <v>51</v>
      </c>
      <c r="S52" s="79">
        <f>F52*0.25</f>
        <v>51</v>
      </c>
      <c r="T52" s="79">
        <f>F52*0.25</f>
        <v>51</v>
      </c>
      <c r="U52" s="79">
        <f>F52*0.25</f>
        <v>51</v>
      </c>
      <c r="V52" s="79">
        <f>R52*G52</f>
        <v>260100000</v>
      </c>
      <c r="W52" s="79">
        <f>S52*G52</f>
        <v>260100000</v>
      </c>
      <c r="X52" s="79">
        <f>T52*G52</f>
        <v>260100000</v>
      </c>
      <c r="Y52" s="79">
        <f>U52*G52</f>
        <v>260100000</v>
      </c>
      <c r="Z52" s="203">
        <v>12</v>
      </c>
      <c r="AA52" s="79">
        <f>Z52*E52</f>
        <v>300000</v>
      </c>
      <c r="AB52" s="203">
        <v>12</v>
      </c>
      <c r="AC52" s="102">
        <f>AB52*E52</f>
        <v>300000</v>
      </c>
      <c r="AD52" s="203">
        <v>12</v>
      </c>
      <c r="AE52" s="102">
        <f>AD52*E52</f>
        <v>300000</v>
      </c>
      <c r="AF52" s="203">
        <v>12</v>
      </c>
      <c r="AG52" s="102">
        <f>AF52*E52</f>
        <v>300000</v>
      </c>
      <c r="AH52" s="203">
        <v>12</v>
      </c>
      <c r="AI52" s="102">
        <f>AH52*E52</f>
        <v>300000</v>
      </c>
      <c r="AJ52" s="203">
        <v>12</v>
      </c>
      <c r="AK52" s="102">
        <f>AJ52*E52</f>
        <v>300000</v>
      </c>
      <c r="AL52" s="203">
        <v>12</v>
      </c>
      <c r="AM52" s="102">
        <f>AL52*E52</f>
        <v>300000</v>
      </c>
      <c r="AN52" s="203">
        <v>12</v>
      </c>
      <c r="AO52" s="102">
        <f>AN52*E52</f>
        <v>300000</v>
      </c>
      <c r="AP52" s="203">
        <v>12</v>
      </c>
      <c r="AQ52" s="102">
        <f>AP52*E52</f>
        <v>300000</v>
      </c>
      <c r="AR52" s="203">
        <v>12</v>
      </c>
      <c r="AS52" s="102">
        <f>AR52*E52</f>
        <v>300000</v>
      </c>
      <c r="AT52" s="203">
        <v>12</v>
      </c>
      <c r="AU52" s="102">
        <f>AT52*E52</f>
        <v>300000</v>
      </c>
      <c r="AV52" s="203">
        <v>12</v>
      </c>
      <c r="AW52" s="102">
        <f>AV52*E52</f>
        <v>300000</v>
      </c>
      <c r="AX52" s="203">
        <v>12</v>
      </c>
      <c r="AY52" s="102">
        <f>AX52*E52</f>
        <v>300000</v>
      </c>
      <c r="AZ52" s="203">
        <v>12</v>
      </c>
      <c r="BA52" s="102">
        <f>AZ52*E52</f>
        <v>300000</v>
      </c>
      <c r="BB52" s="203">
        <v>12</v>
      </c>
      <c r="BC52" s="102">
        <f>BB52*E52</f>
        <v>300000</v>
      </c>
      <c r="BD52" s="203">
        <v>12</v>
      </c>
      <c r="BE52" s="102">
        <f>BD52*E52</f>
        <v>300000</v>
      </c>
      <c r="BF52" s="203">
        <v>12</v>
      </c>
      <c r="BG52" s="102">
        <f>BF52*E52</f>
        <v>300000</v>
      </c>
      <c r="BH52" s="79"/>
      <c r="BI52" s="102">
        <f>BH52*E52</f>
        <v>0</v>
      </c>
      <c r="BJ52" s="79">
        <f t="shared" si="71"/>
        <v>204</v>
      </c>
      <c r="BK52" s="79">
        <f t="shared" si="71"/>
        <v>5100000</v>
      </c>
      <c r="BL52" s="155" t="s">
        <v>226</v>
      </c>
      <c r="BN52" s="162">
        <f t="shared" ref="BN52:BS52" si="72">SUM(BN51:BN51)</f>
        <v>0</v>
      </c>
      <c r="BO52" s="162">
        <f t="shared" si="72"/>
        <v>0</v>
      </c>
      <c r="BP52" s="162"/>
      <c r="BQ52" s="162">
        <f t="shared" si="72"/>
        <v>0</v>
      </c>
      <c r="BR52" s="162">
        <f t="shared" si="72"/>
        <v>0</v>
      </c>
      <c r="BS52" s="162">
        <f t="shared" si="72"/>
        <v>0</v>
      </c>
      <c r="BT52" s="98">
        <f>G52</f>
        <v>5100000</v>
      </c>
      <c r="BU52" s="75">
        <f t="shared" si="41"/>
        <v>5100000</v>
      </c>
      <c r="BV52" s="102">
        <f t="shared" si="2"/>
        <v>5100000</v>
      </c>
    </row>
    <row r="53" spans="1:74" s="234" customFormat="1" ht="33.75" customHeight="1">
      <c r="A53" s="904"/>
      <c r="B53" s="93"/>
      <c r="C53" s="323" t="s">
        <v>796</v>
      </c>
      <c r="D53" s="93" t="s">
        <v>471</v>
      </c>
      <c r="E53" s="325" t="s">
        <v>487</v>
      </c>
      <c r="F53" s="326">
        <f>BJ53</f>
        <v>204</v>
      </c>
      <c r="G53" s="78">
        <f>F53*E53</f>
        <v>510000</v>
      </c>
      <c r="H53" s="78">
        <f>G53*0.5</f>
        <v>255000</v>
      </c>
      <c r="I53" s="78">
        <f>G53*0.5</f>
        <v>255000</v>
      </c>
      <c r="J53" s="78"/>
      <c r="K53" s="78"/>
      <c r="L53" s="78"/>
      <c r="M53" s="78"/>
      <c r="N53" s="78"/>
      <c r="O53" s="78"/>
      <c r="P53" s="78"/>
      <c r="Q53" s="78"/>
      <c r="R53" s="79">
        <f>F53*0.25</f>
        <v>51</v>
      </c>
      <c r="S53" s="79">
        <f>F53*0.25</f>
        <v>51</v>
      </c>
      <c r="T53" s="79">
        <f>F53*0.25</f>
        <v>51</v>
      </c>
      <c r="U53" s="79">
        <f>F53*0.25</f>
        <v>51</v>
      </c>
      <c r="V53" s="79">
        <f>R53*G53</f>
        <v>26010000</v>
      </c>
      <c r="W53" s="79">
        <f>S53*G53</f>
        <v>26010000</v>
      </c>
      <c r="X53" s="79">
        <f>T53*G53</f>
        <v>26010000</v>
      </c>
      <c r="Y53" s="79">
        <f>U53*G53</f>
        <v>26010000</v>
      </c>
      <c r="Z53" s="79">
        <v>12</v>
      </c>
      <c r="AA53" s="79">
        <f>Z53*E53</f>
        <v>30000</v>
      </c>
      <c r="AB53" s="79">
        <v>12</v>
      </c>
      <c r="AC53" s="102">
        <f>AB53*E53</f>
        <v>30000</v>
      </c>
      <c r="AD53" s="79">
        <v>12</v>
      </c>
      <c r="AE53" s="102">
        <f>AD53*E53</f>
        <v>30000</v>
      </c>
      <c r="AF53" s="79">
        <v>12</v>
      </c>
      <c r="AG53" s="102">
        <f>AF53*E53</f>
        <v>30000</v>
      </c>
      <c r="AH53" s="79">
        <v>12</v>
      </c>
      <c r="AI53" s="102">
        <f>AH53*E53</f>
        <v>30000</v>
      </c>
      <c r="AJ53" s="79">
        <v>12</v>
      </c>
      <c r="AK53" s="102">
        <f>AJ53*E53</f>
        <v>30000</v>
      </c>
      <c r="AL53" s="79">
        <v>12</v>
      </c>
      <c r="AM53" s="102">
        <f>AL53*E53</f>
        <v>30000</v>
      </c>
      <c r="AN53" s="79">
        <v>12</v>
      </c>
      <c r="AO53" s="102">
        <f>AN53*E53</f>
        <v>30000</v>
      </c>
      <c r="AP53" s="79">
        <v>12</v>
      </c>
      <c r="AQ53" s="102">
        <f>AP53*E53</f>
        <v>30000</v>
      </c>
      <c r="AR53" s="79">
        <v>12</v>
      </c>
      <c r="AS53" s="102">
        <f>AR53*E53</f>
        <v>30000</v>
      </c>
      <c r="AT53" s="79">
        <v>12</v>
      </c>
      <c r="AU53" s="102">
        <f>AT53*E53</f>
        <v>30000</v>
      </c>
      <c r="AV53" s="79">
        <v>12</v>
      </c>
      <c r="AW53" s="102">
        <f>AV53*E53</f>
        <v>30000</v>
      </c>
      <c r="AX53" s="79">
        <v>12</v>
      </c>
      <c r="AY53" s="102">
        <f>AX53*E53</f>
        <v>30000</v>
      </c>
      <c r="AZ53" s="79">
        <v>12</v>
      </c>
      <c r="BA53" s="102">
        <f>AZ53*E53</f>
        <v>30000</v>
      </c>
      <c r="BB53" s="79">
        <v>12</v>
      </c>
      <c r="BC53" s="102">
        <f>BB53*E53</f>
        <v>30000</v>
      </c>
      <c r="BD53" s="79">
        <v>12</v>
      </c>
      <c r="BE53" s="102">
        <f>BD53*E53</f>
        <v>30000</v>
      </c>
      <c r="BF53" s="79">
        <v>12</v>
      </c>
      <c r="BG53" s="102">
        <f>BF53*E53</f>
        <v>30000</v>
      </c>
      <c r="BH53" s="79"/>
      <c r="BI53" s="102">
        <f>BH53*E53</f>
        <v>0</v>
      </c>
      <c r="BJ53" s="79">
        <f t="shared" si="71"/>
        <v>204</v>
      </c>
      <c r="BK53" s="79">
        <f t="shared" si="71"/>
        <v>510000</v>
      </c>
      <c r="BL53" s="155" t="s">
        <v>226</v>
      </c>
      <c r="BN53" s="98"/>
      <c r="BO53" s="98"/>
      <c r="BP53" s="180"/>
      <c r="BQ53" s="98"/>
      <c r="BR53" s="98">
        <f>BN53+BO53+BP53+BQ53</f>
        <v>0</v>
      </c>
      <c r="BS53" s="98"/>
      <c r="BT53" s="98">
        <f>G53</f>
        <v>510000</v>
      </c>
      <c r="BU53" s="75">
        <f t="shared" si="41"/>
        <v>510000</v>
      </c>
      <c r="BV53" s="102">
        <f t="shared" si="2"/>
        <v>510000</v>
      </c>
    </row>
    <row r="54" spans="1:74" s="240" customFormat="1">
      <c r="A54" s="345"/>
      <c r="B54" s="363"/>
      <c r="C54" s="336" t="s">
        <v>489</v>
      </c>
      <c r="D54" s="363"/>
      <c r="E54" s="440"/>
      <c r="F54" s="365">
        <f t="shared" ref="F54:AK54" si="73">SUM(F49:F53)</f>
        <v>833</v>
      </c>
      <c r="G54" s="365">
        <f t="shared" si="73"/>
        <v>22100000</v>
      </c>
      <c r="H54" s="365">
        <f t="shared" si="73"/>
        <v>11050000</v>
      </c>
      <c r="I54" s="365">
        <f t="shared" si="73"/>
        <v>11050000</v>
      </c>
      <c r="J54" s="365">
        <f t="shared" si="73"/>
        <v>0</v>
      </c>
      <c r="K54" s="365">
        <f t="shared" si="73"/>
        <v>0</v>
      </c>
      <c r="L54" s="365">
        <f t="shared" si="73"/>
        <v>0</v>
      </c>
      <c r="M54" s="365">
        <f t="shared" si="73"/>
        <v>0</v>
      </c>
      <c r="N54" s="365">
        <f t="shared" si="73"/>
        <v>0</v>
      </c>
      <c r="O54" s="365">
        <f t="shared" si="73"/>
        <v>0</v>
      </c>
      <c r="P54" s="365">
        <f t="shared" si="73"/>
        <v>0</v>
      </c>
      <c r="Q54" s="365">
        <f t="shared" si="73"/>
        <v>0</v>
      </c>
      <c r="R54" s="365">
        <f t="shared" si="73"/>
        <v>204</v>
      </c>
      <c r="S54" s="365">
        <f t="shared" si="73"/>
        <v>221</v>
      </c>
      <c r="T54" s="365">
        <f t="shared" si="73"/>
        <v>204</v>
      </c>
      <c r="U54" s="365">
        <f t="shared" si="73"/>
        <v>204</v>
      </c>
      <c r="V54" s="365">
        <f t="shared" si="73"/>
        <v>1118430000</v>
      </c>
      <c r="W54" s="365">
        <f t="shared" si="73"/>
        <v>1121320000</v>
      </c>
      <c r="X54" s="365">
        <f t="shared" si="73"/>
        <v>1118430000</v>
      </c>
      <c r="Y54" s="365">
        <f t="shared" si="73"/>
        <v>1118430000</v>
      </c>
      <c r="Z54" s="365">
        <f t="shared" si="73"/>
        <v>49</v>
      </c>
      <c r="AA54" s="365">
        <f t="shared" si="73"/>
        <v>1300000</v>
      </c>
      <c r="AB54" s="365">
        <f t="shared" si="73"/>
        <v>49</v>
      </c>
      <c r="AC54" s="365">
        <f t="shared" si="73"/>
        <v>1300000</v>
      </c>
      <c r="AD54" s="365">
        <f t="shared" si="73"/>
        <v>49</v>
      </c>
      <c r="AE54" s="365">
        <f t="shared" si="73"/>
        <v>1300000</v>
      </c>
      <c r="AF54" s="365">
        <f t="shared" si="73"/>
        <v>49</v>
      </c>
      <c r="AG54" s="365">
        <f t="shared" si="73"/>
        <v>1300000</v>
      </c>
      <c r="AH54" s="365">
        <f t="shared" si="73"/>
        <v>49</v>
      </c>
      <c r="AI54" s="365">
        <f t="shared" si="73"/>
        <v>1300000</v>
      </c>
      <c r="AJ54" s="365">
        <f t="shared" si="73"/>
        <v>49</v>
      </c>
      <c r="AK54" s="365">
        <f t="shared" si="73"/>
        <v>1300000</v>
      </c>
      <c r="AL54" s="365">
        <f t="shared" ref="AL54:BK54" si="74">SUM(AL49:AL53)</f>
        <v>49</v>
      </c>
      <c r="AM54" s="365">
        <f t="shared" si="74"/>
        <v>1300000</v>
      </c>
      <c r="AN54" s="365">
        <f t="shared" si="74"/>
        <v>49</v>
      </c>
      <c r="AO54" s="365">
        <f t="shared" si="74"/>
        <v>1300000</v>
      </c>
      <c r="AP54" s="365">
        <f t="shared" si="74"/>
        <v>49</v>
      </c>
      <c r="AQ54" s="365">
        <f t="shared" si="74"/>
        <v>1300000</v>
      </c>
      <c r="AR54" s="365">
        <f t="shared" si="74"/>
        <v>49</v>
      </c>
      <c r="AS54" s="365">
        <f t="shared" si="74"/>
        <v>1300000</v>
      </c>
      <c r="AT54" s="365">
        <f t="shared" si="74"/>
        <v>49</v>
      </c>
      <c r="AU54" s="365">
        <f t="shared" si="74"/>
        <v>1300000</v>
      </c>
      <c r="AV54" s="365">
        <f t="shared" si="74"/>
        <v>49</v>
      </c>
      <c r="AW54" s="365">
        <f t="shared" si="74"/>
        <v>1300000</v>
      </c>
      <c r="AX54" s="365">
        <f t="shared" si="74"/>
        <v>49</v>
      </c>
      <c r="AY54" s="365">
        <f t="shared" si="74"/>
        <v>1300000</v>
      </c>
      <c r="AZ54" s="365">
        <f t="shared" si="74"/>
        <v>49</v>
      </c>
      <c r="BA54" s="365">
        <f t="shared" si="74"/>
        <v>1300000</v>
      </c>
      <c r="BB54" s="365">
        <f t="shared" si="74"/>
        <v>49</v>
      </c>
      <c r="BC54" s="365">
        <f t="shared" si="74"/>
        <v>1300000</v>
      </c>
      <c r="BD54" s="365">
        <f t="shared" si="74"/>
        <v>49</v>
      </c>
      <c r="BE54" s="365">
        <f t="shared" si="74"/>
        <v>1300000</v>
      </c>
      <c r="BF54" s="365">
        <f t="shared" si="74"/>
        <v>49</v>
      </c>
      <c r="BG54" s="365">
        <f t="shared" si="74"/>
        <v>1300000</v>
      </c>
      <c r="BH54" s="365">
        <f t="shared" si="74"/>
        <v>0</v>
      </c>
      <c r="BI54" s="365">
        <f t="shared" si="74"/>
        <v>0</v>
      </c>
      <c r="BJ54" s="365">
        <f t="shared" si="74"/>
        <v>833</v>
      </c>
      <c r="BK54" s="365">
        <f t="shared" si="74"/>
        <v>22100000</v>
      </c>
      <c r="BL54" s="365">
        <f t="shared" ref="BL54:BV54" si="75">SUM(BL49:BL53)</f>
        <v>0</v>
      </c>
      <c r="BM54" s="365">
        <f t="shared" si="75"/>
        <v>0</v>
      </c>
      <c r="BN54" s="365">
        <f t="shared" si="75"/>
        <v>0</v>
      </c>
      <c r="BO54" s="365">
        <f t="shared" si="75"/>
        <v>0</v>
      </c>
      <c r="BP54" s="365">
        <f t="shared" si="75"/>
        <v>0</v>
      </c>
      <c r="BQ54" s="365">
        <f t="shared" si="75"/>
        <v>0</v>
      </c>
      <c r="BR54" s="365">
        <f t="shared" si="75"/>
        <v>0</v>
      </c>
      <c r="BS54" s="365">
        <f t="shared" si="75"/>
        <v>0</v>
      </c>
      <c r="BT54" s="365">
        <f t="shared" si="75"/>
        <v>22100000</v>
      </c>
      <c r="BU54" s="365">
        <f t="shared" si="75"/>
        <v>22100000</v>
      </c>
      <c r="BV54" s="365">
        <f t="shared" si="75"/>
        <v>22100000</v>
      </c>
    </row>
    <row r="55" spans="1:74" s="489" customFormat="1">
      <c r="B55" s="490"/>
      <c r="C55" s="490" t="s">
        <v>470</v>
      </c>
      <c r="D55" s="490"/>
      <c r="E55" s="573"/>
      <c r="F55" s="490">
        <f t="shared" ref="F55:AK55" si="76">F54+F47+F29+F15</f>
        <v>3227</v>
      </c>
      <c r="G55" s="490">
        <f t="shared" si="76"/>
        <v>95668000</v>
      </c>
      <c r="H55" s="490">
        <f t="shared" si="76"/>
        <v>42037700</v>
      </c>
      <c r="I55" s="490">
        <f t="shared" si="76"/>
        <v>53630300</v>
      </c>
      <c r="J55" s="490">
        <f t="shared" si="76"/>
        <v>0</v>
      </c>
      <c r="K55" s="490">
        <f t="shared" si="76"/>
        <v>0</v>
      </c>
      <c r="L55" s="490">
        <f t="shared" si="76"/>
        <v>0</v>
      </c>
      <c r="M55" s="490">
        <f t="shared" si="76"/>
        <v>0</v>
      </c>
      <c r="N55" s="490">
        <f t="shared" si="76"/>
        <v>0</v>
      </c>
      <c r="O55" s="490">
        <f t="shared" si="76"/>
        <v>0</v>
      </c>
      <c r="P55" s="490">
        <f t="shared" si="76"/>
        <v>0</v>
      </c>
      <c r="Q55" s="490">
        <f t="shared" si="76"/>
        <v>0</v>
      </c>
      <c r="R55" s="490">
        <f t="shared" si="76"/>
        <v>797.5</v>
      </c>
      <c r="S55" s="490">
        <f t="shared" si="76"/>
        <v>869.5</v>
      </c>
      <c r="T55" s="490">
        <f t="shared" si="76"/>
        <v>779.5</v>
      </c>
      <c r="U55" s="490">
        <f t="shared" si="76"/>
        <v>779.5</v>
      </c>
      <c r="V55" s="490">
        <f t="shared" si="76"/>
        <v>1138553750</v>
      </c>
      <c r="W55" s="490">
        <f t="shared" si="76"/>
        <v>1144208750</v>
      </c>
      <c r="X55" s="490">
        <f t="shared" si="76"/>
        <v>1137703750</v>
      </c>
      <c r="Y55" s="490">
        <f t="shared" si="76"/>
        <v>1137703750</v>
      </c>
      <c r="Z55" s="490">
        <f t="shared" si="76"/>
        <v>209</v>
      </c>
      <c r="AA55" s="490">
        <f t="shared" si="76"/>
        <v>9188000</v>
      </c>
      <c r="AB55" s="490">
        <f t="shared" si="76"/>
        <v>195</v>
      </c>
      <c r="AC55" s="490">
        <f t="shared" si="76"/>
        <v>5693000</v>
      </c>
      <c r="AD55" s="490">
        <f t="shared" si="76"/>
        <v>187</v>
      </c>
      <c r="AE55" s="490">
        <f t="shared" si="76"/>
        <v>5268000</v>
      </c>
      <c r="AF55" s="490">
        <f t="shared" si="76"/>
        <v>187</v>
      </c>
      <c r="AG55" s="490">
        <f t="shared" si="76"/>
        <v>5268000</v>
      </c>
      <c r="AH55" s="490">
        <f t="shared" si="76"/>
        <v>188</v>
      </c>
      <c r="AI55" s="490">
        <f t="shared" si="76"/>
        <v>5428000</v>
      </c>
      <c r="AJ55" s="490">
        <f t="shared" si="76"/>
        <v>195</v>
      </c>
      <c r="AK55" s="490">
        <f t="shared" si="76"/>
        <v>5435000</v>
      </c>
      <c r="AL55" s="490">
        <f t="shared" ref="AL55:BQ55" si="77">AL54+AL47+AL29+AL15</f>
        <v>188</v>
      </c>
      <c r="AM55" s="490">
        <f t="shared" si="77"/>
        <v>5428000</v>
      </c>
      <c r="AN55" s="490">
        <f t="shared" si="77"/>
        <v>188</v>
      </c>
      <c r="AO55" s="490">
        <f t="shared" si="77"/>
        <v>5428000</v>
      </c>
      <c r="AP55" s="490">
        <f t="shared" si="77"/>
        <v>188</v>
      </c>
      <c r="AQ55" s="490">
        <f t="shared" si="77"/>
        <v>5428000</v>
      </c>
      <c r="AR55" s="490">
        <f t="shared" si="77"/>
        <v>188</v>
      </c>
      <c r="AS55" s="490">
        <f t="shared" si="77"/>
        <v>5428000</v>
      </c>
      <c r="AT55" s="490">
        <f t="shared" si="77"/>
        <v>188</v>
      </c>
      <c r="AU55" s="490">
        <f t="shared" si="77"/>
        <v>5428000</v>
      </c>
      <c r="AV55" s="490">
        <f t="shared" si="77"/>
        <v>188</v>
      </c>
      <c r="AW55" s="490">
        <f t="shared" si="77"/>
        <v>5428000</v>
      </c>
      <c r="AX55" s="490">
        <f t="shared" si="77"/>
        <v>188</v>
      </c>
      <c r="AY55" s="490">
        <f t="shared" si="77"/>
        <v>5428000</v>
      </c>
      <c r="AZ55" s="490">
        <f t="shared" si="77"/>
        <v>187</v>
      </c>
      <c r="BA55" s="490">
        <f t="shared" si="77"/>
        <v>5268000</v>
      </c>
      <c r="BB55" s="490">
        <f t="shared" si="77"/>
        <v>188</v>
      </c>
      <c r="BC55" s="490">
        <f t="shared" si="77"/>
        <v>5428000</v>
      </c>
      <c r="BD55" s="490">
        <f t="shared" si="77"/>
        <v>187</v>
      </c>
      <c r="BE55" s="490">
        <f t="shared" si="77"/>
        <v>5268000</v>
      </c>
      <c r="BF55" s="490">
        <f t="shared" si="77"/>
        <v>188</v>
      </c>
      <c r="BG55" s="490">
        <f t="shared" si="77"/>
        <v>5428000</v>
      </c>
      <c r="BH55" s="490">
        <f t="shared" si="77"/>
        <v>0</v>
      </c>
      <c r="BI55" s="490">
        <f t="shared" si="77"/>
        <v>0</v>
      </c>
      <c r="BJ55" s="490">
        <f t="shared" si="77"/>
        <v>3227</v>
      </c>
      <c r="BK55" s="490">
        <f t="shared" si="77"/>
        <v>95668000</v>
      </c>
      <c r="BL55" s="490">
        <f t="shared" si="77"/>
        <v>0</v>
      </c>
      <c r="BM55" s="490">
        <f t="shared" si="77"/>
        <v>0</v>
      </c>
      <c r="BN55" s="490">
        <f t="shared" si="77"/>
        <v>3000000</v>
      </c>
      <c r="BO55" s="490">
        <f t="shared" si="77"/>
        <v>0</v>
      </c>
      <c r="BP55" s="490">
        <f t="shared" si="77"/>
        <v>4805000</v>
      </c>
      <c r="BQ55" s="490">
        <f t="shared" si="77"/>
        <v>0</v>
      </c>
      <c r="BR55" s="490">
        <f t="shared" ref="BR55:BV55" si="78">BR54+BR47+BR29+BR15</f>
        <v>6955000</v>
      </c>
      <c r="BS55" s="490">
        <f t="shared" si="78"/>
        <v>54247000</v>
      </c>
      <c r="BT55" s="490">
        <f t="shared" si="78"/>
        <v>34466000</v>
      </c>
      <c r="BU55" s="490">
        <f t="shared" si="78"/>
        <v>88713000</v>
      </c>
      <c r="BV55" s="490">
        <f t="shared" si="78"/>
        <v>95668000</v>
      </c>
    </row>
    <row r="56" spans="1:74">
      <c r="X56" s="54"/>
      <c r="AA56" s="31">
        <f>+AA55+AC55+AE55+AG55+AI55+AK55+AM55+AO55+AQ55+AS55+AU55+AW55+AY55+BA55+BC55+BE55+BG55+BI55</f>
        <v>95668000</v>
      </c>
      <c r="BS56" s="54"/>
    </row>
    <row r="58" spans="1:74">
      <c r="AA58" s="31" t="e">
        <f>#REF!+#REF!+#REF!+AA48+AA20</f>
        <v>#REF!</v>
      </c>
    </row>
  </sheetData>
  <mergeCells count="43">
    <mergeCell ref="AF7:AG8"/>
    <mergeCell ref="AX7:AY8"/>
    <mergeCell ref="AZ7:BA8"/>
    <mergeCell ref="BB7:BC8"/>
    <mergeCell ref="BD7:BE8"/>
    <mergeCell ref="AH7:AI8"/>
    <mergeCell ref="AJ7:AK8"/>
    <mergeCell ref="AL7:AM8"/>
    <mergeCell ref="AN7:AO8"/>
    <mergeCell ref="AP7:AQ8"/>
    <mergeCell ref="AR7:AS8"/>
    <mergeCell ref="H7:Q7"/>
    <mergeCell ref="A10:A53"/>
    <mergeCell ref="BF7:BG8"/>
    <mergeCell ref="BH7:BI8"/>
    <mergeCell ref="BJ7:BK8"/>
    <mergeCell ref="C8:C9"/>
    <mergeCell ref="E8:E9"/>
    <mergeCell ref="F8:F9"/>
    <mergeCell ref="G8:G9"/>
    <mergeCell ref="AT7:AU8"/>
    <mergeCell ref="AV7:AW8"/>
    <mergeCell ref="R7:U8"/>
    <mergeCell ref="V7:Y8"/>
    <mergeCell ref="Z7:AA8"/>
    <mergeCell ref="AB7:AC8"/>
    <mergeCell ref="AD7:AE8"/>
    <mergeCell ref="BL7:BL9"/>
    <mergeCell ref="BN8:BR8"/>
    <mergeCell ref="BS8:BU8"/>
    <mergeCell ref="BV8:BV9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D7"/>
    <mergeCell ref="E7:G7"/>
  </mergeCells>
  <pageMargins left="0.4" right="0.7" top="0.32" bottom="0.17" header="0.3" footer="0.17"/>
  <pageSetup paperSize="9" scale="28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W36"/>
  <sheetViews>
    <sheetView zoomScale="70" zoomScaleNormal="70" workbookViewId="0">
      <pane xSplit="8" ySplit="10" topLeftCell="BK11" activePane="bottomRight" state="frozen"/>
      <selection activeCell="C8" sqref="C8"/>
      <selection pane="topRight" activeCell="H8" sqref="H8"/>
      <selection pane="bottomLeft" activeCell="C11" sqref="C11"/>
      <selection pane="bottomRight" activeCell="CA28" sqref="CA28"/>
    </sheetView>
  </sheetViews>
  <sheetFormatPr defaultColWidth="9.140625" defaultRowHeight="15.75"/>
  <cols>
    <col min="1" max="1" width="11.7109375" style="64" hidden="1" customWidth="1"/>
    <col min="2" max="2" width="14" style="59" hidden="1" customWidth="1"/>
    <col min="3" max="3" width="12.42578125" style="59" hidden="1" customWidth="1"/>
    <col min="4" max="4" width="37.140625" style="59" customWidth="1"/>
    <col min="5" max="5" width="11.42578125" style="59" customWidth="1"/>
    <col min="6" max="6" width="19.85546875" style="59" customWidth="1"/>
    <col min="7" max="7" width="8.42578125" style="59" customWidth="1"/>
    <col min="8" max="8" width="16.28515625" style="297" customWidth="1"/>
    <col min="9" max="9" width="13.140625" style="297" customWidth="1"/>
    <col min="10" max="10" width="17.28515625" style="297" customWidth="1"/>
    <col min="11" max="11" width="10.28515625" style="297" customWidth="1"/>
    <col min="12" max="12" width="13" style="297" customWidth="1"/>
    <col min="13" max="13" width="6.5703125" style="297" customWidth="1"/>
    <col min="14" max="14" width="12.140625" style="297" customWidth="1"/>
    <col min="15" max="15" width="5.5703125" style="297" customWidth="1"/>
    <col min="16" max="16" width="7.140625" style="297" customWidth="1"/>
    <col min="17" max="17" width="12" style="297" customWidth="1"/>
    <col min="18" max="18" width="8.28515625" style="59" customWidth="1"/>
    <col min="19" max="22" width="7.5703125" style="349" customWidth="1"/>
    <col min="23" max="26" width="15.42578125" style="297" customWidth="1"/>
    <col min="27" max="27" width="5.140625" style="59" customWidth="1"/>
    <col min="28" max="28" width="11.7109375" style="59" customWidth="1"/>
    <col min="29" max="29" width="5.140625" style="59" customWidth="1"/>
    <col min="30" max="30" width="11.7109375" style="59" customWidth="1"/>
    <col min="31" max="31" width="5.140625" style="59" customWidth="1"/>
    <col min="32" max="32" width="11.7109375" style="59" customWidth="1"/>
    <col min="33" max="33" width="5.140625" style="59" customWidth="1"/>
    <col min="34" max="34" width="13.140625" style="59" customWidth="1"/>
    <col min="35" max="35" width="5.140625" style="59" customWidth="1"/>
    <col min="36" max="36" width="13.140625" style="59" customWidth="1"/>
    <col min="37" max="37" width="5.140625" style="59" customWidth="1"/>
    <col min="38" max="38" width="13.140625" style="59" customWidth="1"/>
    <col min="39" max="39" width="5.140625" style="59" customWidth="1"/>
    <col min="40" max="40" width="13.140625" style="59" customWidth="1"/>
    <col min="41" max="41" width="5.140625" style="59" customWidth="1"/>
    <col min="42" max="42" width="13.140625" style="59" customWidth="1"/>
    <col min="43" max="43" width="5.140625" style="59" customWidth="1"/>
    <col min="44" max="44" width="11.7109375" style="59" customWidth="1"/>
    <col min="45" max="45" width="5.140625" style="59" customWidth="1"/>
    <col min="46" max="46" width="13.140625" style="59" customWidth="1"/>
    <col min="47" max="47" width="5.140625" style="59" customWidth="1"/>
    <col min="48" max="48" width="13.140625" style="59" customWidth="1"/>
    <col min="49" max="49" width="5.140625" style="59" customWidth="1"/>
    <col min="50" max="50" width="13.140625" style="59" customWidth="1"/>
    <col min="51" max="51" width="5.140625" style="59" customWidth="1"/>
    <col min="52" max="52" width="13.140625" style="59" customWidth="1"/>
    <col min="53" max="53" width="5.140625" style="59" customWidth="1"/>
    <col min="54" max="54" width="13.140625" style="59" customWidth="1"/>
    <col min="55" max="55" width="5.140625" style="59" customWidth="1"/>
    <col min="56" max="56" width="13.140625" style="59" customWidth="1"/>
    <col min="57" max="57" width="5.140625" style="59" customWidth="1"/>
    <col min="58" max="58" width="13.140625" style="59" customWidth="1"/>
    <col min="59" max="59" width="5.140625" style="59" customWidth="1"/>
    <col min="60" max="60" width="13.140625" style="59" customWidth="1"/>
    <col min="61" max="61" width="5.140625" style="59" customWidth="1"/>
    <col min="62" max="62" width="17.28515625" style="59" customWidth="1"/>
    <col min="63" max="63" width="7.85546875" style="59" customWidth="1"/>
    <col min="64" max="64" width="15.42578125" style="59" customWidth="1"/>
    <col min="65" max="65" width="22.28515625" style="59" customWidth="1"/>
    <col min="66" max="66" width="9.140625" style="59" customWidth="1"/>
    <col min="67" max="67" width="6.7109375" style="64" bestFit="1" customWidth="1"/>
    <col min="68" max="68" width="18.7109375" style="64" bestFit="1" customWidth="1"/>
    <col min="69" max="69" width="14.28515625" style="64" bestFit="1" customWidth="1"/>
    <col min="70" max="70" width="9.140625" style="64"/>
    <col min="71" max="71" width="15.5703125" style="64" bestFit="1" customWidth="1"/>
    <col min="72" max="74" width="9.140625" style="64"/>
    <col min="75" max="75" width="14.28515625" style="64" bestFit="1" customWidth="1"/>
    <col min="76" max="16384" width="9.140625" style="64"/>
  </cols>
  <sheetData>
    <row r="1" spans="1:75" ht="15.75" hidden="1" customHeight="1"/>
    <row r="2" spans="1:75" ht="15.75" hidden="1" customHeight="1">
      <c r="A2" s="812" t="s">
        <v>169</v>
      </c>
      <c r="B2" s="81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350"/>
      <c r="T2" s="350"/>
      <c r="U2" s="350"/>
      <c r="V2" s="350"/>
      <c r="W2" s="351"/>
      <c r="X2" s="351"/>
      <c r="Y2" s="351"/>
      <c r="Z2" s="351"/>
    </row>
    <row r="3" spans="1:75" ht="15.75" hidden="1" customHeight="1">
      <c r="A3" s="812" t="s">
        <v>171</v>
      </c>
      <c r="B3" s="81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350"/>
      <c r="T3" s="350"/>
      <c r="U3" s="350"/>
      <c r="V3" s="350"/>
      <c r="W3" s="351"/>
      <c r="X3" s="351"/>
      <c r="Y3" s="351"/>
      <c r="Z3" s="351"/>
    </row>
    <row r="4" spans="1:75" ht="15.75" hidden="1" customHeight="1">
      <c r="A4" s="812" t="s">
        <v>166</v>
      </c>
      <c r="B4" s="81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  <c r="R4" s="922"/>
      <c r="S4" s="350"/>
      <c r="T4" s="350"/>
      <c r="U4" s="350"/>
      <c r="V4" s="350"/>
      <c r="W4" s="351"/>
      <c r="X4" s="351"/>
      <c r="Y4" s="351"/>
      <c r="Z4" s="351"/>
    </row>
    <row r="5" spans="1:75" ht="15.75" hidden="1" customHeight="1">
      <c r="A5" s="812" t="s">
        <v>172</v>
      </c>
      <c r="B5" s="81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350"/>
      <c r="T5" s="350"/>
      <c r="U5" s="350"/>
      <c r="V5" s="350"/>
      <c r="W5" s="351"/>
      <c r="X5" s="351"/>
      <c r="Y5" s="351"/>
      <c r="Z5" s="351"/>
    </row>
    <row r="6" spans="1:75" ht="15.75" hidden="1" customHeight="1">
      <c r="A6" s="812" t="s">
        <v>173</v>
      </c>
      <c r="B6" s="812"/>
      <c r="C6" s="922"/>
      <c r="D6" s="922"/>
      <c r="E6" s="922"/>
      <c r="F6" s="922"/>
      <c r="G6" s="922"/>
      <c r="H6" s="922"/>
      <c r="I6" s="922"/>
      <c r="J6" s="922"/>
      <c r="K6" s="922"/>
      <c r="L6" s="922"/>
      <c r="M6" s="922"/>
      <c r="N6" s="922"/>
      <c r="O6" s="922"/>
      <c r="P6" s="922"/>
      <c r="Q6" s="922"/>
      <c r="R6" s="922"/>
      <c r="S6" s="350"/>
      <c r="T6" s="350"/>
      <c r="U6" s="350"/>
      <c r="V6" s="350"/>
      <c r="W6" s="351"/>
      <c r="X6" s="351"/>
      <c r="Y6" s="351"/>
      <c r="Z6" s="351"/>
    </row>
    <row r="7" spans="1:75" ht="28.5" customHeight="1">
      <c r="A7" s="825"/>
      <c r="B7" s="826"/>
      <c r="C7" s="827"/>
      <c r="D7" s="352"/>
      <c r="E7" s="352"/>
      <c r="F7" s="923" t="s">
        <v>21</v>
      </c>
      <c r="G7" s="924"/>
      <c r="H7" s="925"/>
      <c r="I7" s="901" t="s">
        <v>162</v>
      </c>
      <c r="J7" s="902"/>
      <c r="K7" s="902"/>
      <c r="L7" s="902"/>
      <c r="M7" s="902"/>
      <c r="N7" s="902"/>
      <c r="O7" s="902"/>
      <c r="P7" s="902"/>
      <c r="Q7" s="902"/>
      <c r="R7" s="903"/>
      <c r="S7" s="937" t="s">
        <v>60</v>
      </c>
      <c r="T7" s="938"/>
      <c r="U7" s="938"/>
      <c r="V7" s="939"/>
      <c r="W7" s="931" t="s">
        <v>6</v>
      </c>
      <c r="X7" s="932"/>
      <c r="Y7" s="932"/>
      <c r="Z7" s="933"/>
      <c r="AA7" s="927" t="s">
        <v>192</v>
      </c>
      <c r="AB7" s="927"/>
      <c r="AC7" s="927" t="s">
        <v>193</v>
      </c>
      <c r="AD7" s="927"/>
      <c r="AE7" s="927" t="s">
        <v>194</v>
      </c>
      <c r="AF7" s="927"/>
      <c r="AG7" s="927" t="s">
        <v>195</v>
      </c>
      <c r="AH7" s="927"/>
      <c r="AI7" s="927" t="s">
        <v>196</v>
      </c>
      <c r="AJ7" s="927"/>
      <c r="AK7" s="927" t="s">
        <v>197</v>
      </c>
      <c r="AL7" s="927"/>
      <c r="AM7" s="927" t="s">
        <v>198</v>
      </c>
      <c r="AN7" s="927"/>
      <c r="AO7" s="927" t="s">
        <v>199</v>
      </c>
      <c r="AP7" s="927"/>
      <c r="AQ7" s="927" t="s">
        <v>200</v>
      </c>
      <c r="AR7" s="927"/>
      <c r="AS7" s="927" t="s">
        <v>201</v>
      </c>
      <c r="AT7" s="927"/>
      <c r="AU7" s="927" t="s">
        <v>202</v>
      </c>
      <c r="AV7" s="927"/>
      <c r="AW7" s="927" t="s">
        <v>203</v>
      </c>
      <c r="AX7" s="927"/>
      <c r="AY7" s="927" t="s">
        <v>204</v>
      </c>
      <c r="AZ7" s="927"/>
      <c r="BA7" s="927" t="s">
        <v>205</v>
      </c>
      <c r="BB7" s="927"/>
      <c r="BC7" s="927" t="s">
        <v>206</v>
      </c>
      <c r="BD7" s="927"/>
      <c r="BE7" s="927" t="s">
        <v>207</v>
      </c>
      <c r="BF7" s="927"/>
      <c r="BG7" s="927" t="s">
        <v>208</v>
      </c>
      <c r="BH7" s="927"/>
      <c r="BI7" s="927" t="s">
        <v>209</v>
      </c>
      <c r="BJ7" s="927"/>
      <c r="BK7" s="927" t="s">
        <v>17</v>
      </c>
      <c r="BL7" s="927"/>
      <c r="BM7" s="899" t="s">
        <v>244</v>
      </c>
    </row>
    <row r="8" spans="1:75" ht="30.75" customHeight="1">
      <c r="A8" s="819" t="s">
        <v>13</v>
      </c>
      <c r="B8" s="927"/>
      <c r="C8" s="304" t="s">
        <v>14</v>
      </c>
      <c r="D8" s="304"/>
      <c r="E8" s="304" t="s">
        <v>500</v>
      </c>
      <c r="F8" s="927" t="s">
        <v>28</v>
      </c>
      <c r="G8" s="814" t="s">
        <v>30</v>
      </c>
      <c r="H8" s="929" t="s">
        <v>31</v>
      </c>
      <c r="I8" s="276" t="s">
        <v>212</v>
      </c>
      <c r="J8" s="276" t="s">
        <v>213</v>
      </c>
      <c r="K8" s="276" t="s">
        <v>214</v>
      </c>
      <c r="L8" s="276" t="s">
        <v>215</v>
      </c>
      <c r="M8" s="276" t="s">
        <v>216</v>
      </c>
      <c r="N8" s="276" t="s">
        <v>217</v>
      </c>
      <c r="O8" s="276" t="s">
        <v>218</v>
      </c>
      <c r="P8" s="276" t="s">
        <v>219</v>
      </c>
      <c r="Q8" s="276" t="s">
        <v>220</v>
      </c>
      <c r="R8" s="276" t="s">
        <v>221</v>
      </c>
      <c r="S8" s="940"/>
      <c r="T8" s="941"/>
      <c r="U8" s="941"/>
      <c r="V8" s="942"/>
      <c r="W8" s="934"/>
      <c r="X8" s="935"/>
      <c r="Y8" s="935"/>
      <c r="Z8" s="936"/>
      <c r="AA8" s="927"/>
      <c r="AB8" s="927"/>
      <c r="AC8" s="927" t="s">
        <v>43</v>
      </c>
      <c r="AD8" s="927"/>
      <c r="AE8" s="927" t="s">
        <v>44</v>
      </c>
      <c r="AF8" s="927"/>
      <c r="AG8" s="927" t="s">
        <v>45</v>
      </c>
      <c r="AH8" s="927"/>
      <c r="AI8" s="927" t="s">
        <v>46</v>
      </c>
      <c r="AJ8" s="927"/>
      <c r="AK8" s="927" t="s">
        <v>47</v>
      </c>
      <c r="AL8" s="927"/>
      <c r="AM8" s="927" t="s">
        <v>48</v>
      </c>
      <c r="AN8" s="927"/>
      <c r="AO8" s="927" t="s">
        <v>49</v>
      </c>
      <c r="AP8" s="927"/>
      <c r="AQ8" s="927" t="s">
        <v>50</v>
      </c>
      <c r="AR8" s="927"/>
      <c r="AS8" s="927" t="s">
        <v>51</v>
      </c>
      <c r="AT8" s="927"/>
      <c r="AU8" s="927" t="s">
        <v>52</v>
      </c>
      <c r="AV8" s="927"/>
      <c r="AW8" s="927" t="s">
        <v>53</v>
      </c>
      <c r="AX8" s="927"/>
      <c r="AY8" s="927" t="s">
        <v>54</v>
      </c>
      <c r="AZ8" s="927"/>
      <c r="BA8" s="927" t="s">
        <v>55</v>
      </c>
      <c r="BB8" s="927"/>
      <c r="BC8" s="927" t="s">
        <v>40</v>
      </c>
      <c r="BD8" s="927"/>
      <c r="BE8" s="927" t="s">
        <v>37</v>
      </c>
      <c r="BF8" s="927"/>
      <c r="BG8" s="927"/>
      <c r="BH8" s="927"/>
      <c r="BI8" s="927"/>
      <c r="BJ8" s="927"/>
      <c r="BK8" s="927"/>
      <c r="BL8" s="927"/>
      <c r="BM8" s="899"/>
      <c r="BO8" s="755" t="s">
        <v>242</v>
      </c>
      <c r="BP8" s="755"/>
      <c r="BQ8" s="755"/>
      <c r="BR8" s="755"/>
      <c r="BS8" s="755"/>
      <c r="BT8" s="755" t="s">
        <v>243</v>
      </c>
      <c r="BU8" s="755"/>
      <c r="BV8" s="755"/>
      <c r="BW8" s="756" t="s">
        <v>17</v>
      </c>
    </row>
    <row r="9" spans="1:75" ht="33" customHeight="1">
      <c r="A9" s="820"/>
      <c r="B9" s="927"/>
      <c r="C9" s="304"/>
      <c r="D9" s="304"/>
      <c r="E9" s="304"/>
      <c r="F9" s="927"/>
      <c r="G9" s="928"/>
      <c r="H9" s="930"/>
      <c r="I9" s="353"/>
      <c r="J9" s="353"/>
      <c r="K9" s="353"/>
      <c r="L9" s="353"/>
      <c r="M9" s="353">
        <v>0</v>
      </c>
      <c r="N9" s="353">
        <v>0</v>
      </c>
      <c r="O9" s="353">
        <v>0</v>
      </c>
      <c r="P9" s="353">
        <v>0</v>
      </c>
      <c r="Q9" s="353">
        <v>0</v>
      </c>
      <c r="R9" s="353">
        <v>0</v>
      </c>
      <c r="S9" s="354" t="s">
        <v>7</v>
      </c>
      <c r="T9" s="354" t="s">
        <v>8</v>
      </c>
      <c r="U9" s="354" t="s">
        <v>9</v>
      </c>
      <c r="V9" s="354" t="s">
        <v>10</v>
      </c>
      <c r="W9" s="355" t="s">
        <v>7</v>
      </c>
      <c r="X9" s="355" t="s">
        <v>8</v>
      </c>
      <c r="Y9" s="355" t="s">
        <v>9</v>
      </c>
      <c r="Z9" s="355" t="s">
        <v>10</v>
      </c>
      <c r="AA9" s="314" t="s">
        <v>14</v>
      </c>
      <c r="AB9" s="315" t="s">
        <v>15</v>
      </c>
      <c r="AC9" s="316" t="s">
        <v>14</v>
      </c>
      <c r="AD9" s="316" t="s">
        <v>15</v>
      </c>
      <c r="AE9" s="316" t="s">
        <v>14</v>
      </c>
      <c r="AF9" s="316" t="s">
        <v>15</v>
      </c>
      <c r="AG9" s="316" t="s">
        <v>14</v>
      </c>
      <c r="AH9" s="316" t="s">
        <v>15</v>
      </c>
      <c r="AI9" s="316" t="s">
        <v>14</v>
      </c>
      <c r="AJ9" s="316" t="s">
        <v>15</v>
      </c>
      <c r="AK9" s="316" t="s">
        <v>14</v>
      </c>
      <c r="AL9" s="316" t="s">
        <v>15</v>
      </c>
      <c r="AM9" s="316" t="s">
        <v>14</v>
      </c>
      <c r="AN9" s="316" t="s">
        <v>15</v>
      </c>
      <c r="AO9" s="316" t="s">
        <v>14</v>
      </c>
      <c r="AP9" s="316" t="s">
        <v>15</v>
      </c>
      <c r="AQ9" s="316" t="s">
        <v>14</v>
      </c>
      <c r="AR9" s="316" t="s">
        <v>15</v>
      </c>
      <c r="AS9" s="316" t="s">
        <v>14</v>
      </c>
      <c r="AT9" s="316" t="s">
        <v>15</v>
      </c>
      <c r="AU9" s="316" t="s">
        <v>14</v>
      </c>
      <c r="AV9" s="316" t="s">
        <v>15</v>
      </c>
      <c r="AW9" s="316" t="s">
        <v>14</v>
      </c>
      <c r="AX9" s="316" t="s">
        <v>15</v>
      </c>
      <c r="AY9" s="316" t="s">
        <v>14</v>
      </c>
      <c r="AZ9" s="316" t="s">
        <v>15</v>
      </c>
      <c r="BA9" s="316" t="s">
        <v>14</v>
      </c>
      <c r="BB9" s="316" t="s">
        <v>15</v>
      </c>
      <c r="BC9" s="316" t="s">
        <v>14</v>
      </c>
      <c r="BD9" s="316" t="s">
        <v>15</v>
      </c>
      <c r="BE9" s="316" t="s">
        <v>14</v>
      </c>
      <c r="BF9" s="316" t="s">
        <v>15</v>
      </c>
      <c r="BG9" s="316" t="s">
        <v>14</v>
      </c>
      <c r="BH9" s="316" t="s">
        <v>15</v>
      </c>
      <c r="BI9" s="316" t="s">
        <v>14</v>
      </c>
      <c r="BJ9" s="316" t="s">
        <v>15</v>
      </c>
      <c r="BK9" s="316" t="s">
        <v>14</v>
      </c>
      <c r="BL9" s="316" t="s">
        <v>15</v>
      </c>
      <c r="BM9" s="899"/>
      <c r="BO9" s="72" t="s">
        <v>233</v>
      </c>
      <c r="BP9" s="171" t="s">
        <v>234</v>
      </c>
      <c r="BQ9" s="171" t="s">
        <v>235</v>
      </c>
      <c r="BR9" s="172" t="s">
        <v>236</v>
      </c>
      <c r="BS9" s="173" t="s">
        <v>237</v>
      </c>
      <c r="BT9" s="171" t="s">
        <v>238</v>
      </c>
      <c r="BU9" s="171" t="s">
        <v>239</v>
      </c>
      <c r="BV9" s="173" t="s">
        <v>240</v>
      </c>
      <c r="BW9" s="756"/>
    </row>
    <row r="10" spans="1:75" ht="15.75" customHeight="1">
      <c r="A10" s="926" t="s">
        <v>29</v>
      </c>
      <c r="B10" s="184"/>
      <c r="C10" s="308"/>
      <c r="D10" s="309" t="s">
        <v>451</v>
      </c>
      <c r="E10" s="362"/>
      <c r="F10" s="312" t="s">
        <v>121</v>
      </c>
      <c r="G10" s="184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84"/>
      <c r="S10" s="97"/>
      <c r="T10" s="97"/>
      <c r="U10" s="97"/>
      <c r="V10" s="97"/>
      <c r="W10" s="96"/>
      <c r="X10" s="96"/>
      <c r="Y10" s="96"/>
      <c r="Z10" s="96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O10" s="178"/>
      <c r="BP10" s="178"/>
      <c r="BQ10" s="178"/>
      <c r="BR10" s="178"/>
      <c r="BS10" s="86">
        <f t="shared" ref="BS10:BS15" si="0">BO10+BP10+BQ10+BR10</f>
        <v>0</v>
      </c>
      <c r="BT10" s="178"/>
      <c r="BU10" s="178"/>
      <c r="BV10" s="178">
        <f>BT10+BU10</f>
        <v>0</v>
      </c>
      <c r="BW10" s="86">
        <f>BS10+BV10</f>
        <v>0</v>
      </c>
    </row>
    <row r="11" spans="1:75">
      <c r="A11" s="926"/>
      <c r="B11" s="93"/>
      <c r="C11" s="309" t="s">
        <v>490</v>
      </c>
      <c r="D11" s="308" t="s">
        <v>490</v>
      </c>
      <c r="E11" s="362"/>
      <c r="F11" s="362"/>
      <c r="G11" s="93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184"/>
      <c r="S11" s="97"/>
      <c r="T11" s="97"/>
      <c r="U11" s="97"/>
      <c r="V11" s="97"/>
      <c r="W11" s="96"/>
      <c r="X11" s="96"/>
      <c r="Y11" s="96"/>
      <c r="Z11" s="96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O11" s="178"/>
      <c r="BP11" s="178"/>
      <c r="BQ11" s="178"/>
      <c r="BR11" s="178"/>
      <c r="BS11" s="86">
        <f t="shared" si="0"/>
        <v>0</v>
      </c>
      <c r="BT11" s="178"/>
      <c r="BU11" s="178"/>
      <c r="BV11" s="178">
        <f t="shared" ref="BV11:BV17" si="1">BT11+BU11</f>
        <v>0</v>
      </c>
      <c r="BW11" s="86">
        <f t="shared" ref="BW11:BW34" si="2">BS11+BV11</f>
        <v>0</v>
      </c>
    </row>
    <row r="12" spans="1:75">
      <c r="A12" s="926"/>
      <c r="B12" s="93"/>
      <c r="C12" s="308"/>
      <c r="D12" s="307" t="s">
        <v>148</v>
      </c>
      <c r="E12" s="362" t="s">
        <v>149</v>
      </c>
      <c r="F12" s="312" t="s">
        <v>441</v>
      </c>
      <c r="G12" s="93">
        <f>BK12</f>
        <v>12</v>
      </c>
      <c r="H12" s="96">
        <f>G12*F12</f>
        <v>120000</v>
      </c>
      <c r="I12" s="96">
        <f>H12*0.2</f>
        <v>24000</v>
      </c>
      <c r="J12" s="96">
        <f>H12*0.8</f>
        <v>96000</v>
      </c>
      <c r="K12" s="96"/>
      <c r="L12" s="96"/>
      <c r="M12" s="96"/>
      <c r="N12" s="96"/>
      <c r="O12" s="96"/>
      <c r="P12" s="96"/>
      <c r="Q12" s="96"/>
      <c r="R12" s="96"/>
      <c r="S12" s="97">
        <f>G12*0.25</f>
        <v>3</v>
      </c>
      <c r="T12" s="97">
        <f>G12*0.25</f>
        <v>3</v>
      </c>
      <c r="U12" s="97">
        <f>G12*0.25</f>
        <v>3</v>
      </c>
      <c r="V12" s="97">
        <f>G12*0.25</f>
        <v>3</v>
      </c>
      <c r="W12" s="96">
        <f>S12*F12</f>
        <v>30000</v>
      </c>
      <c r="X12" s="96">
        <f>T12*F12</f>
        <v>30000</v>
      </c>
      <c r="Y12" s="96">
        <f>U12*F12</f>
        <v>30000</v>
      </c>
      <c r="Z12" s="96">
        <f>V12*F12</f>
        <v>30000</v>
      </c>
      <c r="AA12" s="184"/>
      <c r="AB12" s="108">
        <f>AA12*F12</f>
        <v>0</v>
      </c>
      <c r="AC12" s="184"/>
      <c r="AD12" s="108">
        <f>AC12*F12</f>
        <v>0</v>
      </c>
      <c r="AE12" s="184"/>
      <c r="AF12" s="108">
        <f>AE12*F12</f>
        <v>0</v>
      </c>
      <c r="AG12" s="184"/>
      <c r="AH12" s="108">
        <f>AG12*F12</f>
        <v>0</v>
      </c>
      <c r="AI12" s="184"/>
      <c r="AJ12" s="108">
        <f>AI12*F12</f>
        <v>0</v>
      </c>
      <c r="AK12" s="184"/>
      <c r="AL12" s="108"/>
      <c r="AM12" s="184"/>
      <c r="AN12" s="108">
        <f>AM12*F12</f>
        <v>0</v>
      </c>
      <c r="AO12" s="184"/>
      <c r="AP12" s="108"/>
      <c r="AQ12" s="184"/>
      <c r="AR12" s="108">
        <f>AQ12*F12</f>
        <v>0</v>
      </c>
      <c r="AS12" s="184"/>
      <c r="AT12" s="108">
        <f>AS12*F12</f>
        <v>0</v>
      </c>
      <c r="AU12" s="184"/>
      <c r="AV12" s="108"/>
      <c r="AW12" s="184"/>
      <c r="AX12" s="108"/>
      <c r="AY12" s="184"/>
      <c r="AZ12" s="108"/>
      <c r="BA12" s="184"/>
      <c r="BB12" s="108">
        <f>BA12*F12</f>
        <v>0</v>
      </c>
      <c r="BC12" s="184"/>
      <c r="BD12" s="108"/>
      <c r="BE12" s="184"/>
      <c r="BF12" s="108"/>
      <c r="BG12" s="184"/>
      <c r="BH12" s="108"/>
      <c r="BI12" s="184">
        <v>12</v>
      </c>
      <c r="BJ12" s="108">
        <f>BI12*F12</f>
        <v>120000</v>
      </c>
      <c r="BK12" s="78">
        <f>AA12+AC12+AE12+AG12+AI12+AK12+AM12+AO12+AQ12+AS12+AU12+AW12+AY12+BA12+BC12+BE12+BG12+BI12</f>
        <v>12</v>
      </c>
      <c r="BL12" s="78">
        <f>AB12+AD12+AF12+AH12+AJ12+AL12+AN12+AP12+AR12+AT12+AV12+AX12+AZ12+BB12+BD12+BF12+BH12+BJ12</f>
        <v>120000</v>
      </c>
      <c r="BM12" s="154" t="s">
        <v>224</v>
      </c>
      <c r="BO12" s="178"/>
      <c r="BP12" s="86">
        <f>BL12</f>
        <v>120000</v>
      </c>
      <c r="BQ12" s="178"/>
      <c r="BR12" s="178"/>
      <c r="BS12" s="86">
        <f t="shared" si="0"/>
        <v>120000</v>
      </c>
      <c r="BT12" s="178"/>
      <c r="BU12" s="178"/>
      <c r="BV12" s="178">
        <f t="shared" si="1"/>
        <v>0</v>
      </c>
      <c r="BW12" s="86">
        <f t="shared" si="2"/>
        <v>120000</v>
      </c>
    </row>
    <row r="13" spans="1:75" s="59" customFormat="1">
      <c r="A13" s="926"/>
      <c r="B13" s="93"/>
      <c r="C13" s="324"/>
      <c r="D13" s="323" t="s">
        <v>150</v>
      </c>
      <c r="E13" s="377" t="s">
        <v>16</v>
      </c>
      <c r="F13" s="325">
        <v>2500</v>
      </c>
      <c r="G13" s="93">
        <f>BK13</f>
        <v>204</v>
      </c>
      <c r="H13" s="96">
        <f>BL13</f>
        <v>543000</v>
      </c>
      <c r="I13" s="96">
        <f>H13*0.2</f>
        <v>108600</v>
      </c>
      <c r="J13" s="96">
        <f>H13*0.8</f>
        <v>434400</v>
      </c>
      <c r="K13" s="96"/>
      <c r="L13" s="96"/>
      <c r="M13" s="96"/>
      <c r="N13" s="96"/>
      <c r="O13" s="96"/>
      <c r="P13" s="96"/>
      <c r="Q13" s="96"/>
      <c r="R13" s="96"/>
      <c r="S13" s="97">
        <f>G13*0.25</f>
        <v>51</v>
      </c>
      <c r="T13" s="97">
        <f>G13*0.25</f>
        <v>51</v>
      </c>
      <c r="U13" s="97">
        <f>G13*0.25</f>
        <v>51</v>
      </c>
      <c r="V13" s="97">
        <f>G13*0.25</f>
        <v>51</v>
      </c>
      <c r="W13" s="96">
        <f>S13*F13</f>
        <v>127500</v>
      </c>
      <c r="X13" s="96">
        <f>T13*F13</f>
        <v>127500</v>
      </c>
      <c r="Y13" s="96">
        <f>U13*F13</f>
        <v>127500</v>
      </c>
      <c r="Z13" s="96">
        <f>V13*F13</f>
        <v>127500</v>
      </c>
      <c r="AA13" s="184">
        <v>12</v>
      </c>
      <c r="AB13" s="108">
        <f t="shared" ref="AB13:AB33" si="3">AA13*F13</f>
        <v>30000</v>
      </c>
      <c r="AC13" s="184">
        <v>12</v>
      </c>
      <c r="AD13" s="108">
        <f t="shared" ref="AD13:AD33" si="4">AC13*F13</f>
        <v>30000</v>
      </c>
      <c r="AE13" s="184">
        <v>12</v>
      </c>
      <c r="AF13" s="108">
        <f t="shared" ref="AF13:AF33" si="5">AE13*F13</f>
        <v>30000</v>
      </c>
      <c r="AG13" s="184">
        <v>12</v>
      </c>
      <c r="AH13" s="108">
        <f>AG13*F13+18000</f>
        <v>48000</v>
      </c>
      <c r="AI13" s="184">
        <v>12</v>
      </c>
      <c r="AJ13" s="108">
        <f t="shared" ref="AJ13:AJ33" si="6">AI13*F13</f>
        <v>30000</v>
      </c>
      <c r="AK13" s="184">
        <v>12</v>
      </c>
      <c r="AL13" s="108">
        <f>AK13*F13</f>
        <v>30000</v>
      </c>
      <c r="AM13" s="184">
        <v>12</v>
      </c>
      <c r="AN13" s="108">
        <f t="shared" ref="AN13:AN33" si="7">AM13*F13</f>
        <v>30000</v>
      </c>
      <c r="AO13" s="184">
        <v>12</v>
      </c>
      <c r="AP13" s="108">
        <f>AO13*F13</f>
        <v>30000</v>
      </c>
      <c r="AQ13" s="184">
        <v>12</v>
      </c>
      <c r="AR13" s="108">
        <f>AQ13*F13/2</f>
        <v>15000</v>
      </c>
      <c r="AS13" s="184">
        <v>12</v>
      </c>
      <c r="AT13" s="108">
        <f t="shared" ref="AT13:AT33" si="8">AS13*F13</f>
        <v>30000</v>
      </c>
      <c r="AU13" s="184">
        <v>12</v>
      </c>
      <c r="AV13" s="108">
        <f>AU13*F13</f>
        <v>30000</v>
      </c>
      <c r="AW13" s="184">
        <v>12</v>
      </c>
      <c r="AX13" s="108">
        <f>AW13*F13</f>
        <v>30000</v>
      </c>
      <c r="AY13" s="184">
        <v>12</v>
      </c>
      <c r="AZ13" s="108">
        <f>AY13*F13</f>
        <v>30000</v>
      </c>
      <c r="BA13" s="184">
        <v>12</v>
      </c>
      <c r="BB13" s="108">
        <f t="shared" ref="BB13:BB33" si="9">BA13*F13</f>
        <v>30000</v>
      </c>
      <c r="BC13" s="184">
        <v>12</v>
      </c>
      <c r="BD13" s="108">
        <f>BC13*F13</f>
        <v>30000</v>
      </c>
      <c r="BE13" s="184">
        <v>12</v>
      </c>
      <c r="BF13" s="108">
        <f>BE13*F13*2</f>
        <v>60000</v>
      </c>
      <c r="BG13" s="184">
        <v>12</v>
      </c>
      <c r="BH13" s="108">
        <f>BG13*F13</f>
        <v>30000</v>
      </c>
      <c r="BI13" s="184">
        <v>0</v>
      </c>
      <c r="BJ13" s="108">
        <f>BI13*F13</f>
        <v>0</v>
      </c>
      <c r="BK13" s="78">
        <f>AA13+AC13+AE13+AG13+AI13+AK13+AM13+AO13+AQ13+AS13+AU13+AW13+AY13+BA13+BC13+BE13+BG13+BI13</f>
        <v>204</v>
      </c>
      <c r="BL13" s="78">
        <f>AB13+AD13+AF13+AH13+AJ13+AL13+AN13+AP13+AR13+AT13+AV13+AX13+AZ13+BB13+BD13+BF13+BH13+BJ13</f>
        <v>543000</v>
      </c>
      <c r="BM13" s="154" t="s">
        <v>224</v>
      </c>
      <c r="BO13" s="184"/>
      <c r="BP13" s="86">
        <f>BL13</f>
        <v>543000</v>
      </c>
      <c r="BQ13" s="184"/>
      <c r="BR13" s="184"/>
      <c r="BS13" s="96">
        <f t="shared" si="0"/>
        <v>543000</v>
      </c>
      <c r="BT13" s="184"/>
      <c r="BU13" s="184"/>
      <c r="BV13" s="184">
        <f t="shared" si="1"/>
        <v>0</v>
      </c>
      <c r="BW13" s="96">
        <f t="shared" si="2"/>
        <v>543000</v>
      </c>
    </row>
    <row r="14" spans="1:75" s="369" customFormat="1">
      <c r="A14" s="926"/>
      <c r="B14" s="363"/>
      <c r="C14" s="336" t="s">
        <v>151</v>
      </c>
      <c r="D14" s="343" t="s">
        <v>151</v>
      </c>
      <c r="E14" s="364" t="s">
        <v>121</v>
      </c>
      <c r="F14" s="347"/>
      <c r="G14" s="366">
        <f t="shared" ref="G14:R14" si="10">SUM(G12:G13)</f>
        <v>216</v>
      </c>
      <c r="H14" s="366">
        <f t="shared" si="10"/>
        <v>663000</v>
      </c>
      <c r="I14" s="366">
        <f t="shared" si="10"/>
        <v>132600</v>
      </c>
      <c r="J14" s="366">
        <f t="shared" si="10"/>
        <v>530400</v>
      </c>
      <c r="K14" s="366">
        <f t="shared" si="10"/>
        <v>0</v>
      </c>
      <c r="L14" s="366">
        <f t="shared" si="10"/>
        <v>0</v>
      </c>
      <c r="M14" s="366">
        <f t="shared" si="10"/>
        <v>0</v>
      </c>
      <c r="N14" s="366">
        <f t="shared" si="10"/>
        <v>0</v>
      </c>
      <c r="O14" s="366">
        <f t="shared" si="10"/>
        <v>0</v>
      </c>
      <c r="P14" s="366">
        <f t="shared" si="10"/>
        <v>0</v>
      </c>
      <c r="Q14" s="366">
        <f t="shared" si="10"/>
        <v>0</v>
      </c>
      <c r="R14" s="366">
        <f t="shared" si="10"/>
        <v>0</v>
      </c>
      <c r="S14" s="367">
        <f t="shared" ref="S14:Z14" si="11">SUM(S12:S13)</f>
        <v>54</v>
      </c>
      <c r="T14" s="367">
        <f t="shared" si="11"/>
        <v>54</v>
      </c>
      <c r="U14" s="367">
        <f t="shared" si="11"/>
        <v>54</v>
      </c>
      <c r="V14" s="367">
        <f t="shared" si="11"/>
        <v>54</v>
      </c>
      <c r="W14" s="366">
        <f t="shared" si="11"/>
        <v>157500</v>
      </c>
      <c r="X14" s="366">
        <f t="shared" si="11"/>
        <v>157500</v>
      </c>
      <c r="Y14" s="366">
        <f t="shared" si="11"/>
        <v>157500</v>
      </c>
      <c r="Z14" s="366">
        <f t="shared" si="11"/>
        <v>157500</v>
      </c>
      <c r="AA14" s="366">
        <f>SUM(AA12:AA13)</f>
        <v>12</v>
      </c>
      <c r="AB14" s="366">
        <f>SUM(AB12:AB13)</f>
        <v>30000</v>
      </c>
      <c r="AC14" s="366">
        <f t="shared" ref="AC14:BB14" si="12">SUM(AC12:AC13)</f>
        <v>12</v>
      </c>
      <c r="AD14" s="366">
        <f t="shared" si="12"/>
        <v>30000</v>
      </c>
      <c r="AE14" s="366">
        <f t="shared" si="12"/>
        <v>12</v>
      </c>
      <c r="AF14" s="366">
        <f t="shared" si="12"/>
        <v>30000</v>
      </c>
      <c r="AG14" s="366">
        <f t="shared" si="12"/>
        <v>12</v>
      </c>
      <c r="AH14" s="366">
        <f t="shared" si="12"/>
        <v>48000</v>
      </c>
      <c r="AI14" s="366">
        <f t="shared" si="12"/>
        <v>12</v>
      </c>
      <c r="AJ14" s="366">
        <f t="shared" si="12"/>
        <v>30000</v>
      </c>
      <c r="AK14" s="366">
        <f t="shared" si="12"/>
        <v>12</v>
      </c>
      <c r="AL14" s="366">
        <f t="shared" si="12"/>
        <v>30000</v>
      </c>
      <c r="AM14" s="366">
        <f t="shared" si="12"/>
        <v>12</v>
      </c>
      <c r="AN14" s="366">
        <f t="shared" si="12"/>
        <v>30000</v>
      </c>
      <c r="AO14" s="366">
        <f t="shared" si="12"/>
        <v>12</v>
      </c>
      <c r="AP14" s="366">
        <f t="shared" si="12"/>
        <v>30000</v>
      </c>
      <c r="AQ14" s="366">
        <f t="shared" si="12"/>
        <v>12</v>
      </c>
      <c r="AR14" s="366">
        <f t="shared" si="12"/>
        <v>15000</v>
      </c>
      <c r="AS14" s="366">
        <f t="shared" si="12"/>
        <v>12</v>
      </c>
      <c r="AT14" s="366">
        <f t="shared" si="12"/>
        <v>30000</v>
      </c>
      <c r="AU14" s="366">
        <f t="shared" si="12"/>
        <v>12</v>
      </c>
      <c r="AV14" s="366">
        <f t="shared" si="12"/>
        <v>30000</v>
      </c>
      <c r="AW14" s="366">
        <f t="shared" si="12"/>
        <v>12</v>
      </c>
      <c r="AX14" s="366">
        <f t="shared" si="12"/>
        <v>30000</v>
      </c>
      <c r="AY14" s="366">
        <f t="shared" si="12"/>
        <v>12</v>
      </c>
      <c r="AZ14" s="366">
        <f t="shared" si="12"/>
        <v>30000</v>
      </c>
      <c r="BA14" s="366">
        <f t="shared" si="12"/>
        <v>12</v>
      </c>
      <c r="BB14" s="366">
        <f t="shared" si="12"/>
        <v>30000</v>
      </c>
      <c r="BC14" s="366">
        <f t="shared" ref="BC14:BK14" si="13">SUM(BC12:BC13)</f>
        <v>12</v>
      </c>
      <c r="BD14" s="366">
        <f t="shared" si="13"/>
        <v>30000</v>
      </c>
      <c r="BE14" s="366">
        <f t="shared" si="13"/>
        <v>12</v>
      </c>
      <c r="BF14" s="366">
        <f t="shared" si="13"/>
        <v>60000</v>
      </c>
      <c r="BG14" s="366">
        <f t="shared" si="13"/>
        <v>12</v>
      </c>
      <c r="BH14" s="366">
        <f t="shared" si="13"/>
        <v>30000</v>
      </c>
      <c r="BI14" s="366">
        <f t="shared" si="13"/>
        <v>12</v>
      </c>
      <c r="BJ14" s="366">
        <f t="shared" si="13"/>
        <v>120000</v>
      </c>
      <c r="BK14" s="366">
        <f t="shared" si="13"/>
        <v>216</v>
      </c>
      <c r="BL14" s="366">
        <f t="shared" ref="BL14:BW14" si="14">SUM(BL12:BL13)</f>
        <v>663000</v>
      </c>
      <c r="BM14" s="366"/>
      <c r="BN14" s="366">
        <f t="shared" si="14"/>
        <v>0</v>
      </c>
      <c r="BO14" s="366">
        <f t="shared" si="14"/>
        <v>0</v>
      </c>
      <c r="BP14" s="366">
        <f t="shared" si="14"/>
        <v>663000</v>
      </c>
      <c r="BQ14" s="366">
        <f t="shared" si="14"/>
        <v>0</v>
      </c>
      <c r="BR14" s="366">
        <f t="shared" si="14"/>
        <v>0</v>
      </c>
      <c r="BS14" s="366">
        <f t="shared" si="14"/>
        <v>663000</v>
      </c>
      <c r="BT14" s="366">
        <f t="shared" si="14"/>
        <v>0</v>
      </c>
      <c r="BU14" s="366">
        <f t="shared" si="14"/>
        <v>0</v>
      </c>
      <c r="BV14" s="366">
        <f t="shared" si="14"/>
        <v>0</v>
      </c>
      <c r="BW14" s="366">
        <f t="shared" si="14"/>
        <v>663000</v>
      </c>
    </row>
    <row r="15" spans="1:75">
      <c r="A15" s="926"/>
      <c r="B15" s="93"/>
      <c r="C15" s="309" t="s">
        <v>491</v>
      </c>
      <c r="D15" s="308" t="s">
        <v>491</v>
      </c>
      <c r="E15" s="362"/>
      <c r="F15" s="362"/>
      <c r="G15" s="93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184"/>
      <c r="S15" s="97"/>
      <c r="T15" s="97"/>
      <c r="U15" s="97"/>
      <c r="V15" s="97"/>
      <c r="W15" s="96"/>
      <c r="X15" s="96"/>
      <c r="Y15" s="96"/>
      <c r="Z15" s="96"/>
      <c r="AA15" s="184"/>
      <c r="AB15" s="108"/>
      <c r="AC15" s="184"/>
      <c r="AD15" s="108"/>
      <c r="AE15" s="184"/>
      <c r="AF15" s="108"/>
      <c r="AG15" s="184"/>
      <c r="AH15" s="108"/>
      <c r="AI15" s="184"/>
      <c r="AJ15" s="108"/>
      <c r="AK15" s="184"/>
      <c r="AL15" s="108"/>
      <c r="AM15" s="184"/>
      <c r="AN15" s="108"/>
      <c r="AO15" s="184"/>
      <c r="AP15" s="108"/>
      <c r="AQ15" s="184"/>
      <c r="AR15" s="108"/>
      <c r="AS15" s="184"/>
      <c r="AT15" s="108"/>
      <c r="AU15" s="184"/>
      <c r="AV15" s="108"/>
      <c r="AW15" s="184"/>
      <c r="AX15" s="108"/>
      <c r="AY15" s="184"/>
      <c r="AZ15" s="108"/>
      <c r="BA15" s="184"/>
      <c r="BB15" s="108"/>
      <c r="BC15" s="184"/>
      <c r="BD15" s="108"/>
      <c r="BE15" s="184"/>
      <c r="BF15" s="108"/>
      <c r="BG15" s="184"/>
      <c r="BH15" s="108"/>
      <c r="BI15" s="184"/>
      <c r="BJ15" s="108"/>
      <c r="BK15" s="79"/>
      <c r="BL15" s="78"/>
      <c r="BM15" s="184"/>
      <c r="BO15" s="178"/>
      <c r="BP15" s="178"/>
      <c r="BQ15" s="178"/>
      <c r="BR15" s="178"/>
      <c r="BS15" s="86">
        <f t="shared" si="0"/>
        <v>0</v>
      </c>
      <c r="BT15" s="178"/>
      <c r="BU15" s="178"/>
      <c r="BV15" s="178">
        <f t="shared" si="1"/>
        <v>0</v>
      </c>
      <c r="BW15" s="86">
        <f t="shared" si="2"/>
        <v>0</v>
      </c>
    </row>
    <row r="16" spans="1:75">
      <c r="A16" s="926"/>
      <c r="B16" s="93"/>
      <c r="C16" s="308"/>
      <c r="D16" s="307" t="s">
        <v>492</v>
      </c>
      <c r="E16" s="362" t="s">
        <v>98</v>
      </c>
      <c r="F16" s="325">
        <v>10000</v>
      </c>
      <c r="G16" s="93">
        <f>BK16</f>
        <v>17</v>
      </c>
      <c r="H16" s="96">
        <f>G16*F16</f>
        <v>170000</v>
      </c>
      <c r="I16" s="96">
        <f>H16*0.2</f>
        <v>34000</v>
      </c>
      <c r="J16" s="96">
        <f>H16*0.8</f>
        <v>136000</v>
      </c>
      <c r="K16" s="96"/>
      <c r="L16" s="96"/>
      <c r="M16" s="96"/>
      <c r="N16" s="96"/>
      <c r="O16" s="96"/>
      <c r="P16" s="96"/>
      <c r="Q16" s="96"/>
      <c r="R16" s="96"/>
      <c r="S16" s="97">
        <f>G16*0.25</f>
        <v>4.25</v>
      </c>
      <c r="T16" s="97">
        <f>G16*0.25</f>
        <v>4.25</v>
      </c>
      <c r="U16" s="97">
        <f>G16*0.25</f>
        <v>4.25</v>
      </c>
      <c r="V16" s="97">
        <f>G16*0.25</f>
        <v>4.25</v>
      </c>
      <c r="W16" s="96">
        <f>S16*F16</f>
        <v>42500</v>
      </c>
      <c r="X16" s="96">
        <f>T16*F16</f>
        <v>42500</v>
      </c>
      <c r="Y16" s="96">
        <f>U16*F16</f>
        <v>42500</v>
      </c>
      <c r="Z16" s="96">
        <f>V16*F16</f>
        <v>42500</v>
      </c>
      <c r="AA16" s="184">
        <v>1</v>
      </c>
      <c r="AB16" s="108">
        <f t="shared" si="3"/>
        <v>10000</v>
      </c>
      <c r="AC16" s="184">
        <v>1</v>
      </c>
      <c r="AD16" s="108">
        <f t="shared" si="4"/>
        <v>10000</v>
      </c>
      <c r="AE16" s="184">
        <v>1</v>
      </c>
      <c r="AF16" s="108">
        <f t="shared" si="5"/>
        <v>10000</v>
      </c>
      <c r="AG16" s="184">
        <v>1</v>
      </c>
      <c r="AH16" s="108">
        <f t="shared" ref="AH16:AH33" si="15">AG16*F16</f>
        <v>10000</v>
      </c>
      <c r="AI16" s="184">
        <v>1</v>
      </c>
      <c r="AJ16" s="108">
        <f t="shared" si="6"/>
        <v>10000</v>
      </c>
      <c r="AK16" s="184">
        <v>1</v>
      </c>
      <c r="AL16" s="108">
        <f>AK16*F16</f>
        <v>10000</v>
      </c>
      <c r="AM16" s="184">
        <v>1</v>
      </c>
      <c r="AN16" s="108">
        <f t="shared" si="7"/>
        <v>10000</v>
      </c>
      <c r="AO16" s="184">
        <v>1</v>
      </c>
      <c r="AP16" s="108">
        <f>AO16*F16</f>
        <v>10000</v>
      </c>
      <c r="AQ16" s="184">
        <v>1</v>
      </c>
      <c r="AR16" s="108">
        <f t="shared" ref="AR16:AR33" si="16">AQ16*F16</f>
        <v>10000</v>
      </c>
      <c r="AS16" s="184">
        <v>1</v>
      </c>
      <c r="AT16" s="108">
        <f t="shared" si="8"/>
        <v>10000</v>
      </c>
      <c r="AU16" s="184">
        <v>1</v>
      </c>
      <c r="AV16" s="108">
        <f>AU16*F16</f>
        <v>10000</v>
      </c>
      <c r="AW16" s="184">
        <v>1</v>
      </c>
      <c r="AX16" s="108">
        <f>AW16*F16</f>
        <v>10000</v>
      </c>
      <c r="AY16" s="184">
        <v>1</v>
      </c>
      <c r="AZ16" s="108">
        <f>AY16*F16</f>
        <v>10000</v>
      </c>
      <c r="BA16" s="184">
        <v>1</v>
      </c>
      <c r="BB16" s="108">
        <f t="shared" si="9"/>
        <v>10000</v>
      </c>
      <c r="BC16" s="184">
        <v>1</v>
      </c>
      <c r="BD16" s="108">
        <f>BC16*F16</f>
        <v>10000</v>
      </c>
      <c r="BE16" s="184">
        <v>1</v>
      </c>
      <c r="BF16" s="108">
        <f>BE16*F16</f>
        <v>10000</v>
      </c>
      <c r="BG16" s="184">
        <v>1</v>
      </c>
      <c r="BH16" s="108">
        <f>BG16*F16</f>
        <v>10000</v>
      </c>
      <c r="BI16" s="184">
        <v>0</v>
      </c>
      <c r="BJ16" s="108"/>
      <c r="BK16" s="78">
        <f>AA16+AC16+AE16+AG16+AI16+AK16+AM16+AO16+AQ16+AS16+AU16+AW16+AY16+BA16+BC16+BE16+BG16+BI16</f>
        <v>17</v>
      </c>
      <c r="BL16" s="78">
        <f>AB16+AD16+AF16+AH16+AJ16+AL16+AN16+AP16+AR16+AT16+AV16+AX16+AZ16+BB16+BD16+BF16+BH16+BJ16</f>
        <v>170000</v>
      </c>
      <c r="BM16" s="154" t="s">
        <v>224</v>
      </c>
      <c r="BO16" s="178"/>
      <c r="BP16" s="86">
        <f>H16</f>
        <v>170000</v>
      </c>
      <c r="BQ16" s="178"/>
      <c r="BR16" s="178"/>
      <c r="BS16" s="86">
        <f>BO16+BP16+BQ16+BR16</f>
        <v>170000</v>
      </c>
      <c r="BT16" s="178"/>
      <c r="BU16" s="178"/>
      <c r="BV16" s="178">
        <f t="shared" si="1"/>
        <v>0</v>
      </c>
      <c r="BW16" s="86">
        <f t="shared" si="2"/>
        <v>170000</v>
      </c>
    </row>
    <row r="17" spans="1:75">
      <c r="A17" s="926"/>
      <c r="B17" s="93"/>
      <c r="C17" s="308"/>
      <c r="D17" s="307" t="s">
        <v>493</v>
      </c>
      <c r="E17" s="362" t="s">
        <v>98</v>
      </c>
      <c r="F17" s="312" t="s">
        <v>474</v>
      </c>
      <c r="G17" s="93">
        <f>BK17</f>
        <v>0</v>
      </c>
      <c r="H17" s="96">
        <f>G17*F17</f>
        <v>0</v>
      </c>
      <c r="I17" s="96">
        <f>H17*0.2</f>
        <v>0</v>
      </c>
      <c r="J17" s="96">
        <f>H17*0.8</f>
        <v>0</v>
      </c>
      <c r="K17" s="96"/>
      <c r="L17" s="96"/>
      <c r="M17" s="96"/>
      <c r="N17" s="96"/>
      <c r="O17" s="96"/>
      <c r="P17" s="96"/>
      <c r="Q17" s="96"/>
      <c r="R17" s="96"/>
      <c r="S17" s="97"/>
      <c r="T17" s="97"/>
      <c r="U17" s="97">
        <f>G17</f>
        <v>0</v>
      </c>
      <c r="V17" s="97"/>
      <c r="W17" s="96">
        <f>S17*F17</f>
        <v>0</v>
      </c>
      <c r="X17" s="96">
        <f>T17*F17</f>
        <v>0</v>
      </c>
      <c r="Y17" s="96">
        <f>U17*F17</f>
        <v>0</v>
      </c>
      <c r="Z17" s="96">
        <f>V17*F17</f>
        <v>0</v>
      </c>
      <c r="AA17" s="184"/>
      <c r="AB17" s="108">
        <f t="shared" si="3"/>
        <v>0</v>
      </c>
      <c r="AC17" s="184"/>
      <c r="AD17" s="108">
        <f t="shared" si="4"/>
        <v>0</v>
      </c>
      <c r="AE17" s="184"/>
      <c r="AF17" s="108">
        <f t="shared" si="5"/>
        <v>0</v>
      </c>
      <c r="AG17" s="184"/>
      <c r="AH17" s="108">
        <f t="shared" si="15"/>
        <v>0</v>
      </c>
      <c r="AI17" s="184"/>
      <c r="AJ17" s="108">
        <f t="shared" si="6"/>
        <v>0</v>
      </c>
      <c r="AK17" s="184"/>
      <c r="AL17" s="108"/>
      <c r="AM17" s="184"/>
      <c r="AN17" s="108">
        <f t="shared" si="7"/>
        <v>0</v>
      </c>
      <c r="AO17" s="184"/>
      <c r="AP17" s="108"/>
      <c r="AQ17" s="184"/>
      <c r="AR17" s="108">
        <f t="shared" si="16"/>
        <v>0</v>
      </c>
      <c r="AS17" s="184"/>
      <c r="AT17" s="108">
        <f t="shared" si="8"/>
        <v>0</v>
      </c>
      <c r="AU17" s="184"/>
      <c r="AV17" s="108"/>
      <c r="AW17" s="184"/>
      <c r="AX17" s="108"/>
      <c r="AY17" s="184"/>
      <c r="AZ17" s="108"/>
      <c r="BA17" s="184"/>
      <c r="BB17" s="108">
        <f t="shared" si="9"/>
        <v>0</v>
      </c>
      <c r="BC17" s="184"/>
      <c r="BD17" s="108"/>
      <c r="BE17" s="184"/>
      <c r="BF17" s="108"/>
      <c r="BG17" s="184"/>
      <c r="BH17" s="108"/>
      <c r="BI17" s="184">
        <v>0</v>
      </c>
      <c r="BJ17" s="108">
        <f>BI17*F17</f>
        <v>0</v>
      </c>
      <c r="BK17" s="78">
        <f>AA17+AC17+AE17+AG17+AI17+AK17+AM17+AO17+AQ17+AS17+AU17+AW17+AY17+BA17+BC17+BE17+BG17+BI17</f>
        <v>0</v>
      </c>
      <c r="BL17" s="78">
        <f>AB17+AD17+AF17+AH17+AJ17+AL17+AN17+AP17+AR17+AT17+AV17+AX17+AZ17+BB17+BD17+BF17+BH17+BJ17</f>
        <v>0</v>
      </c>
      <c r="BM17" s="154" t="s">
        <v>224</v>
      </c>
      <c r="BO17" s="178"/>
      <c r="BP17" s="86">
        <f>H17</f>
        <v>0</v>
      </c>
      <c r="BQ17" s="178"/>
      <c r="BR17" s="178"/>
      <c r="BS17" s="86">
        <f>BO17+BP17+BQ17+BR17</f>
        <v>0</v>
      </c>
      <c r="BT17" s="178"/>
      <c r="BU17" s="178"/>
      <c r="BV17" s="178">
        <f t="shared" si="1"/>
        <v>0</v>
      </c>
      <c r="BW17" s="86">
        <f t="shared" si="2"/>
        <v>0</v>
      </c>
    </row>
    <row r="18" spans="1:75" s="369" customFormat="1">
      <c r="A18" s="926"/>
      <c r="B18" s="363"/>
      <c r="C18" s="336" t="s">
        <v>152</v>
      </c>
      <c r="D18" s="343" t="s">
        <v>152</v>
      </c>
      <c r="E18" s="364" t="s">
        <v>121</v>
      </c>
      <c r="F18" s="347"/>
      <c r="G18" s="366">
        <f t="shared" ref="G18:BR18" si="17">SUM(G16:G17)</f>
        <v>17</v>
      </c>
      <c r="H18" s="366">
        <f t="shared" si="17"/>
        <v>170000</v>
      </c>
      <c r="I18" s="366">
        <f t="shared" si="17"/>
        <v>34000</v>
      </c>
      <c r="J18" s="366">
        <f t="shared" si="17"/>
        <v>136000</v>
      </c>
      <c r="K18" s="366">
        <f t="shared" si="17"/>
        <v>0</v>
      </c>
      <c r="L18" s="366">
        <f t="shared" si="17"/>
        <v>0</v>
      </c>
      <c r="M18" s="366">
        <f t="shared" si="17"/>
        <v>0</v>
      </c>
      <c r="N18" s="366">
        <f t="shared" si="17"/>
        <v>0</v>
      </c>
      <c r="O18" s="366">
        <f t="shared" si="17"/>
        <v>0</v>
      </c>
      <c r="P18" s="366">
        <f t="shared" si="17"/>
        <v>0</v>
      </c>
      <c r="Q18" s="366">
        <f t="shared" si="17"/>
        <v>0</v>
      </c>
      <c r="R18" s="366">
        <f t="shared" si="17"/>
        <v>0</v>
      </c>
      <c r="S18" s="366">
        <f t="shared" si="17"/>
        <v>4.25</v>
      </c>
      <c r="T18" s="366">
        <f t="shared" si="17"/>
        <v>4.25</v>
      </c>
      <c r="U18" s="366">
        <f t="shared" si="17"/>
        <v>4.25</v>
      </c>
      <c r="V18" s="366">
        <f t="shared" si="17"/>
        <v>4.25</v>
      </c>
      <c r="W18" s="366">
        <f t="shared" si="17"/>
        <v>42500</v>
      </c>
      <c r="X18" s="366">
        <f t="shared" si="17"/>
        <v>42500</v>
      </c>
      <c r="Y18" s="366">
        <f t="shared" si="17"/>
        <v>42500</v>
      </c>
      <c r="Z18" s="366">
        <f t="shared" si="17"/>
        <v>42500</v>
      </c>
      <c r="AA18" s="366">
        <f t="shared" si="17"/>
        <v>1</v>
      </c>
      <c r="AB18" s="366">
        <f t="shared" si="17"/>
        <v>10000</v>
      </c>
      <c r="AC18" s="366">
        <f t="shared" si="17"/>
        <v>1</v>
      </c>
      <c r="AD18" s="366">
        <f t="shared" si="17"/>
        <v>10000</v>
      </c>
      <c r="AE18" s="366">
        <f t="shared" si="17"/>
        <v>1</v>
      </c>
      <c r="AF18" s="366">
        <f t="shared" si="17"/>
        <v>10000</v>
      </c>
      <c r="AG18" s="366">
        <f t="shared" si="17"/>
        <v>1</v>
      </c>
      <c r="AH18" s="366">
        <f t="shared" si="17"/>
        <v>10000</v>
      </c>
      <c r="AI18" s="366">
        <f t="shared" si="17"/>
        <v>1</v>
      </c>
      <c r="AJ18" s="366">
        <f t="shared" si="17"/>
        <v>10000</v>
      </c>
      <c r="AK18" s="366">
        <f t="shared" si="17"/>
        <v>1</v>
      </c>
      <c r="AL18" s="366">
        <f t="shared" si="17"/>
        <v>10000</v>
      </c>
      <c r="AM18" s="366">
        <f t="shared" si="17"/>
        <v>1</v>
      </c>
      <c r="AN18" s="366">
        <f t="shared" si="17"/>
        <v>10000</v>
      </c>
      <c r="AO18" s="366">
        <f t="shared" si="17"/>
        <v>1</v>
      </c>
      <c r="AP18" s="366">
        <f t="shared" si="17"/>
        <v>10000</v>
      </c>
      <c r="AQ18" s="366">
        <f t="shared" si="17"/>
        <v>1</v>
      </c>
      <c r="AR18" s="366">
        <f t="shared" si="17"/>
        <v>10000</v>
      </c>
      <c r="AS18" s="366">
        <f t="shared" si="17"/>
        <v>1</v>
      </c>
      <c r="AT18" s="366">
        <f t="shared" si="17"/>
        <v>10000</v>
      </c>
      <c r="AU18" s="366">
        <f t="shared" si="17"/>
        <v>1</v>
      </c>
      <c r="AV18" s="366">
        <f t="shared" si="17"/>
        <v>10000</v>
      </c>
      <c r="AW18" s="366">
        <f t="shared" si="17"/>
        <v>1</v>
      </c>
      <c r="AX18" s="366">
        <f t="shared" si="17"/>
        <v>10000</v>
      </c>
      <c r="AY18" s="366">
        <f t="shared" si="17"/>
        <v>1</v>
      </c>
      <c r="AZ18" s="366">
        <f t="shared" si="17"/>
        <v>10000</v>
      </c>
      <c r="BA18" s="366">
        <f t="shared" si="17"/>
        <v>1</v>
      </c>
      <c r="BB18" s="366">
        <f t="shared" si="17"/>
        <v>10000</v>
      </c>
      <c r="BC18" s="366">
        <f t="shared" si="17"/>
        <v>1</v>
      </c>
      <c r="BD18" s="366">
        <f t="shared" si="17"/>
        <v>10000</v>
      </c>
      <c r="BE18" s="366">
        <f t="shared" si="17"/>
        <v>1</v>
      </c>
      <c r="BF18" s="366">
        <f t="shared" si="17"/>
        <v>10000</v>
      </c>
      <c r="BG18" s="366">
        <f t="shared" si="17"/>
        <v>1</v>
      </c>
      <c r="BH18" s="366">
        <f t="shared" si="17"/>
        <v>10000</v>
      </c>
      <c r="BI18" s="366">
        <f t="shared" si="17"/>
        <v>0</v>
      </c>
      <c r="BJ18" s="366">
        <f t="shared" si="17"/>
        <v>0</v>
      </c>
      <c r="BK18" s="366">
        <f t="shared" si="17"/>
        <v>17</v>
      </c>
      <c r="BL18" s="366">
        <f t="shared" si="17"/>
        <v>170000</v>
      </c>
      <c r="BM18" s="366"/>
      <c r="BN18" s="366">
        <f t="shared" si="17"/>
        <v>0</v>
      </c>
      <c r="BO18" s="366">
        <f t="shared" si="17"/>
        <v>0</v>
      </c>
      <c r="BP18" s="366">
        <f t="shared" si="17"/>
        <v>170000</v>
      </c>
      <c r="BQ18" s="366">
        <f t="shared" si="17"/>
        <v>0</v>
      </c>
      <c r="BR18" s="366">
        <f t="shared" si="17"/>
        <v>0</v>
      </c>
      <c r="BS18" s="366">
        <f>SUM(BS16:BS17)</f>
        <v>170000</v>
      </c>
      <c r="BT18" s="366">
        <f>SUM(BT16:BT17)</f>
        <v>0</v>
      </c>
      <c r="BU18" s="366">
        <f>SUM(BU16:BU17)</f>
        <v>0</v>
      </c>
      <c r="BV18" s="366">
        <f>SUM(BV16:BV17)</f>
        <v>0</v>
      </c>
      <c r="BW18" s="366">
        <f>SUM(BW16:BW17)</f>
        <v>170000</v>
      </c>
    </row>
    <row r="19" spans="1:75">
      <c r="A19" s="926"/>
      <c r="B19" s="93"/>
      <c r="C19" s="309" t="s">
        <v>494</v>
      </c>
      <c r="D19" s="308" t="s">
        <v>494</v>
      </c>
      <c r="E19" s="362"/>
      <c r="F19" s="362"/>
      <c r="G19" s="93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184"/>
      <c r="S19" s="97"/>
      <c r="T19" s="97"/>
      <c r="U19" s="97"/>
      <c r="V19" s="97"/>
      <c r="W19" s="96"/>
      <c r="X19" s="96"/>
      <c r="Y19" s="96"/>
      <c r="Z19" s="96"/>
      <c r="AA19" s="184"/>
      <c r="AB19" s="108">
        <f t="shared" si="3"/>
        <v>0</v>
      </c>
      <c r="AC19" s="184"/>
      <c r="AD19" s="108">
        <f t="shared" si="4"/>
        <v>0</v>
      </c>
      <c r="AE19" s="184"/>
      <c r="AF19" s="108">
        <f t="shared" si="5"/>
        <v>0</v>
      </c>
      <c r="AG19" s="184"/>
      <c r="AH19" s="108">
        <f t="shared" si="15"/>
        <v>0</v>
      </c>
      <c r="AI19" s="184"/>
      <c r="AJ19" s="108">
        <f t="shared" si="6"/>
        <v>0</v>
      </c>
      <c r="AK19" s="184"/>
      <c r="AL19" s="108"/>
      <c r="AM19" s="184"/>
      <c r="AN19" s="108" t="s">
        <v>36</v>
      </c>
      <c r="AO19" s="184"/>
      <c r="AP19" s="108"/>
      <c r="AQ19" s="184"/>
      <c r="AR19" s="108">
        <f t="shared" si="16"/>
        <v>0</v>
      </c>
      <c r="AS19" s="184"/>
      <c r="AT19" s="108">
        <f t="shared" si="8"/>
        <v>0</v>
      </c>
      <c r="AU19" s="184"/>
      <c r="AV19" s="108"/>
      <c r="AW19" s="184"/>
      <c r="AX19" s="108"/>
      <c r="AY19" s="184"/>
      <c r="AZ19" s="108"/>
      <c r="BA19" s="184"/>
      <c r="BB19" s="108">
        <f t="shared" si="9"/>
        <v>0</v>
      </c>
      <c r="BC19" s="184"/>
      <c r="BD19" s="108"/>
      <c r="BE19" s="184"/>
      <c r="BF19" s="108"/>
      <c r="BG19" s="184"/>
      <c r="BH19" s="108"/>
      <c r="BI19" s="184"/>
      <c r="BJ19" s="108"/>
      <c r="BK19" s="78">
        <f>AA19+AC19+AE19+AG19+AI19+AK19+AM19+AO19+AQ19+AS19+AU19+AW19+AY19+BA19+BC19+BE19+BG19+BI19</f>
        <v>0</v>
      </c>
      <c r="BL19" s="78"/>
      <c r="BM19" s="184"/>
      <c r="BO19" s="178"/>
      <c r="BP19" s="178"/>
      <c r="BQ19" s="178"/>
      <c r="BR19" s="178"/>
      <c r="BS19" s="86">
        <f>BO19+BP19+BQ19+BR19</f>
        <v>0</v>
      </c>
      <c r="BT19" s="178"/>
      <c r="BU19" s="178"/>
      <c r="BV19" s="178">
        <f>BT19+BU19</f>
        <v>0</v>
      </c>
      <c r="BW19" s="86">
        <f t="shared" si="2"/>
        <v>0</v>
      </c>
    </row>
    <row r="20" spans="1:75">
      <c r="A20" s="926"/>
      <c r="B20" s="93"/>
      <c r="C20" s="308"/>
      <c r="D20" s="307" t="s">
        <v>495</v>
      </c>
      <c r="E20" s="362" t="s">
        <v>16</v>
      </c>
      <c r="F20" s="504">
        <v>200000</v>
      </c>
      <c r="G20" s="93">
        <f>BK20</f>
        <v>1</v>
      </c>
      <c r="H20" s="96">
        <f>G20*F20</f>
        <v>200000</v>
      </c>
      <c r="I20" s="96">
        <f>H20*0.2</f>
        <v>40000</v>
      </c>
      <c r="J20" s="96">
        <f>H20*0.8</f>
        <v>160000</v>
      </c>
      <c r="K20" s="96"/>
      <c r="L20" s="96"/>
      <c r="M20" s="96"/>
      <c r="N20" s="96"/>
      <c r="O20" s="96"/>
      <c r="P20" s="96"/>
      <c r="Q20" s="96"/>
      <c r="R20" s="96"/>
      <c r="S20" s="97"/>
      <c r="T20" s="97"/>
      <c r="U20" s="97">
        <f>G20</f>
        <v>1</v>
      </c>
      <c r="V20" s="97"/>
      <c r="W20" s="96">
        <f>S20*F20</f>
        <v>0</v>
      </c>
      <c r="X20" s="96">
        <f>T20*F20</f>
        <v>0</v>
      </c>
      <c r="Y20" s="96">
        <f>U20*F20</f>
        <v>200000</v>
      </c>
      <c r="Z20" s="96">
        <f>V20*F20</f>
        <v>0</v>
      </c>
      <c r="AA20" s="184"/>
      <c r="AB20" s="108">
        <f t="shared" si="3"/>
        <v>0</v>
      </c>
      <c r="AC20" s="184"/>
      <c r="AD20" s="108">
        <f t="shared" si="4"/>
        <v>0</v>
      </c>
      <c r="AE20" s="184"/>
      <c r="AF20" s="108">
        <f t="shared" si="5"/>
        <v>0</v>
      </c>
      <c r="AG20" s="184"/>
      <c r="AH20" s="108">
        <f t="shared" si="15"/>
        <v>0</v>
      </c>
      <c r="AI20" s="184"/>
      <c r="AJ20" s="108">
        <f t="shared" si="6"/>
        <v>0</v>
      </c>
      <c r="AK20" s="184"/>
      <c r="AL20" s="108"/>
      <c r="AM20" s="184"/>
      <c r="AN20" s="108">
        <f t="shared" si="7"/>
        <v>0</v>
      </c>
      <c r="AO20" s="184"/>
      <c r="AP20" s="108"/>
      <c r="AQ20" s="184"/>
      <c r="AR20" s="108">
        <f t="shared" si="16"/>
        <v>0</v>
      </c>
      <c r="AS20" s="184"/>
      <c r="AT20" s="108">
        <f t="shared" si="8"/>
        <v>0</v>
      </c>
      <c r="AU20" s="184"/>
      <c r="AV20" s="108"/>
      <c r="AW20" s="184"/>
      <c r="AX20" s="108"/>
      <c r="AY20" s="184"/>
      <c r="AZ20" s="108"/>
      <c r="BA20" s="184"/>
      <c r="BB20" s="108">
        <f t="shared" si="9"/>
        <v>0</v>
      </c>
      <c r="BC20" s="184"/>
      <c r="BD20" s="108"/>
      <c r="BE20" s="184"/>
      <c r="BF20" s="108"/>
      <c r="BG20" s="184"/>
      <c r="BH20" s="108"/>
      <c r="BI20" s="184">
        <v>1</v>
      </c>
      <c r="BJ20" s="108">
        <f>BI20*F20</f>
        <v>200000</v>
      </c>
      <c r="BK20" s="78">
        <f>AA20+AC20+AE20+AG20+AI20+AK20+AM20+AO20+AQ20+AS20+AU20+AW20+AY20+BA20+BC20+BE20+BG20+BI20</f>
        <v>1</v>
      </c>
      <c r="BL20" s="78">
        <f>AB20+AD20+AF20+AH20+AJ20+AL20+AN20+AP20+AR20+AT20+AV20+AX20+AZ20+BB20+BD20+BF20+BH20+BJ20</f>
        <v>200000</v>
      </c>
      <c r="BM20" s="154" t="s">
        <v>224</v>
      </c>
      <c r="BO20" s="178"/>
      <c r="BP20" s="86">
        <f>H20</f>
        <v>200000</v>
      </c>
      <c r="BQ20" s="178"/>
      <c r="BR20" s="178"/>
      <c r="BS20" s="86">
        <f>BO20+BP20+BQ20+BR20</f>
        <v>200000</v>
      </c>
      <c r="BT20" s="178"/>
      <c r="BU20" s="178"/>
      <c r="BV20" s="178">
        <f>BT20+BU20</f>
        <v>0</v>
      </c>
      <c r="BW20" s="86">
        <f t="shared" si="2"/>
        <v>200000</v>
      </c>
    </row>
    <row r="21" spans="1:75">
      <c r="A21" s="926"/>
      <c r="B21" s="93"/>
      <c r="C21" s="308"/>
      <c r="D21" s="307" t="s">
        <v>153</v>
      </c>
      <c r="E21" s="362" t="s">
        <v>16</v>
      </c>
      <c r="F21" s="312" t="s">
        <v>501</v>
      </c>
      <c r="G21" s="93">
        <f>BK21</f>
        <v>0</v>
      </c>
      <c r="H21" s="96">
        <f>G21*F21</f>
        <v>0</v>
      </c>
      <c r="I21" s="96">
        <f>H21*0.2</f>
        <v>0</v>
      </c>
      <c r="J21" s="96">
        <f>H21*0.8</f>
        <v>0</v>
      </c>
      <c r="K21" s="96"/>
      <c r="L21" s="96"/>
      <c r="M21" s="96"/>
      <c r="N21" s="96"/>
      <c r="O21" s="96"/>
      <c r="P21" s="96"/>
      <c r="Q21" s="96"/>
      <c r="R21" s="96"/>
      <c r="S21" s="97"/>
      <c r="T21" s="97"/>
      <c r="U21" s="97">
        <f>G21</f>
        <v>0</v>
      </c>
      <c r="V21" s="97"/>
      <c r="W21" s="96">
        <f>S21*F21</f>
        <v>0</v>
      </c>
      <c r="X21" s="96">
        <f>T21*F21</f>
        <v>0</v>
      </c>
      <c r="Y21" s="96">
        <f>U21*F21</f>
        <v>0</v>
      </c>
      <c r="Z21" s="96">
        <f>V21*F21</f>
        <v>0</v>
      </c>
      <c r="AA21" s="184"/>
      <c r="AB21" s="108">
        <f t="shared" si="3"/>
        <v>0</v>
      </c>
      <c r="AC21" s="184"/>
      <c r="AD21" s="108">
        <f t="shared" si="4"/>
        <v>0</v>
      </c>
      <c r="AE21" s="184"/>
      <c r="AF21" s="108">
        <f t="shared" si="5"/>
        <v>0</v>
      </c>
      <c r="AG21" s="184"/>
      <c r="AH21" s="108">
        <f t="shared" si="15"/>
        <v>0</v>
      </c>
      <c r="AI21" s="184"/>
      <c r="AJ21" s="108">
        <f t="shared" si="6"/>
        <v>0</v>
      </c>
      <c r="AK21" s="184"/>
      <c r="AL21" s="108"/>
      <c r="AM21" s="184"/>
      <c r="AN21" s="108">
        <f t="shared" si="7"/>
        <v>0</v>
      </c>
      <c r="AO21" s="184"/>
      <c r="AP21" s="108"/>
      <c r="AQ21" s="184"/>
      <c r="AR21" s="108">
        <f t="shared" si="16"/>
        <v>0</v>
      </c>
      <c r="AS21" s="184"/>
      <c r="AT21" s="108">
        <f t="shared" si="8"/>
        <v>0</v>
      </c>
      <c r="AU21" s="184"/>
      <c r="AV21" s="108"/>
      <c r="AW21" s="184"/>
      <c r="AX21" s="108"/>
      <c r="AY21" s="184"/>
      <c r="AZ21" s="108"/>
      <c r="BA21" s="184"/>
      <c r="BB21" s="108">
        <f t="shared" si="9"/>
        <v>0</v>
      </c>
      <c r="BC21" s="184"/>
      <c r="BD21" s="108"/>
      <c r="BE21" s="184"/>
      <c r="BF21" s="108"/>
      <c r="BG21" s="184"/>
      <c r="BH21" s="108"/>
      <c r="BI21" s="184">
        <v>0</v>
      </c>
      <c r="BJ21" s="108">
        <f>BI21*F21</f>
        <v>0</v>
      </c>
      <c r="BK21" s="78">
        <f>AA21+AC21+AE21+AG21+AI21+AK21+AM21+AO21+AQ21+AS21+AU21+AW21+AY21+BA21+BC21+BE21+BG21+BI21</f>
        <v>0</v>
      </c>
      <c r="BL21" s="78">
        <f>AB21+AD21+AF21+AH21+AJ21+AL21+AN21+AP21+AR21+AT21+AV21+AX21+AZ21+BB21+BD21+BF21+BH21+BJ21</f>
        <v>0</v>
      </c>
      <c r="BM21" s="154" t="s">
        <v>224</v>
      </c>
      <c r="BO21" s="178"/>
      <c r="BP21" s="86">
        <f>H21</f>
        <v>0</v>
      </c>
      <c r="BQ21" s="178"/>
      <c r="BR21" s="178"/>
      <c r="BS21" s="86">
        <f>BO21+BP21+BQ21+BR21</f>
        <v>0</v>
      </c>
      <c r="BT21" s="178"/>
      <c r="BU21" s="178"/>
      <c r="BV21" s="178">
        <f>BT21+BU21</f>
        <v>0</v>
      </c>
      <c r="BW21" s="86">
        <f t="shared" si="2"/>
        <v>0</v>
      </c>
    </row>
    <row r="22" spans="1:75" s="369" customFormat="1">
      <c r="A22" s="926"/>
      <c r="B22" s="363"/>
      <c r="C22" s="336" t="s">
        <v>154</v>
      </c>
      <c r="D22" s="343" t="s">
        <v>154</v>
      </c>
      <c r="E22" s="439" t="s">
        <v>121</v>
      </c>
      <c r="F22" s="440" t="s">
        <v>486</v>
      </c>
      <c r="G22" s="366">
        <f t="shared" ref="G22:BR22" si="18">G21+G20</f>
        <v>1</v>
      </c>
      <c r="H22" s="366">
        <f t="shared" si="18"/>
        <v>200000</v>
      </c>
      <c r="I22" s="366">
        <f t="shared" si="18"/>
        <v>40000</v>
      </c>
      <c r="J22" s="366">
        <f t="shared" si="18"/>
        <v>160000</v>
      </c>
      <c r="K22" s="366">
        <f t="shared" si="18"/>
        <v>0</v>
      </c>
      <c r="L22" s="366">
        <f t="shared" si="18"/>
        <v>0</v>
      </c>
      <c r="M22" s="366">
        <f t="shared" si="18"/>
        <v>0</v>
      </c>
      <c r="N22" s="366">
        <f t="shared" si="18"/>
        <v>0</v>
      </c>
      <c r="O22" s="366">
        <f t="shared" si="18"/>
        <v>0</v>
      </c>
      <c r="P22" s="366">
        <f t="shared" si="18"/>
        <v>0</v>
      </c>
      <c r="Q22" s="366">
        <f t="shared" si="18"/>
        <v>0</v>
      </c>
      <c r="R22" s="366">
        <f t="shared" si="18"/>
        <v>0</v>
      </c>
      <c r="S22" s="366">
        <f t="shared" si="18"/>
        <v>0</v>
      </c>
      <c r="T22" s="366">
        <f t="shared" si="18"/>
        <v>0</v>
      </c>
      <c r="U22" s="366">
        <f t="shared" si="18"/>
        <v>1</v>
      </c>
      <c r="V22" s="366">
        <f t="shared" si="18"/>
        <v>0</v>
      </c>
      <c r="W22" s="366">
        <f t="shared" si="18"/>
        <v>0</v>
      </c>
      <c r="X22" s="366">
        <f t="shared" si="18"/>
        <v>0</v>
      </c>
      <c r="Y22" s="366">
        <f t="shared" si="18"/>
        <v>200000</v>
      </c>
      <c r="Z22" s="366">
        <f t="shared" si="18"/>
        <v>0</v>
      </c>
      <c r="AA22" s="366">
        <f t="shared" si="18"/>
        <v>0</v>
      </c>
      <c r="AB22" s="366">
        <f t="shared" si="18"/>
        <v>0</v>
      </c>
      <c r="AC22" s="366">
        <f t="shared" si="18"/>
        <v>0</v>
      </c>
      <c r="AD22" s="366">
        <f t="shared" si="18"/>
        <v>0</v>
      </c>
      <c r="AE22" s="366">
        <f t="shared" si="18"/>
        <v>0</v>
      </c>
      <c r="AF22" s="366">
        <f t="shared" si="18"/>
        <v>0</v>
      </c>
      <c r="AG22" s="366">
        <f t="shared" si="18"/>
        <v>0</v>
      </c>
      <c r="AH22" s="366">
        <f t="shared" si="18"/>
        <v>0</v>
      </c>
      <c r="AI22" s="366">
        <f t="shared" si="18"/>
        <v>0</v>
      </c>
      <c r="AJ22" s="366">
        <f t="shared" si="18"/>
        <v>0</v>
      </c>
      <c r="AK22" s="366">
        <f t="shared" si="18"/>
        <v>0</v>
      </c>
      <c r="AL22" s="366">
        <f t="shared" si="18"/>
        <v>0</v>
      </c>
      <c r="AM22" s="366">
        <f t="shared" si="18"/>
        <v>0</v>
      </c>
      <c r="AN22" s="366">
        <f t="shared" si="18"/>
        <v>0</v>
      </c>
      <c r="AO22" s="366">
        <f t="shared" si="18"/>
        <v>0</v>
      </c>
      <c r="AP22" s="366">
        <f t="shared" si="18"/>
        <v>0</v>
      </c>
      <c r="AQ22" s="366">
        <f t="shared" si="18"/>
        <v>0</v>
      </c>
      <c r="AR22" s="366">
        <f t="shared" si="18"/>
        <v>0</v>
      </c>
      <c r="AS22" s="366">
        <f t="shared" si="18"/>
        <v>0</v>
      </c>
      <c r="AT22" s="366">
        <f t="shared" si="18"/>
        <v>0</v>
      </c>
      <c r="AU22" s="366">
        <f t="shared" si="18"/>
        <v>0</v>
      </c>
      <c r="AV22" s="366">
        <f t="shared" si="18"/>
        <v>0</v>
      </c>
      <c r="AW22" s="366">
        <f t="shared" si="18"/>
        <v>0</v>
      </c>
      <c r="AX22" s="366">
        <f t="shared" si="18"/>
        <v>0</v>
      </c>
      <c r="AY22" s="366">
        <f t="shared" si="18"/>
        <v>0</v>
      </c>
      <c r="AZ22" s="366">
        <f t="shared" si="18"/>
        <v>0</v>
      </c>
      <c r="BA22" s="366">
        <f t="shared" si="18"/>
        <v>0</v>
      </c>
      <c r="BB22" s="366">
        <f t="shared" si="18"/>
        <v>0</v>
      </c>
      <c r="BC22" s="366">
        <f t="shared" si="18"/>
        <v>0</v>
      </c>
      <c r="BD22" s="366">
        <f t="shared" si="18"/>
        <v>0</v>
      </c>
      <c r="BE22" s="366">
        <f t="shared" si="18"/>
        <v>0</v>
      </c>
      <c r="BF22" s="366">
        <f t="shared" si="18"/>
        <v>0</v>
      </c>
      <c r="BG22" s="366">
        <f t="shared" si="18"/>
        <v>0</v>
      </c>
      <c r="BH22" s="366">
        <f t="shared" si="18"/>
        <v>0</v>
      </c>
      <c r="BI22" s="366">
        <f t="shared" si="18"/>
        <v>1</v>
      </c>
      <c r="BJ22" s="366">
        <f t="shared" si="18"/>
        <v>200000</v>
      </c>
      <c r="BK22" s="366">
        <f t="shared" si="18"/>
        <v>1</v>
      </c>
      <c r="BL22" s="366">
        <f t="shared" si="18"/>
        <v>200000</v>
      </c>
      <c r="BM22" s="366"/>
      <c r="BN22" s="366">
        <f t="shared" si="18"/>
        <v>0</v>
      </c>
      <c r="BO22" s="366">
        <f t="shared" si="18"/>
        <v>0</v>
      </c>
      <c r="BP22" s="366">
        <f t="shared" si="18"/>
        <v>200000</v>
      </c>
      <c r="BQ22" s="366">
        <f t="shared" si="18"/>
        <v>0</v>
      </c>
      <c r="BR22" s="366">
        <f t="shared" si="18"/>
        <v>0</v>
      </c>
      <c r="BS22" s="366">
        <f>BS21+BS20</f>
        <v>200000</v>
      </c>
      <c r="BT22" s="366">
        <f>BT21+BT20</f>
        <v>0</v>
      </c>
      <c r="BU22" s="366">
        <f>BU21+BU20</f>
        <v>0</v>
      </c>
      <c r="BV22" s="366">
        <f>BV21+BV20</f>
        <v>0</v>
      </c>
      <c r="BW22" s="366">
        <f>BW21+BW20</f>
        <v>200000</v>
      </c>
    </row>
    <row r="23" spans="1:75" s="145" customFormat="1">
      <c r="A23" s="926"/>
      <c r="B23" s="122"/>
      <c r="C23" s="309" t="s">
        <v>496</v>
      </c>
      <c r="D23" s="310" t="s">
        <v>496</v>
      </c>
      <c r="E23" s="362"/>
      <c r="F23" s="312"/>
      <c r="G23" s="305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356"/>
      <c r="T23" s="356"/>
      <c r="U23" s="356"/>
      <c r="V23" s="356"/>
      <c r="W23" s="242"/>
      <c r="X23" s="242"/>
      <c r="Y23" s="242"/>
      <c r="Z23" s="242"/>
      <c r="AA23" s="184"/>
      <c r="AB23" s="108">
        <f t="shared" si="3"/>
        <v>0</v>
      </c>
      <c r="AC23" s="184"/>
      <c r="AD23" s="108">
        <f t="shared" si="4"/>
        <v>0</v>
      </c>
      <c r="AE23" s="184"/>
      <c r="AF23" s="108">
        <f t="shared" si="5"/>
        <v>0</v>
      </c>
      <c r="AG23" s="184"/>
      <c r="AH23" s="108">
        <f t="shared" si="15"/>
        <v>0</v>
      </c>
      <c r="AI23" s="184"/>
      <c r="AJ23" s="108">
        <f t="shared" si="6"/>
        <v>0</v>
      </c>
      <c r="AK23" s="184"/>
      <c r="AL23" s="108"/>
      <c r="AM23" s="184"/>
      <c r="AN23" s="108">
        <f t="shared" si="7"/>
        <v>0</v>
      </c>
      <c r="AO23" s="184"/>
      <c r="AP23" s="108"/>
      <c r="AQ23" s="184"/>
      <c r="AR23" s="108">
        <f t="shared" si="16"/>
        <v>0</v>
      </c>
      <c r="AS23" s="184"/>
      <c r="AT23" s="108">
        <f t="shared" si="8"/>
        <v>0</v>
      </c>
      <c r="AU23" s="184"/>
      <c r="AV23" s="108"/>
      <c r="AW23" s="184"/>
      <c r="AX23" s="108"/>
      <c r="AY23" s="184"/>
      <c r="AZ23" s="108"/>
      <c r="BA23" s="184"/>
      <c r="BB23" s="108">
        <f t="shared" si="9"/>
        <v>0</v>
      </c>
      <c r="BC23" s="184"/>
      <c r="BD23" s="108"/>
      <c r="BE23" s="184"/>
      <c r="BF23" s="108"/>
      <c r="BG23" s="184"/>
      <c r="BH23" s="108"/>
      <c r="BI23" s="184"/>
      <c r="BJ23" s="108"/>
      <c r="BK23" s="78">
        <f t="shared" ref="BK23:BL26" si="19">AA23+AC23+AE23+AG23+AI23+AK23+AM23+AO23+AQ23+AS23+AU23+AW23+AY23+BA23+BC23+BE23+BG23+BI23</f>
        <v>0</v>
      </c>
      <c r="BL23" s="78">
        <f t="shared" si="19"/>
        <v>0</v>
      </c>
      <c r="BM23" s="185"/>
      <c r="BN23" s="149"/>
      <c r="BO23" s="242"/>
      <c r="BP23" s="242"/>
      <c r="BQ23" s="242"/>
      <c r="BR23" s="242"/>
      <c r="BS23" s="242"/>
      <c r="BT23" s="242"/>
      <c r="BU23" s="242"/>
      <c r="BV23" s="242"/>
      <c r="BW23" s="242"/>
    </row>
    <row r="24" spans="1:75">
      <c r="A24" s="926"/>
      <c r="B24" s="93"/>
      <c r="C24" s="308"/>
      <c r="D24" s="307" t="s">
        <v>155</v>
      </c>
      <c r="E24" s="362" t="s">
        <v>16</v>
      </c>
      <c r="F24" s="312">
        <v>100000</v>
      </c>
      <c r="G24" s="93">
        <f>BK24</f>
        <v>0</v>
      </c>
      <c r="H24" s="357">
        <f>G24*F24</f>
        <v>0</v>
      </c>
      <c r="I24" s="357"/>
      <c r="J24" s="357"/>
      <c r="K24" s="357"/>
      <c r="L24" s="357"/>
      <c r="M24" s="357"/>
      <c r="N24" s="357"/>
      <c r="O24" s="357"/>
      <c r="P24" s="357"/>
      <c r="Q24" s="357"/>
      <c r="R24" s="358"/>
      <c r="S24" s="186"/>
      <c r="T24" s="186"/>
      <c r="U24" s="186"/>
      <c r="V24" s="186">
        <f>G24</f>
        <v>0</v>
      </c>
      <c r="W24" s="96"/>
      <c r="X24" s="96"/>
      <c r="Y24" s="96"/>
      <c r="Z24" s="96">
        <f>V24*F24</f>
        <v>0</v>
      </c>
      <c r="AA24" s="184"/>
      <c r="AB24" s="108">
        <f t="shared" si="3"/>
        <v>0</v>
      </c>
      <c r="AC24" s="184"/>
      <c r="AD24" s="108">
        <f t="shared" si="4"/>
        <v>0</v>
      </c>
      <c r="AE24" s="184"/>
      <c r="AF24" s="108">
        <f t="shared" si="5"/>
        <v>0</v>
      </c>
      <c r="AG24" s="184"/>
      <c r="AH24" s="108">
        <f t="shared" si="15"/>
        <v>0</v>
      </c>
      <c r="AI24" s="184"/>
      <c r="AJ24" s="108">
        <f t="shared" si="6"/>
        <v>0</v>
      </c>
      <c r="AK24" s="184"/>
      <c r="AL24" s="108"/>
      <c r="AM24" s="184"/>
      <c r="AN24" s="108">
        <f t="shared" si="7"/>
        <v>0</v>
      </c>
      <c r="AO24" s="184"/>
      <c r="AP24" s="108"/>
      <c r="AQ24" s="184"/>
      <c r="AR24" s="108">
        <f t="shared" si="16"/>
        <v>0</v>
      </c>
      <c r="AS24" s="184"/>
      <c r="AT24" s="108">
        <f t="shared" si="8"/>
        <v>0</v>
      </c>
      <c r="AU24" s="184"/>
      <c r="AV24" s="108"/>
      <c r="AW24" s="184"/>
      <c r="AX24" s="108"/>
      <c r="AY24" s="184"/>
      <c r="AZ24" s="108"/>
      <c r="BA24" s="184"/>
      <c r="BB24" s="108">
        <f t="shared" si="9"/>
        <v>0</v>
      </c>
      <c r="BC24" s="184"/>
      <c r="BD24" s="108"/>
      <c r="BE24" s="184"/>
      <c r="BF24" s="108"/>
      <c r="BG24" s="184"/>
      <c r="BH24" s="108"/>
      <c r="BI24" s="184">
        <v>0</v>
      </c>
      <c r="BJ24" s="108">
        <f>BI24*F24</f>
        <v>0</v>
      </c>
      <c r="BK24" s="78">
        <f t="shared" si="19"/>
        <v>0</v>
      </c>
      <c r="BL24" s="78">
        <f t="shared" si="19"/>
        <v>0</v>
      </c>
      <c r="BM24" s="184"/>
      <c r="BO24" s="184"/>
      <c r="BP24" s="184"/>
      <c r="BQ24" s="184"/>
      <c r="BR24" s="184"/>
      <c r="BS24" s="96">
        <f t="shared" ref="BS24:BS34" si="20">BO24+BP24+BQ24+BR24</f>
        <v>0</v>
      </c>
      <c r="BT24" s="184"/>
      <c r="BU24" s="184"/>
      <c r="BV24" s="184">
        <f t="shared" ref="BV24:BV32" si="21">BT24+BU24</f>
        <v>0</v>
      </c>
      <c r="BW24" s="96">
        <f t="shared" si="2"/>
        <v>0</v>
      </c>
    </row>
    <row r="25" spans="1:75">
      <c r="A25" s="926"/>
      <c r="B25" s="93"/>
      <c r="C25" s="308"/>
      <c r="D25" s="307" t="s">
        <v>156</v>
      </c>
      <c r="E25" s="362" t="s">
        <v>16</v>
      </c>
      <c r="F25" s="312" t="s">
        <v>502</v>
      </c>
      <c r="G25" s="93">
        <f>BK25</f>
        <v>0</v>
      </c>
      <c r="H25" s="357">
        <f>G25*F25</f>
        <v>0</v>
      </c>
      <c r="I25" s="96">
        <f>H25*0.2</f>
        <v>0</v>
      </c>
      <c r="J25" s="96">
        <f>H25*0.8</f>
        <v>0</v>
      </c>
      <c r="K25" s="96"/>
      <c r="L25" s="96"/>
      <c r="M25" s="96"/>
      <c r="N25" s="96"/>
      <c r="O25" s="96"/>
      <c r="P25" s="96"/>
      <c r="Q25" s="96"/>
      <c r="R25" s="96"/>
      <c r="S25" s="97"/>
      <c r="T25" s="97"/>
      <c r="U25" s="97"/>
      <c r="V25" s="186">
        <f>G25</f>
        <v>0</v>
      </c>
      <c r="W25" s="96">
        <f>S25*F25</f>
        <v>0</v>
      </c>
      <c r="X25" s="96">
        <f>T25*F25</f>
        <v>0</v>
      </c>
      <c r="Y25" s="96">
        <f>U25*F25</f>
        <v>0</v>
      </c>
      <c r="Z25" s="96">
        <f>V25*F25</f>
        <v>0</v>
      </c>
      <c r="AA25" s="184"/>
      <c r="AB25" s="108">
        <f t="shared" si="3"/>
        <v>0</v>
      </c>
      <c r="AC25" s="184"/>
      <c r="AD25" s="108">
        <f t="shared" si="4"/>
        <v>0</v>
      </c>
      <c r="AE25" s="184"/>
      <c r="AF25" s="108">
        <f t="shared" si="5"/>
        <v>0</v>
      </c>
      <c r="AG25" s="184"/>
      <c r="AH25" s="108">
        <f t="shared" si="15"/>
        <v>0</v>
      </c>
      <c r="AI25" s="184"/>
      <c r="AJ25" s="108">
        <f t="shared" si="6"/>
        <v>0</v>
      </c>
      <c r="AK25" s="184"/>
      <c r="AL25" s="108"/>
      <c r="AM25" s="184"/>
      <c r="AN25" s="108">
        <f t="shared" si="7"/>
        <v>0</v>
      </c>
      <c r="AO25" s="184"/>
      <c r="AP25" s="108"/>
      <c r="AQ25" s="184"/>
      <c r="AR25" s="108">
        <f t="shared" si="16"/>
        <v>0</v>
      </c>
      <c r="AS25" s="184"/>
      <c r="AT25" s="108">
        <f t="shared" si="8"/>
        <v>0</v>
      </c>
      <c r="AU25" s="184"/>
      <c r="AV25" s="108"/>
      <c r="AW25" s="184"/>
      <c r="AX25" s="108"/>
      <c r="AY25" s="184"/>
      <c r="AZ25" s="108"/>
      <c r="BA25" s="184"/>
      <c r="BB25" s="108">
        <f t="shared" si="9"/>
        <v>0</v>
      </c>
      <c r="BC25" s="184"/>
      <c r="BD25" s="108"/>
      <c r="BE25" s="184"/>
      <c r="BF25" s="108"/>
      <c r="BG25" s="184"/>
      <c r="BH25" s="108"/>
      <c r="BI25" s="184"/>
      <c r="BJ25" s="108">
        <f>BI25*F25</f>
        <v>0</v>
      </c>
      <c r="BK25" s="78">
        <f t="shared" si="19"/>
        <v>0</v>
      </c>
      <c r="BL25" s="78">
        <f t="shared" si="19"/>
        <v>0</v>
      </c>
      <c r="BM25" s="154" t="s">
        <v>224</v>
      </c>
      <c r="BO25" s="178"/>
      <c r="BP25" s="96">
        <f>H25</f>
        <v>0</v>
      </c>
      <c r="BQ25" s="178"/>
      <c r="BR25" s="178"/>
      <c r="BS25" s="86">
        <f t="shared" si="20"/>
        <v>0</v>
      </c>
      <c r="BT25" s="178"/>
      <c r="BU25" s="178"/>
      <c r="BV25" s="178">
        <f t="shared" si="21"/>
        <v>0</v>
      </c>
      <c r="BW25" s="86">
        <f t="shared" si="2"/>
        <v>0</v>
      </c>
    </row>
    <row r="26" spans="1:75">
      <c r="A26" s="926"/>
      <c r="B26" s="93"/>
      <c r="C26" s="308"/>
      <c r="D26" s="307" t="s">
        <v>157</v>
      </c>
      <c r="E26" s="362" t="s">
        <v>16</v>
      </c>
      <c r="F26" s="312">
        <v>100000</v>
      </c>
      <c r="G26" s="93">
        <f>BK26</f>
        <v>0</v>
      </c>
      <c r="H26" s="357">
        <f>G26*F26</f>
        <v>0</v>
      </c>
      <c r="I26" s="96">
        <f>H26*0.2</f>
        <v>0</v>
      </c>
      <c r="J26" s="96">
        <f>H26*0.8</f>
        <v>0</v>
      </c>
      <c r="K26" s="96"/>
      <c r="L26" s="96"/>
      <c r="M26" s="96"/>
      <c r="N26" s="96"/>
      <c r="O26" s="96"/>
      <c r="P26" s="96"/>
      <c r="Q26" s="96"/>
      <c r="R26" s="96"/>
      <c r="S26" s="97"/>
      <c r="T26" s="97"/>
      <c r="U26" s="97"/>
      <c r="V26" s="186">
        <f>G26</f>
        <v>0</v>
      </c>
      <c r="W26" s="96">
        <f>S26*F26</f>
        <v>0</v>
      </c>
      <c r="X26" s="96">
        <f>T26*F26</f>
        <v>0</v>
      </c>
      <c r="Y26" s="96">
        <f>U26*F26</f>
        <v>0</v>
      </c>
      <c r="Z26" s="96">
        <f>V26*F26</f>
        <v>0</v>
      </c>
      <c r="AA26" s="184"/>
      <c r="AB26" s="108">
        <f t="shared" si="3"/>
        <v>0</v>
      </c>
      <c r="AC26" s="184"/>
      <c r="AD26" s="108">
        <f t="shared" si="4"/>
        <v>0</v>
      </c>
      <c r="AE26" s="184"/>
      <c r="AF26" s="108">
        <f t="shared" si="5"/>
        <v>0</v>
      </c>
      <c r="AG26" s="184"/>
      <c r="AH26" s="108">
        <f t="shared" si="15"/>
        <v>0</v>
      </c>
      <c r="AI26" s="184"/>
      <c r="AJ26" s="108">
        <f t="shared" si="6"/>
        <v>0</v>
      </c>
      <c r="AK26" s="184"/>
      <c r="AL26" s="108"/>
      <c r="AM26" s="184"/>
      <c r="AN26" s="108">
        <f t="shared" si="7"/>
        <v>0</v>
      </c>
      <c r="AO26" s="184"/>
      <c r="AP26" s="108"/>
      <c r="AQ26" s="184"/>
      <c r="AR26" s="108">
        <f t="shared" si="16"/>
        <v>0</v>
      </c>
      <c r="AS26" s="184"/>
      <c r="AT26" s="108">
        <f t="shared" si="8"/>
        <v>0</v>
      </c>
      <c r="AU26" s="184"/>
      <c r="AV26" s="108"/>
      <c r="AW26" s="184"/>
      <c r="AX26" s="108"/>
      <c r="AY26" s="184"/>
      <c r="AZ26" s="108"/>
      <c r="BA26" s="184"/>
      <c r="BB26" s="108">
        <f t="shared" si="9"/>
        <v>0</v>
      </c>
      <c r="BC26" s="184"/>
      <c r="BD26" s="108"/>
      <c r="BE26" s="184"/>
      <c r="BF26" s="108"/>
      <c r="BG26" s="184"/>
      <c r="BH26" s="108"/>
      <c r="BI26" s="184">
        <v>0</v>
      </c>
      <c r="BJ26" s="108">
        <f>BI26*F26</f>
        <v>0</v>
      </c>
      <c r="BK26" s="78">
        <f t="shared" si="19"/>
        <v>0</v>
      </c>
      <c r="BL26" s="78">
        <f t="shared" si="19"/>
        <v>0</v>
      </c>
      <c r="BM26" s="154" t="s">
        <v>224</v>
      </c>
      <c r="BO26" s="178"/>
      <c r="BP26" s="96">
        <f>H26</f>
        <v>0</v>
      </c>
      <c r="BQ26" s="178"/>
      <c r="BR26" s="178"/>
      <c r="BS26" s="86">
        <f t="shared" si="20"/>
        <v>0</v>
      </c>
      <c r="BT26" s="178"/>
      <c r="BU26" s="178"/>
      <c r="BV26" s="178">
        <f t="shared" si="21"/>
        <v>0</v>
      </c>
      <c r="BW26" s="86">
        <f t="shared" si="2"/>
        <v>0</v>
      </c>
    </row>
    <row r="27" spans="1:75" s="369" customFormat="1">
      <c r="A27" s="926"/>
      <c r="B27" s="363"/>
      <c r="C27" s="336" t="s">
        <v>158</v>
      </c>
      <c r="D27" s="343" t="s">
        <v>158</v>
      </c>
      <c r="E27" s="364" t="s">
        <v>121</v>
      </c>
      <c r="F27" s="347" t="s">
        <v>503</v>
      </c>
      <c r="G27" s="366">
        <f t="shared" ref="G27:BR27" si="22">G26+G25+G24</f>
        <v>0</v>
      </c>
      <c r="H27" s="366">
        <f t="shared" si="22"/>
        <v>0</v>
      </c>
      <c r="I27" s="366">
        <f t="shared" si="22"/>
        <v>0</v>
      </c>
      <c r="J27" s="366">
        <f t="shared" si="22"/>
        <v>0</v>
      </c>
      <c r="K27" s="366">
        <f t="shared" si="22"/>
        <v>0</v>
      </c>
      <c r="L27" s="366">
        <f t="shared" si="22"/>
        <v>0</v>
      </c>
      <c r="M27" s="366">
        <f t="shared" si="22"/>
        <v>0</v>
      </c>
      <c r="N27" s="366">
        <f t="shared" si="22"/>
        <v>0</v>
      </c>
      <c r="O27" s="366">
        <f t="shared" si="22"/>
        <v>0</v>
      </c>
      <c r="P27" s="366">
        <f t="shared" si="22"/>
        <v>0</v>
      </c>
      <c r="Q27" s="366">
        <f t="shared" si="22"/>
        <v>0</v>
      </c>
      <c r="R27" s="366">
        <f t="shared" si="22"/>
        <v>0</v>
      </c>
      <c r="S27" s="366">
        <f t="shared" si="22"/>
        <v>0</v>
      </c>
      <c r="T27" s="366">
        <f t="shared" si="22"/>
        <v>0</v>
      </c>
      <c r="U27" s="366">
        <f t="shared" si="22"/>
        <v>0</v>
      </c>
      <c r="V27" s="366">
        <f t="shared" si="22"/>
        <v>0</v>
      </c>
      <c r="W27" s="366">
        <f t="shared" si="22"/>
        <v>0</v>
      </c>
      <c r="X27" s="366">
        <f t="shared" si="22"/>
        <v>0</v>
      </c>
      <c r="Y27" s="366">
        <f t="shared" si="22"/>
        <v>0</v>
      </c>
      <c r="Z27" s="366">
        <f t="shared" si="22"/>
        <v>0</v>
      </c>
      <c r="AA27" s="366">
        <f t="shared" si="22"/>
        <v>0</v>
      </c>
      <c r="AB27" s="366">
        <f t="shared" si="22"/>
        <v>0</v>
      </c>
      <c r="AC27" s="366">
        <f t="shared" si="22"/>
        <v>0</v>
      </c>
      <c r="AD27" s="366">
        <f t="shared" si="22"/>
        <v>0</v>
      </c>
      <c r="AE27" s="366">
        <f t="shared" si="22"/>
        <v>0</v>
      </c>
      <c r="AF27" s="366">
        <f t="shared" si="22"/>
        <v>0</v>
      </c>
      <c r="AG27" s="366">
        <f t="shared" si="22"/>
        <v>0</v>
      </c>
      <c r="AH27" s="366">
        <f t="shared" si="22"/>
        <v>0</v>
      </c>
      <c r="AI27" s="366">
        <f t="shared" si="22"/>
        <v>0</v>
      </c>
      <c r="AJ27" s="366">
        <f t="shared" si="22"/>
        <v>0</v>
      </c>
      <c r="AK27" s="366">
        <f t="shared" si="22"/>
        <v>0</v>
      </c>
      <c r="AL27" s="366">
        <f t="shared" si="22"/>
        <v>0</v>
      </c>
      <c r="AM27" s="366">
        <f t="shared" si="22"/>
        <v>0</v>
      </c>
      <c r="AN27" s="366">
        <f t="shared" si="22"/>
        <v>0</v>
      </c>
      <c r="AO27" s="366">
        <f t="shared" si="22"/>
        <v>0</v>
      </c>
      <c r="AP27" s="366">
        <f t="shared" si="22"/>
        <v>0</v>
      </c>
      <c r="AQ27" s="366">
        <f t="shared" si="22"/>
        <v>0</v>
      </c>
      <c r="AR27" s="366">
        <f t="shared" si="22"/>
        <v>0</v>
      </c>
      <c r="AS27" s="366">
        <f t="shared" si="22"/>
        <v>0</v>
      </c>
      <c r="AT27" s="366">
        <f t="shared" si="22"/>
        <v>0</v>
      </c>
      <c r="AU27" s="366">
        <f t="shared" si="22"/>
        <v>0</v>
      </c>
      <c r="AV27" s="366">
        <f t="shared" si="22"/>
        <v>0</v>
      </c>
      <c r="AW27" s="366">
        <f t="shared" si="22"/>
        <v>0</v>
      </c>
      <c r="AX27" s="366">
        <f t="shared" si="22"/>
        <v>0</v>
      </c>
      <c r="AY27" s="366">
        <f t="shared" si="22"/>
        <v>0</v>
      </c>
      <c r="AZ27" s="366">
        <f t="shared" si="22"/>
        <v>0</v>
      </c>
      <c r="BA27" s="366">
        <f t="shared" si="22"/>
        <v>0</v>
      </c>
      <c r="BB27" s="366">
        <f t="shared" si="22"/>
        <v>0</v>
      </c>
      <c r="BC27" s="366">
        <f t="shared" si="22"/>
        <v>0</v>
      </c>
      <c r="BD27" s="366">
        <f t="shared" si="22"/>
        <v>0</v>
      </c>
      <c r="BE27" s="366">
        <f t="shared" si="22"/>
        <v>0</v>
      </c>
      <c r="BF27" s="366">
        <f t="shared" si="22"/>
        <v>0</v>
      </c>
      <c r="BG27" s="366">
        <f t="shared" si="22"/>
        <v>0</v>
      </c>
      <c r="BH27" s="366">
        <f t="shared" si="22"/>
        <v>0</v>
      </c>
      <c r="BI27" s="366">
        <f t="shared" si="22"/>
        <v>0</v>
      </c>
      <c r="BJ27" s="366">
        <f t="shared" si="22"/>
        <v>0</v>
      </c>
      <c r="BK27" s="366">
        <f t="shared" si="22"/>
        <v>0</v>
      </c>
      <c r="BL27" s="366">
        <f t="shared" si="22"/>
        <v>0</v>
      </c>
      <c r="BM27" s="366"/>
      <c r="BN27" s="366">
        <f t="shared" si="22"/>
        <v>0</v>
      </c>
      <c r="BO27" s="366">
        <f t="shared" si="22"/>
        <v>0</v>
      </c>
      <c r="BP27" s="366">
        <f t="shared" si="22"/>
        <v>0</v>
      </c>
      <c r="BQ27" s="366">
        <f t="shared" si="22"/>
        <v>0</v>
      </c>
      <c r="BR27" s="366">
        <f t="shared" si="22"/>
        <v>0</v>
      </c>
      <c r="BS27" s="366">
        <f>BS26+BS25+BS24</f>
        <v>0</v>
      </c>
      <c r="BT27" s="366">
        <f>BT26+BT25+BT24</f>
        <v>0</v>
      </c>
      <c r="BU27" s="366">
        <f>BU26+BU25+BU24</f>
        <v>0</v>
      </c>
      <c r="BV27" s="366">
        <f>BV26+BV25+BV24</f>
        <v>0</v>
      </c>
      <c r="BW27" s="366">
        <f>BW26+BW25+BW24</f>
        <v>0</v>
      </c>
    </row>
    <row r="28" spans="1:75">
      <c r="A28" s="926"/>
      <c r="B28" s="93"/>
      <c r="C28" s="309" t="s">
        <v>497</v>
      </c>
      <c r="D28" s="310" t="s">
        <v>497</v>
      </c>
      <c r="E28" s="362"/>
      <c r="F28" s="312"/>
      <c r="G28" s="93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184"/>
      <c r="S28" s="97"/>
      <c r="T28" s="97" t="s">
        <v>36</v>
      </c>
      <c r="U28" s="97"/>
      <c r="V28" s="97"/>
      <c r="W28" s="96"/>
      <c r="X28" s="96"/>
      <c r="Y28" s="96"/>
      <c r="Z28" s="96"/>
      <c r="AA28" s="184"/>
      <c r="AB28" s="108">
        <f t="shared" si="3"/>
        <v>0</v>
      </c>
      <c r="AC28" s="184"/>
      <c r="AD28" s="108">
        <f t="shared" si="4"/>
        <v>0</v>
      </c>
      <c r="AE28" s="184"/>
      <c r="AF28" s="108">
        <f t="shared" si="5"/>
        <v>0</v>
      </c>
      <c r="AG28" s="184"/>
      <c r="AH28" s="108">
        <f t="shared" si="15"/>
        <v>0</v>
      </c>
      <c r="AI28" s="184"/>
      <c r="AJ28" s="108">
        <f t="shared" si="6"/>
        <v>0</v>
      </c>
      <c r="AK28" s="184"/>
      <c r="AL28" s="108"/>
      <c r="AM28" s="184"/>
      <c r="AN28" s="108">
        <f t="shared" si="7"/>
        <v>0</v>
      </c>
      <c r="AO28" s="184"/>
      <c r="AP28" s="108"/>
      <c r="AQ28" s="184"/>
      <c r="AR28" s="108">
        <f t="shared" si="16"/>
        <v>0</v>
      </c>
      <c r="AS28" s="184"/>
      <c r="AT28" s="108">
        <f t="shared" si="8"/>
        <v>0</v>
      </c>
      <c r="AU28" s="184"/>
      <c r="AV28" s="108"/>
      <c r="AW28" s="184"/>
      <c r="AX28" s="108"/>
      <c r="AY28" s="184"/>
      <c r="AZ28" s="108"/>
      <c r="BA28" s="184"/>
      <c r="BB28" s="108">
        <f t="shared" si="9"/>
        <v>0</v>
      </c>
      <c r="BC28" s="184"/>
      <c r="BD28" s="108"/>
      <c r="BE28" s="184"/>
      <c r="BF28" s="108"/>
      <c r="BG28" s="184"/>
      <c r="BH28" s="108"/>
      <c r="BI28" s="184"/>
      <c r="BJ28" s="108"/>
      <c r="BK28" s="78">
        <f t="shared" ref="BK28:BK33" si="23">AA28+AC28+AE28+AG28+AI28+AK28+AM28+AO28+AQ28+AS28+AU28+AW28+AY28+BA28+BC28+BE28+BG28+BI28</f>
        <v>0</v>
      </c>
      <c r="BL28" s="78">
        <f t="shared" ref="BL28:BL33" si="24">AB28+AD28+AF28+AH28+AJ28+AL28+AN28+AP28+AR28+AT28+AV28+AX28+AZ28+BB28+BD28+BF28+BH28+BJ28</f>
        <v>0</v>
      </c>
      <c r="BM28" s="184"/>
      <c r="BO28" s="178"/>
      <c r="BP28" s="184"/>
      <c r="BQ28" s="184"/>
      <c r="BR28" s="184"/>
      <c r="BS28" s="96">
        <f t="shared" si="20"/>
        <v>0</v>
      </c>
      <c r="BT28" s="184"/>
      <c r="BU28" s="184"/>
      <c r="BV28" s="184">
        <f t="shared" si="21"/>
        <v>0</v>
      </c>
      <c r="BW28" s="96">
        <f t="shared" si="2"/>
        <v>0</v>
      </c>
    </row>
    <row r="29" spans="1:75" s="59" customFormat="1">
      <c r="A29" s="926"/>
      <c r="B29" s="93"/>
      <c r="C29" s="308"/>
      <c r="D29" s="307" t="s">
        <v>159</v>
      </c>
      <c r="E29" s="362" t="s">
        <v>16</v>
      </c>
      <c r="F29" s="312" t="s">
        <v>480</v>
      </c>
      <c r="G29" s="93">
        <f>BK29</f>
        <v>0</v>
      </c>
      <c r="H29" s="96">
        <f>G29*F29</f>
        <v>0</v>
      </c>
      <c r="I29" s="96">
        <f>H29*0.2</f>
        <v>0</v>
      </c>
      <c r="J29" s="96">
        <f>H29*0.8</f>
        <v>0</v>
      </c>
      <c r="K29" s="96"/>
      <c r="L29" s="96"/>
      <c r="M29" s="96"/>
      <c r="N29" s="96"/>
      <c r="O29" s="96"/>
      <c r="P29" s="96"/>
      <c r="Q29" s="96"/>
      <c r="R29" s="96"/>
      <c r="S29" s="97"/>
      <c r="T29" s="97"/>
      <c r="U29" s="97"/>
      <c r="V29" s="97"/>
      <c r="W29" s="96">
        <f>S29*F29</f>
        <v>0</v>
      </c>
      <c r="X29" s="96">
        <f>T29*F29</f>
        <v>0</v>
      </c>
      <c r="Y29" s="96">
        <f>U29*F29</f>
        <v>0</v>
      </c>
      <c r="Z29" s="96">
        <f>V29*F29</f>
        <v>0</v>
      </c>
      <c r="AA29" s="184"/>
      <c r="AB29" s="108">
        <f t="shared" si="3"/>
        <v>0</v>
      </c>
      <c r="AC29" s="184"/>
      <c r="AD29" s="108">
        <f t="shared" si="4"/>
        <v>0</v>
      </c>
      <c r="AE29" s="184"/>
      <c r="AF29" s="108">
        <f t="shared" si="5"/>
        <v>0</v>
      </c>
      <c r="AG29" s="184"/>
      <c r="AH29" s="108">
        <f t="shared" si="15"/>
        <v>0</v>
      </c>
      <c r="AI29" s="184"/>
      <c r="AJ29" s="108">
        <f t="shared" si="6"/>
        <v>0</v>
      </c>
      <c r="AK29" s="184"/>
      <c r="AL29" s="108"/>
      <c r="AM29" s="184"/>
      <c r="AN29" s="108">
        <f t="shared" si="7"/>
        <v>0</v>
      </c>
      <c r="AO29" s="184"/>
      <c r="AP29" s="108"/>
      <c r="AQ29" s="184"/>
      <c r="AR29" s="108">
        <f t="shared" si="16"/>
        <v>0</v>
      </c>
      <c r="AS29" s="184"/>
      <c r="AT29" s="108">
        <f t="shared" si="8"/>
        <v>0</v>
      </c>
      <c r="AU29" s="184"/>
      <c r="AV29" s="108"/>
      <c r="AW29" s="184"/>
      <c r="AX29" s="108"/>
      <c r="AY29" s="184"/>
      <c r="AZ29" s="108"/>
      <c r="BA29" s="184"/>
      <c r="BB29" s="108">
        <f t="shared" si="9"/>
        <v>0</v>
      </c>
      <c r="BC29" s="184"/>
      <c r="BD29" s="108"/>
      <c r="BE29" s="184"/>
      <c r="BF29" s="108"/>
      <c r="BG29" s="184"/>
      <c r="BH29" s="108"/>
      <c r="BI29" s="184"/>
      <c r="BJ29" s="108"/>
      <c r="BK29" s="78">
        <f t="shared" si="23"/>
        <v>0</v>
      </c>
      <c r="BL29" s="78">
        <f t="shared" si="24"/>
        <v>0</v>
      </c>
      <c r="BM29" s="154" t="s">
        <v>224</v>
      </c>
      <c r="BO29" s="184"/>
      <c r="BP29" s="96"/>
      <c r="BQ29" s="184"/>
      <c r="BR29" s="184"/>
      <c r="BS29" s="96">
        <f t="shared" si="20"/>
        <v>0</v>
      </c>
      <c r="BT29" s="184"/>
      <c r="BU29" s="184"/>
      <c r="BV29" s="184">
        <f t="shared" si="21"/>
        <v>0</v>
      </c>
      <c r="BW29" s="96">
        <f t="shared" si="2"/>
        <v>0</v>
      </c>
    </row>
    <row r="30" spans="1:75" s="59" customFormat="1" ht="31.5">
      <c r="A30" s="926"/>
      <c r="B30" s="93"/>
      <c r="C30" s="308"/>
      <c r="D30" s="421" t="s">
        <v>498</v>
      </c>
      <c r="E30" s="362" t="s">
        <v>16</v>
      </c>
      <c r="F30" s="312">
        <v>200000</v>
      </c>
      <c r="G30" s="93">
        <f>BK30</f>
        <v>1</v>
      </c>
      <c r="H30" s="96">
        <f>G30*F30</f>
        <v>200000</v>
      </c>
      <c r="I30" s="96">
        <f>H30*0.2</f>
        <v>40000</v>
      </c>
      <c r="J30" s="96">
        <f>H30*0.8</f>
        <v>160000</v>
      </c>
      <c r="K30" s="96"/>
      <c r="L30" s="96"/>
      <c r="M30" s="96"/>
      <c r="N30" s="96"/>
      <c r="O30" s="96"/>
      <c r="P30" s="96"/>
      <c r="Q30" s="96"/>
      <c r="R30" s="96"/>
      <c r="S30" s="97"/>
      <c r="T30" s="97">
        <f>G30</f>
        <v>1</v>
      </c>
      <c r="U30" s="97"/>
      <c r="V30" s="97"/>
      <c r="W30" s="96">
        <f>S30*F30</f>
        <v>0</v>
      </c>
      <c r="X30" s="96">
        <f>T30*F30</f>
        <v>200000</v>
      </c>
      <c r="Y30" s="96">
        <f>U30*F30</f>
        <v>0</v>
      </c>
      <c r="Z30" s="96">
        <f>V30*F30</f>
        <v>0</v>
      </c>
      <c r="AA30" s="184"/>
      <c r="AB30" s="108">
        <f t="shared" si="3"/>
        <v>0</v>
      </c>
      <c r="AC30" s="184"/>
      <c r="AD30" s="108">
        <f t="shared" si="4"/>
        <v>0</v>
      </c>
      <c r="AE30" s="184"/>
      <c r="AF30" s="108">
        <f t="shared" si="5"/>
        <v>0</v>
      </c>
      <c r="AG30" s="184"/>
      <c r="AH30" s="108">
        <f t="shared" si="15"/>
        <v>0</v>
      </c>
      <c r="AI30" s="184"/>
      <c r="AJ30" s="108">
        <f t="shared" si="6"/>
        <v>0</v>
      </c>
      <c r="AK30" s="184"/>
      <c r="AL30" s="108"/>
      <c r="AM30" s="184"/>
      <c r="AN30" s="108">
        <f t="shared" si="7"/>
        <v>0</v>
      </c>
      <c r="AO30" s="184"/>
      <c r="AP30" s="108"/>
      <c r="AQ30" s="184"/>
      <c r="AR30" s="108">
        <f t="shared" si="16"/>
        <v>0</v>
      </c>
      <c r="AS30" s="184"/>
      <c r="AT30" s="108">
        <f t="shared" si="8"/>
        <v>0</v>
      </c>
      <c r="AU30" s="184"/>
      <c r="AV30" s="108"/>
      <c r="AW30" s="184"/>
      <c r="AX30" s="108"/>
      <c r="AY30" s="184"/>
      <c r="AZ30" s="108"/>
      <c r="BA30" s="184"/>
      <c r="BB30" s="108">
        <f t="shared" si="9"/>
        <v>0</v>
      </c>
      <c r="BC30" s="184"/>
      <c r="BD30" s="108"/>
      <c r="BE30" s="184"/>
      <c r="BF30" s="108"/>
      <c r="BG30" s="184"/>
      <c r="BH30" s="108"/>
      <c r="BI30" s="184">
        <v>1</v>
      </c>
      <c r="BJ30" s="108">
        <f>BI30*F30</f>
        <v>200000</v>
      </c>
      <c r="BK30" s="78">
        <f t="shared" si="23"/>
        <v>1</v>
      </c>
      <c r="BL30" s="78">
        <f t="shared" si="24"/>
        <v>200000</v>
      </c>
      <c r="BM30" s="154" t="s">
        <v>224</v>
      </c>
      <c r="BO30" s="184"/>
      <c r="BP30" s="96"/>
      <c r="BQ30" s="96">
        <f>H30</f>
        <v>200000</v>
      </c>
      <c r="BR30" s="184"/>
      <c r="BS30" s="96">
        <f t="shared" si="20"/>
        <v>200000</v>
      </c>
      <c r="BT30" s="184"/>
      <c r="BU30" s="184"/>
      <c r="BV30" s="184">
        <f t="shared" si="21"/>
        <v>0</v>
      </c>
      <c r="BW30" s="96">
        <f t="shared" si="2"/>
        <v>200000</v>
      </c>
    </row>
    <row r="31" spans="1:75" ht="31.5">
      <c r="A31" s="926"/>
      <c r="B31" s="93"/>
      <c r="C31" s="308"/>
      <c r="D31" s="674" t="s">
        <v>844</v>
      </c>
      <c r="E31" s="362" t="s">
        <v>16</v>
      </c>
      <c r="F31" s="325">
        <v>4000000</v>
      </c>
      <c r="G31" s="93">
        <f>BK31</f>
        <v>1</v>
      </c>
      <c r="H31" s="96">
        <f>G31*F31</f>
        <v>4000000</v>
      </c>
      <c r="I31" s="96">
        <f>H31*0.2</f>
        <v>800000</v>
      </c>
      <c r="J31" s="96">
        <f>H31*0.8</f>
        <v>3200000</v>
      </c>
      <c r="K31" s="96"/>
      <c r="L31" s="96"/>
      <c r="M31" s="96"/>
      <c r="N31" s="96"/>
      <c r="O31" s="96"/>
      <c r="P31" s="96"/>
      <c r="Q31" s="96"/>
      <c r="R31" s="96"/>
      <c r="S31" s="186"/>
      <c r="T31" s="186">
        <v>1</v>
      </c>
      <c r="U31" s="186"/>
      <c r="V31" s="186"/>
      <c r="W31" s="96">
        <f>S31*F31</f>
        <v>0</v>
      </c>
      <c r="X31" s="96">
        <f>T31*F31</f>
        <v>4000000</v>
      </c>
      <c r="Y31" s="96">
        <f>U31*F31</f>
        <v>0</v>
      </c>
      <c r="Z31" s="96">
        <f>V31*F31</f>
        <v>0</v>
      </c>
      <c r="AA31" s="184"/>
      <c r="AB31" s="108">
        <f t="shared" si="3"/>
        <v>0</v>
      </c>
      <c r="AC31" s="184"/>
      <c r="AD31" s="108">
        <f t="shared" si="4"/>
        <v>0</v>
      </c>
      <c r="AE31" s="184"/>
      <c r="AF31" s="108">
        <f t="shared" si="5"/>
        <v>0</v>
      </c>
      <c r="AG31" s="184"/>
      <c r="AH31" s="108">
        <f t="shared" si="15"/>
        <v>0</v>
      </c>
      <c r="AI31" s="184"/>
      <c r="AJ31" s="108">
        <f t="shared" si="6"/>
        <v>0</v>
      </c>
      <c r="AK31" s="184"/>
      <c r="AL31" s="108"/>
      <c r="AM31" s="184"/>
      <c r="AN31" s="108">
        <f t="shared" si="7"/>
        <v>0</v>
      </c>
      <c r="AO31" s="184"/>
      <c r="AP31" s="108"/>
      <c r="AQ31" s="184"/>
      <c r="AR31" s="108">
        <f t="shared" si="16"/>
        <v>0</v>
      </c>
      <c r="AS31" s="184"/>
      <c r="AT31" s="108">
        <f t="shared" si="8"/>
        <v>0</v>
      </c>
      <c r="AU31" s="184"/>
      <c r="AV31" s="108"/>
      <c r="AW31" s="184"/>
      <c r="AX31" s="108"/>
      <c r="AY31" s="184"/>
      <c r="AZ31" s="108"/>
      <c r="BA31" s="184"/>
      <c r="BB31" s="108">
        <f t="shared" si="9"/>
        <v>0</v>
      </c>
      <c r="BC31" s="184"/>
      <c r="BD31" s="108"/>
      <c r="BE31" s="184"/>
      <c r="BF31" s="108"/>
      <c r="BG31" s="184"/>
      <c r="BH31" s="108"/>
      <c r="BI31" s="184">
        <v>1</v>
      </c>
      <c r="BJ31" s="108">
        <f>BI31*F31</f>
        <v>4000000</v>
      </c>
      <c r="BK31" s="78">
        <f t="shared" si="23"/>
        <v>1</v>
      </c>
      <c r="BL31" s="78">
        <f t="shared" si="24"/>
        <v>4000000</v>
      </c>
      <c r="BM31" s="154" t="s">
        <v>224</v>
      </c>
      <c r="BO31" s="184"/>
      <c r="BP31" s="96"/>
      <c r="BQ31" s="96">
        <f>H31</f>
        <v>4000000</v>
      </c>
      <c r="BR31" s="184"/>
      <c r="BS31" s="96">
        <f t="shared" si="20"/>
        <v>4000000</v>
      </c>
      <c r="BT31" s="184"/>
      <c r="BU31" s="184"/>
      <c r="BV31" s="184">
        <f t="shared" si="21"/>
        <v>0</v>
      </c>
      <c r="BW31" s="96">
        <f t="shared" si="2"/>
        <v>4000000</v>
      </c>
    </row>
    <row r="32" spans="1:75">
      <c r="A32" s="926"/>
      <c r="B32" s="93"/>
      <c r="C32" s="308"/>
      <c r="D32" s="307" t="s">
        <v>160</v>
      </c>
      <c r="E32" s="362" t="s">
        <v>65</v>
      </c>
      <c r="F32" s="100">
        <v>125000</v>
      </c>
      <c r="G32" s="93">
        <f>BK32</f>
        <v>0</v>
      </c>
      <c r="H32" s="96">
        <f>G32*F32</f>
        <v>0</v>
      </c>
      <c r="I32" s="96">
        <f>H32*0.2</f>
        <v>0</v>
      </c>
      <c r="J32" s="96">
        <f>H32*0.8</f>
        <v>0</v>
      </c>
      <c r="K32" s="96"/>
      <c r="L32" s="96"/>
      <c r="M32" s="96"/>
      <c r="N32" s="96"/>
      <c r="O32" s="96"/>
      <c r="P32" s="96"/>
      <c r="Q32" s="96"/>
      <c r="R32" s="96"/>
      <c r="S32" s="97"/>
      <c r="T32" s="97"/>
      <c r="U32" s="97"/>
      <c r="V32" s="97"/>
      <c r="W32" s="96">
        <f>S32*F32</f>
        <v>0</v>
      </c>
      <c r="X32" s="96">
        <f>T32*F32</f>
        <v>0</v>
      </c>
      <c r="Y32" s="96">
        <f>U32*F32</f>
        <v>0</v>
      </c>
      <c r="Z32" s="96">
        <f>V32*F32</f>
        <v>0</v>
      </c>
      <c r="AA32" s="184"/>
      <c r="AB32" s="108">
        <f t="shared" si="3"/>
        <v>0</v>
      </c>
      <c r="AC32" s="184"/>
      <c r="AD32" s="108">
        <f t="shared" si="4"/>
        <v>0</v>
      </c>
      <c r="AE32" s="184"/>
      <c r="AF32" s="108">
        <f t="shared" si="5"/>
        <v>0</v>
      </c>
      <c r="AG32" s="184"/>
      <c r="AH32" s="108">
        <f t="shared" si="15"/>
        <v>0</v>
      </c>
      <c r="AI32" s="184"/>
      <c r="AJ32" s="108">
        <f t="shared" si="6"/>
        <v>0</v>
      </c>
      <c r="AK32" s="184"/>
      <c r="AL32" s="108"/>
      <c r="AM32" s="184"/>
      <c r="AN32" s="108">
        <f t="shared" si="7"/>
        <v>0</v>
      </c>
      <c r="AO32" s="184"/>
      <c r="AP32" s="108"/>
      <c r="AQ32" s="184"/>
      <c r="AR32" s="108">
        <f t="shared" si="16"/>
        <v>0</v>
      </c>
      <c r="AS32" s="184"/>
      <c r="AT32" s="108">
        <f t="shared" si="8"/>
        <v>0</v>
      </c>
      <c r="AU32" s="184"/>
      <c r="AV32" s="108"/>
      <c r="AW32" s="184"/>
      <c r="AX32" s="108"/>
      <c r="AY32" s="184"/>
      <c r="AZ32" s="108"/>
      <c r="BA32" s="184"/>
      <c r="BB32" s="108">
        <f t="shared" si="9"/>
        <v>0</v>
      </c>
      <c r="BC32" s="184"/>
      <c r="BD32" s="108"/>
      <c r="BE32" s="184"/>
      <c r="BF32" s="108"/>
      <c r="BG32" s="184"/>
      <c r="BH32" s="108"/>
      <c r="BI32" s="184"/>
      <c r="BJ32" s="108">
        <f>BI32*F32</f>
        <v>0</v>
      </c>
      <c r="BK32" s="78">
        <f t="shared" si="23"/>
        <v>0</v>
      </c>
      <c r="BL32" s="78">
        <f t="shared" si="24"/>
        <v>0</v>
      </c>
      <c r="BM32" s="154" t="s">
        <v>224</v>
      </c>
      <c r="BO32" s="184"/>
      <c r="BP32" s="184"/>
      <c r="BQ32" s="96">
        <f>H32</f>
        <v>0</v>
      </c>
      <c r="BR32" s="184"/>
      <c r="BS32" s="96">
        <f t="shared" si="20"/>
        <v>0</v>
      </c>
      <c r="BT32" s="184"/>
      <c r="BU32" s="184"/>
      <c r="BV32" s="184">
        <f t="shared" si="21"/>
        <v>0</v>
      </c>
      <c r="BW32" s="96">
        <f t="shared" si="2"/>
        <v>0</v>
      </c>
    </row>
    <row r="33" spans="1:75" s="145" customFormat="1">
      <c r="A33" s="926"/>
      <c r="B33" s="122"/>
      <c r="C33" s="308"/>
      <c r="D33" s="307" t="s">
        <v>161</v>
      </c>
      <c r="E33" s="362" t="s">
        <v>16</v>
      </c>
      <c r="F33" s="203">
        <v>200000</v>
      </c>
      <c r="G33" s="93">
        <f>BK33</f>
        <v>0</v>
      </c>
      <c r="H33" s="96">
        <f>G33*F33</f>
        <v>0</v>
      </c>
      <c r="I33" s="96">
        <f>H33*0.2</f>
        <v>0</v>
      </c>
      <c r="J33" s="96">
        <f>H33*0.8</f>
        <v>0</v>
      </c>
      <c r="K33" s="96"/>
      <c r="L33" s="96"/>
      <c r="M33" s="96"/>
      <c r="N33" s="96"/>
      <c r="O33" s="96"/>
      <c r="P33" s="96"/>
      <c r="Q33" s="96"/>
      <c r="R33" s="96"/>
      <c r="S33" s="97"/>
      <c r="T33" s="97"/>
      <c r="U33" s="97">
        <v>1</v>
      </c>
      <c r="V33" s="97"/>
      <c r="W33" s="96">
        <f>SUM(W29:W32)</f>
        <v>0</v>
      </c>
      <c r="X33" s="96"/>
      <c r="Y33" s="96">
        <f>U33*F33</f>
        <v>200000</v>
      </c>
      <c r="Z33" s="96">
        <f>SUM(Z29:Z32)</f>
        <v>0</v>
      </c>
      <c r="AA33" s="184"/>
      <c r="AB33" s="108">
        <f t="shared" si="3"/>
        <v>0</v>
      </c>
      <c r="AC33" s="184"/>
      <c r="AD33" s="108">
        <f t="shared" si="4"/>
        <v>0</v>
      </c>
      <c r="AE33" s="184"/>
      <c r="AF33" s="108">
        <f t="shared" si="5"/>
        <v>0</v>
      </c>
      <c r="AG33" s="184"/>
      <c r="AH33" s="108">
        <f t="shared" si="15"/>
        <v>0</v>
      </c>
      <c r="AI33" s="184"/>
      <c r="AJ33" s="108">
        <f t="shared" si="6"/>
        <v>0</v>
      </c>
      <c r="AK33" s="184"/>
      <c r="AL33" s="108"/>
      <c r="AM33" s="184"/>
      <c r="AN33" s="108">
        <f t="shared" si="7"/>
        <v>0</v>
      </c>
      <c r="AO33" s="184"/>
      <c r="AP33" s="108"/>
      <c r="AQ33" s="184"/>
      <c r="AR33" s="108">
        <f t="shared" si="16"/>
        <v>0</v>
      </c>
      <c r="AS33" s="184"/>
      <c r="AT33" s="108">
        <f t="shared" si="8"/>
        <v>0</v>
      </c>
      <c r="AU33" s="184"/>
      <c r="AV33" s="108"/>
      <c r="AW33" s="184"/>
      <c r="AX33" s="108"/>
      <c r="AY33" s="184"/>
      <c r="AZ33" s="108"/>
      <c r="BA33" s="184"/>
      <c r="BB33" s="108">
        <f t="shared" si="9"/>
        <v>0</v>
      </c>
      <c r="BC33" s="184"/>
      <c r="BD33" s="108"/>
      <c r="BE33" s="184"/>
      <c r="BF33" s="108"/>
      <c r="BG33" s="184"/>
      <c r="BH33" s="108"/>
      <c r="BI33" s="184"/>
      <c r="BJ33" s="108">
        <f>BI33*F33</f>
        <v>0</v>
      </c>
      <c r="BK33" s="78">
        <f t="shared" si="23"/>
        <v>0</v>
      </c>
      <c r="BL33" s="78">
        <f t="shared" si="24"/>
        <v>0</v>
      </c>
      <c r="BM33" s="154" t="s">
        <v>224</v>
      </c>
      <c r="BN33" s="149"/>
      <c r="BO33" s="242">
        <f t="shared" ref="BO33:BV33" si="25">SUM(BO29:BO32)</f>
        <v>0</v>
      </c>
      <c r="BP33" s="242"/>
      <c r="BQ33" s="96">
        <f>H33</f>
        <v>0</v>
      </c>
      <c r="BR33" s="242">
        <f t="shared" si="25"/>
        <v>0</v>
      </c>
      <c r="BS33" s="96">
        <f t="shared" si="20"/>
        <v>0</v>
      </c>
      <c r="BT33" s="242">
        <f t="shared" si="25"/>
        <v>0</v>
      </c>
      <c r="BU33" s="242">
        <f t="shared" si="25"/>
        <v>0</v>
      </c>
      <c r="BV33" s="242">
        <f t="shared" si="25"/>
        <v>0</v>
      </c>
      <c r="BW33" s="96">
        <f t="shared" si="2"/>
        <v>0</v>
      </c>
    </row>
    <row r="34" spans="1:75" s="369" customFormat="1">
      <c r="A34" s="926"/>
      <c r="B34" s="363"/>
      <c r="C34" s="336" t="s">
        <v>125</v>
      </c>
      <c r="D34" s="343" t="s">
        <v>125</v>
      </c>
      <c r="E34" s="439" t="s">
        <v>121</v>
      </c>
      <c r="F34" s="475"/>
      <c r="G34" s="496">
        <f t="shared" ref="G34:BR34" si="26">G33+G32+G31+G30+G29</f>
        <v>2</v>
      </c>
      <c r="H34" s="577">
        <f t="shared" si="26"/>
        <v>4200000</v>
      </c>
      <c r="I34" s="577">
        <f t="shared" si="26"/>
        <v>840000</v>
      </c>
      <c r="J34" s="577">
        <f t="shared" si="26"/>
        <v>3360000</v>
      </c>
      <c r="K34" s="577">
        <f t="shared" si="26"/>
        <v>0</v>
      </c>
      <c r="L34" s="577">
        <f t="shared" si="26"/>
        <v>0</v>
      </c>
      <c r="M34" s="577">
        <f t="shared" si="26"/>
        <v>0</v>
      </c>
      <c r="N34" s="577">
        <f t="shared" si="26"/>
        <v>0</v>
      </c>
      <c r="O34" s="577">
        <f t="shared" si="26"/>
        <v>0</v>
      </c>
      <c r="P34" s="577">
        <f t="shared" si="26"/>
        <v>0</v>
      </c>
      <c r="Q34" s="577">
        <f t="shared" si="26"/>
        <v>0</v>
      </c>
      <c r="R34" s="577">
        <f t="shared" si="26"/>
        <v>0</v>
      </c>
      <c r="S34" s="577">
        <f t="shared" si="26"/>
        <v>0</v>
      </c>
      <c r="T34" s="577">
        <f t="shared" si="26"/>
        <v>2</v>
      </c>
      <c r="U34" s="577">
        <f t="shared" si="26"/>
        <v>1</v>
      </c>
      <c r="V34" s="577">
        <f t="shared" si="26"/>
        <v>0</v>
      </c>
      <c r="W34" s="577">
        <f t="shared" si="26"/>
        <v>0</v>
      </c>
      <c r="X34" s="577">
        <f t="shared" si="26"/>
        <v>4200000</v>
      </c>
      <c r="Y34" s="577">
        <f t="shared" si="26"/>
        <v>200000</v>
      </c>
      <c r="Z34" s="577">
        <f t="shared" si="26"/>
        <v>0</v>
      </c>
      <c r="AA34" s="577">
        <f t="shared" si="26"/>
        <v>0</v>
      </c>
      <c r="AB34" s="577">
        <f t="shared" si="26"/>
        <v>0</v>
      </c>
      <c r="AC34" s="577">
        <f t="shared" si="26"/>
        <v>0</v>
      </c>
      <c r="AD34" s="577">
        <f t="shared" si="26"/>
        <v>0</v>
      </c>
      <c r="AE34" s="577">
        <f t="shared" si="26"/>
        <v>0</v>
      </c>
      <c r="AF34" s="577">
        <f t="shared" si="26"/>
        <v>0</v>
      </c>
      <c r="AG34" s="577">
        <f t="shared" si="26"/>
        <v>0</v>
      </c>
      <c r="AH34" s="577">
        <f t="shared" si="26"/>
        <v>0</v>
      </c>
      <c r="AI34" s="577">
        <f t="shared" si="26"/>
        <v>0</v>
      </c>
      <c r="AJ34" s="577">
        <f t="shared" si="26"/>
        <v>0</v>
      </c>
      <c r="AK34" s="577">
        <f t="shared" si="26"/>
        <v>0</v>
      </c>
      <c r="AL34" s="577">
        <f t="shared" si="26"/>
        <v>0</v>
      </c>
      <c r="AM34" s="577">
        <f t="shared" si="26"/>
        <v>0</v>
      </c>
      <c r="AN34" s="577">
        <f t="shared" si="26"/>
        <v>0</v>
      </c>
      <c r="AO34" s="577">
        <f t="shared" si="26"/>
        <v>0</v>
      </c>
      <c r="AP34" s="577">
        <f t="shared" si="26"/>
        <v>0</v>
      </c>
      <c r="AQ34" s="577">
        <f t="shared" si="26"/>
        <v>0</v>
      </c>
      <c r="AR34" s="577">
        <f t="shared" si="26"/>
        <v>0</v>
      </c>
      <c r="AS34" s="577">
        <f t="shared" si="26"/>
        <v>0</v>
      </c>
      <c r="AT34" s="577">
        <f t="shared" si="26"/>
        <v>0</v>
      </c>
      <c r="AU34" s="577">
        <f t="shared" si="26"/>
        <v>0</v>
      </c>
      <c r="AV34" s="577">
        <f t="shared" si="26"/>
        <v>0</v>
      </c>
      <c r="AW34" s="577">
        <f t="shared" si="26"/>
        <v>0</v>
      </c>
      <c r="AX34" s="577">
        <f t="shared" si="26"/>
        <v>0</v>
      </c>
      <c r="AY34" s="577">
        <f t="shared" si="26"/>
        <v>0</v>
      </c>
      <c r="AZ34" s="577">
        <f t="shared" si="26"/>
        <v>0</v>
      </c>
      <c r="BA34" s="577">
        <f t="shared" si="26"/>
        <v>0</v>
      </c>
      <c r="BB34" s="577">
        <f t="shared" si="26"/>
        <v>0</v>
      </c>
      <c r="BC34" s="577">
        <f t="shared" si="26"/>
        <v>0</v>
      </c>
      <c r="BD34" s="577">
        <f t="shared" si="26"/>
        <v>0</v>
      </c>
      <c r="BE34" s="577">
        <f t="shared" si="26"/>
        <v>0</v>
      </c>
      <c r="BF34" s="577">
        <f t="shared" si="26"/>
        <v>0</v>
      </c>
      <c r="BG34" s="577">
        <f t="shared" si="26"/>
        <v>0</v>
      </c>
      <c r="BH34" s="577">
        <f t="shared" si="26"/>
        <v>0</v>
      </c>
      <c r="BI34" s="577">
        <f t="shared" si="26"/>
        <v>2</v>
      </c>
      <c r="BJ34" s="577">
        <f t="shared" si="26"/>
        <v>4200000</v>
      </c>
      <c r="BK34" s="577">
        <f t="shared" si="26"/>
        <v>2</v>
      </c>
      <c r="BL34" s="577">
        <f t="shared" si="26"/>
        <v>4200000</v>
      </c>
      <c r="BM34" s="577"/>
      <c r="BN34" s="577">
        <f t="shared" si="26"/>
        <v>0</v>
      </c>
      <c r="BO34" s="577">
        <f t="shared" si="26"/>
        <v>0</v>
      </c>
      <c r="BP34" s="577">
        <f t="shared" si="26"/>
        <v>0</v>
      </c>
      <c r="BQ34" s="577">
        <f t="shared" si="26"/>
        <v>4200000</v>
      </c>
      <c r="BR34" s="577">
        <f t="shared" si="26"/>
        <v>0</v>
      </c>
      <c r="BS34" s="293">
        <f t="shared" si="20"/>
        <v>4200000</v>
      </c>
      <c r="BT34" s="577">
        <f>BT33+BT32+BT31+BT30+BT29</f>
        <v>0</v>
      </c>
      <c r="BU34" s="577">
        <f>BU33+BU32+BU31+BU30+BU29</f>
        <v>0</v>
      </c>
      <c r="BV34" s="577">
        <f>BV33+BV32+BV31+BV30+BV29</f>
        <v>0</v>
      </c>
      <c r="BW34" s="293">
        <f t="shared" si="2"/>
        <v>4200000</v>
      </c>
    </row>
    <row r="35" spans="1:75" s="495" customFormat="1" ht="30.75" customHeight="1">
      <c r="A35" s="926"/>
      <c r="B35" s="348"/>
      <c r="C35" s="491" t="s">
        <v>499</v>
      </c>
      <c r="D35" s="372" t="s">
        <v>470</v>
      </c>
      <c r="E35" s="492" t="s">
        <v>64</v>
      </c>
      <c r="F35" s="493"/>
      <c r="G35" s="494">
        <f t="shared" ref="G35:BR35" si="27">G34+G27+G22+G18+G14</f>
        <v>236</v>
      </c>
      <c r="H35" s="494">
        <f t="shared" si="27"/>
        <v>5233000</v>
      </c>
      <c r="I35" s="494">
        <f t="shared" si="27"/>
        <v>1046600</v>
      </c>
      <c r="J35" s="494">
        <f t="shared" si="27"/>
        <v>4186400</v>
      </c>
      <c r="K35" s="494">
        <f t="shared" si="27"/>
        <v>0</v>
      </c>
      <c r="L35" s="494">
        <f t="shared" si="27"/>
        <v>0</v>
      </c>
      <c r="M35" s="494">
        <f t="shared" si="27"/>
        <v>0</v>
      </c>
      <c r="N35" s="494">
        <f t="shared" si="27"/>
        <v>0</v>
      </c>
      <c r="O35" s="494">
        <f t="shared" si="27"/>
        <v>0</v>
      </c>
      <c r="P35" s="494">
        <f t="shared" si="27"/>
        <v>0</v>
      </c>
      <c r="Q35" s="494">
        <f t="shared" si="27"/>
        <v>0</v>
      </c>
      <c r="R35" s="494">
        <f t="shared" si="27"/>
        <v>0</v>
      </c>
      <c r="S35" s="494">
        <f t="shared" si="27"/>
        <v>58.25</v>
      </c>
      <c r="T35" s="494">
        <f t="shared" si="27"/>
        <v>60.25</v>
      </c>
      <c r="U35" s="494">
        <f t="shared" si="27"/>
        <v>60.25</v>
      </c>
      <c r="V35" s="494">
        <f t="shared" si="27"/>
        <v>58.25</v>
      </c>
      <c r="W35" s="494">
        <f t="shared" si="27"/>
        <v>200000</v>
      </c>
      <c r="X35" s="494">
        <f t="shared" si="27"/>
        <v>4400000</v>
      </c>
      <c r="Y35" s="494">
        <f t="shared" si="27"/>
        <v>600000</v>
      </c>
      <c r="Z35" s="494">
        <f t="shared" si="27"/>
        <v>200000</v>
      </c>
      <c r="AA35" s="494">
        <f t="shared" si="27"/>
        <v>13</v>
      </c>
      <c r="AB35" s="494">
        <f t="shared" si="27"/>
        <v>40000</v>
      </c>
      <c r="AC35" s="494">
        <f t="shared" si="27"/>
        <v>13</v>
      </c>
      <c r="AD35" s="494">
        <f t="shared" si="27"/>
        <v>40000</v>
      </c>
      <c r="AE35" s="494">
        <f t="shared" si="27"/>
        <v>13</v>
      </c>
      <c r="AF35" s="494">
        <f t="shared" si="27"/>
        <v>40000</v>
      </c>
      <c r="AG35" s="494">
        <f t="shared" si="27"/>
        <v>13</v>
      </c>
      <c r="AH35" s="494">
        <f t="shared" si="27"/>
        <v>58000</v>
      </c>
      <c r="AI35" s="494">
        <f t="shared" si="27"/>
        <v>13</v>
      </c>
      <c r="AJ35" s="494">
        <f t="shared" si="27"/>
        <v>40000</v>
      </c>
      <c r="AK35" s="494">
        <f t="shared" si="27"/>
        <v>13</v>
      </c>
      <c r="AL35" s="494">
        <f t="shared" si="27"/>
        <v>40000</v>
      </c>
      <c r="AM35" s="494">
        <f t="shared" si="27"/>
        <v>13</v>
      </c>
      <c r="AN35" s="494">
        <f t="shared" si="27"/>
        <v>40000</v>
      </c>
      <c r="AO35" s="494">
        <f t="shared" si="27"/>
        <v>13</v>
      </c>
      <c r="AP35" s="494">
        <f t="shared" si="27"/>
        <v>40000</v>
      </c>
      <c r="AQ35" s="494">
        <f t="shared" si="27"/>
        <v>13</v>
      </c>
      <c r="AR35" s="494">
        <f t="shared" si="27"/>
        <v>25000</v>
      </c>
      <c r="AS35" s="494">
        <f t="shared" si="27"/>
        <v>13</v>
      </c>
      <c r="AT35" s="494">
        <f t="shared" si="27"/>
        <v>40000</v>
      </c>
      <c r="AU35" s="494">
        <f t="shared" si="27"/>
        <v>13</v>
      </c>
      <c r="AV35" s="494">
        <f t="shared" si="27"/>
        <v>40000</v>
      </c>
      <c r="AW35" s="494">
        <f t="shared" si="27"/>
        <v>13</v>
      </c>
      <c r="AX35" s="494">
        <f t="shared" si="27"/>
        <v>40000</v>
      </c>
      <c r="AY35" s="494">
        <f t="shared" si="27"/>
        <v>13</v>
      </c>
      <c r="AZ35" s="494">
        <f t="shared" si="27"/>
        <v>40000</v>
      </c>
      <c r="BA35" s="494">
        <f t="shared" si="27"/>
        <v>13</v>
      </c>
      <c r="BB35" s="494">
        <f t="shared" si="27"/>
        <v>40000</v>
      </c>
      <c r="BC35" s="494">
        <f t="shared" si="27"/>
        <v>13</v>
      </c>
      <c r="BD35" s="494">
        <f t="shared" si="27"/>
        <v>40000</v>
      </c>
      <c r="BE35" s="494">
        <f t="shared" si="27"/>
        <v>13</v>
      </c>
      <c r="BF35" s="494">
        <f t="shared" si="27"/>
        <v>70000</v>
      </c>
      <c r="BG35" s="494">
        <f t="shared" si="27"/>
        <v>13</v>
      </c>
      <c r="BH35" s="494">
        <f t="shared" si="27"/>
        <v>40000</v>
      </c>
      <c r="BI35" s="494">
        <f t="shared" si="27"/>
        <v>15</v>
      </c>
      <c r="BJ35" s="494">
        <f t="shared" si="27"/>
        <v>4520000</v>
      </c>
      <c r="BK35" s="494">
        <f t="shared" si="27"/>
        <v>236</v>
      </c>
      <c r="BL35" s="494">
        <f t="shared" si="27"/>
        <v>5233000</v>
      </c>
      <c r="BM35" s="494">
        <f t="shared" si="27"/>
        <v>0</v>
      </c>
      <c r="BN35" s="494">
        <f t="shared" si="27"/>
        <v>0</v>
      </c>
      <c r="BO35" s="494">
        <f t="shared" si="27"/>
        <v>0</v>
      </c>
      <c r="BP35" s="494">
        <f t="shared" si="27"/>
        <v>1033000</v>
      </c>
      <c r="BQ35" s="494">
        <f t="shared" si="27"/>
        <v>4200000</v>
      </c>
      <c r="BR35" s="494">
        <f t="shared" si="27"/>
        <v>0</v>
      </c>
      <c r="BS35" s="494">
        <f>BS34+BS27+BS22+BS18+BS14</f>
        <v>5233000</v>
      </c>
      <c r="BT35" s="494">
        <f>BT34+BT27+BT22+BT18+BT14</f>
        <v>0</v>
      </c>
      <c r="BU35" s="494">
        <f>BU34+BU27+BU22+BU18+BU14</f>
        <v>0</v>
      </c>
      <c r="BV35" s="494">
        <f>BV34+BV27+BV22+BV18+BV14</f>
        <v>0</v>
      </c>
      <c r="BW35" s="494">
        <f>BW34+BW27+BW22+BW18+BW14</f>
        <v>5233000</v>
      </c>
    </row>
    <row r="36" spans="1:75">
      <c r="F36" s="359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59"/>
      <c r="S36" s="361"/>
      <c r="T36" s="361"/>
      <c r="U36" s="361"/>
      <c r="V36" s="361"/>
    </row>
  </sheetData>
  <mergeCells count="44">
    <mergeCell ref="BI7:BJ8"/>
    <mergeCell ref="AG7:AH8"/>
    <mergeCell ref="AI7:AJ8"/>
    <mergeCell ref="BK7:BL8"/>
    <mergeCell ref="A8:A9"/>
    <mergeCell ref="B8:B9"/>
    <mergeCell ref="F8:F9"/>
    <mergeCell ref="AS7:AT8"/>
    <mergeCell ref="S7:V8"/>
    <mergeCell ref="BC7:BD8"/>
    <mergeCell ref="BE7:BF8"/>
    <mergeCell ref="AE7:AF8"/>
    <mergeCell ref="AY7:AZ8"/>
    <mergeCell ref="BA7:BB8"/>
    <mergeCell ref="AO7:AP8"/>
    <mergeCell ref="I7:R7"/>
    <mergeCell ref="A10:A35"/>
    <mergeCell ref="AK7:AL8"/>
    <mergeCell ref="BG7:BH8"/>
    <mergeCell ref="G8:G9"/>
    <mergeCell ref="H8:H9"/>
    <mergeCell ref="AU7:AV8"/>
    <mergeCell ref="AW7:AX8"/>
    <mergeCell ref="AM7:AN8"/>
    <mergeCell ref="W7:Z8"/>
    <mergeCell ref="AC7:AD8"/>
    <mergeCell ref="AQ7:AR8"/>
    <mergeCell ref="AA7:AB8"/>
    <mergeCell ref="BM7:BM9"/>
    <mergeCell ref="BO8:BS8"/>
    <mergeCell ref="BT8:BV8"/>
    <mergeCell ref="BW8:BW9"/>
    <mergeCell ref="A2:B2"/>
    <mergeCell ref="C2:R2"/>
    <mergeCell ref="A3:B3"/>
    <mergeCell ref="C3:R3"/>
    <mergeCell ref="A4:B4"/>
    <mergeCell ref="C4:R4"/>
    <mergeCell ref="A5:B5"/>
    <mergeCell ref="C5:R5"/>
    <mergeCell ref="A6:B6"/>
    <mergeCell ref="C6:R6"/>
    <mergeCell ref="A7:C7"/>
    <mergeCell ref="F7:H7"/>
  </mergeCells>
  <pageMargins left="0.2" right="0.25" top="0.75" bottom="0.75" header="0.3" footer="0.3"/>
  <pageSetup paperSize="9" scale="1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43"/>
  <sheetViews>
    <sheetView tabSelected="1" zoomScale="85" zoomScaleNormal="85" workbookViewId="0">
      <pane xSplit="4" ySplit="9" topLeftCell="Y10" activePane="bottomRight" state="frozen"/>
      <selection pane="topRight" activeCell="E1" sqref="E1"/>
      <selection pane="bottomLeft" activeCell="A10" sqref="A10"/>
      <selection pane="bottomRight" activeCell="AP12" sqref="AP12"/>
    </sheetView>
  </sheetViews>
  <sheetFormatPr defaultColWidth="9.140625" defaultRowHeight="15.75"/>
  <cols>
    <col min="1" max="1" width="5.7109375" style="29" customWidth="1"/>
    <col min="2" max="2" width="8" style="29" customWidth="1"/>
    <col min="3" max="3" width="31" style="29" customWidth="1"/>
    <col min="4" max="4" width="21.140625" style="29" customWidth="1"/>
    <col min="5" max="5" width="15.85546875" style="29" customWidth="1"/>
    <col min="6" max="6" width="17" style="29" customWidth="1"/>
    <col min="7" max="7" width="11.5703125" style="29" customWidth="1"/>
    <col min="8" max="8" width="15.85546875" style="29" customWidth="1"/>
    <col min="9" max="9" width="9.85546875" style="29" customWidth="1"/>
    <col min="10" max="10" width="18" style="29" customWidth="1"/>
    <col min="11" max="11" width="9.85546875" style="29" customWidth="1"/>
    <col min="12" max="12" width="17.28515625" style="29" customWidth="1"/>
    <col min="13" max="13" width="10.140625" style="29" customWidth="1"/>
    <col min="14" max="14" width="16.28515625" style="29" customWidth="1"/>
    <col min="15" max="15" width="13.28515625" style="29" customWidth="1"/>
    <col min="16" max="16" width="16.42578125" style="29" customWidth="1"/>
    <col min="17" max="17" width="12.42578125" style="29" customWidth="1"/>
    <col min="18" max="18" width="16.85546875" style="29" customWidth="1"/>
    <col min="19" max="19" width="9.85546875" style="29" customWidth="1"/>
    <col min="20" max="20" width="15.42578125" style="29" customWidth="1"/>
    <col min="21" max="21" width="8.7109375" style="29" customWidth="1"/>
    <col min="22" max="22" width="13.85546875" style="29" customWidth="1"/>
    <col min="23" max="23" width="8.7109375" style="29" customWidth="1"/>
    <col min="24" max="24" width="15" style="29" customWidth="1"/>
    <col min="25" max="25" width="8.7109375" style="29" customWidth="1"/>
    <col min="26" max="26" width="17" style="29" bestFit="1" customWidth="1"/>
    <col min="27" max="27" width="8.7109375" style="29" customWidth="1"/>
    <col min="28" max="28" width="13.85546875" style="29" customWidth="1"/>
    <col min="29" max="29" width="8.7109375" style="29" customWidth="1"/>
    <col min="30" max="30" width="13.85546875" style="29" customWidth="1"/>
    <col min="31" max="31" width="9.85546875" style="29" customWidth="1"/>
    <col min="32" max="32" width="13.85546875" style="29" customWidth="1"/>
    <col min="33" max="33" width="8.7109375" style="29" customWidth="1"/>
    <col min="34" max="34" width="13.85546875" style="29" customWidth="1"/>
    <col min="35" max="35" width="9.85546875" style="29" customWidth="1"/>
    <col min="36" max="36" width="17" style="29" bestFit="1" customWidth="1"/>
    <col min="37" max="37" width="8.7109375" style="29" customWidth="1"/>
    <col min="38" max="38" width="13.85546875" style="29" customWidth="1"/>
    <col min="39" max="39" width="8.7109375" style="29" customWidth="1"/>
    <col min="40" max="40" width="13.85546875" style="29" customWidth="1"/>
    <col min="41" max="41" width="11" style="29" customWidth="1"/>
    <col min="42" max="42" width="19.85546875" style="29" customWidth="1"/>
    <col min="43" max="43" width="9.140625" style="29"/>
    <col min="44" max="44" width="19.42578125" style="29" customWidth="1"/>
    <col min="45" max="16384" width="9.140625" style="29"/>
  </cols>
  <sheetData>
    <row r="1" spans="1:44" ht="13.5" customHeight="1">
      <c r="A1" s="733"/>
      <c r="B1" s="733"/>
      <c r="C1" s="733"/>
      <c r="D1" s="535"/>
      <c r="E1" s="497"/>
    </row>
    <row r="2" spans="1:44">
      <c r="A2" s="733" t="s">
        <v>164</v>
      </c>
      <c r="B2" s="733"/>
      <c r="C2" s="733"/>
      <c r="D2" s="535"/>
      <c r="E2" s="497"/>
    </row>
    <row r="3" spans="1:44">
      <c r="A3" s="733" t="s">
        <v>401</v>
      </c>
      <c r="B3" s="733"/>
      <c r="C3" s="733"/>
      <c r="D3" s="535"/>
      <c r="E3" s="497"/>
    </row>
    <row r="4" spans="1:44">
      <c r="A4" s="734" t="s">
        <v>5</v>
      </c>
      <c r="B4" s="734"/>
      <c r="C4" s="734"/>
      <c r="D4" s="536"/>
      <c r="E4" s="498"/>
    </row>
    <row r="5" spans="1:44" ht="14.25" customHeight="1">
      <c r="A5" s="279"/>
      <c r="B5" s="279"/>
      <c r="C5" s="279"/>
      <c r="D5" s="279"/>
      <c r="E5" s="279"/>
    </row>
    <row r="6" spans="1:44" s="280" customFormat="1" ht="22.9" customHeight="1">
      <c r="A6" s="735" t="s">
        <v>58</v>
      </c>
      <c r="B6" s="735" t="s">
        <v>56</v>
      </c>
      <c r="C6" s="737" t="s">
        <v>13</v>
      </c>
      <c r="D6" s="598"/>
      <c r="E6" s="506"/>
    </row>
    <row r="7" spans="1:44" s="281" customFormat="1" ht="54" customHeight="1">
      <c r="A7" s="736"/>
      <c r="B7" s="736"/>
      <c r="C7" s="738"/>
      <c r="D7" s="599" t="s">
        <v>807</v>
      </c>
      <c r="E7" s="731" t="s">
        <v>421</v>
      </c>
      <c r="F7" s="732"/>
      <c r="G7" s="731" t="s">
        <v>422</v>
      </c>
      <c r="H7" s="732"/>
      <c r="I7" s="731" t="s">
        <v>423</v>
      </c>
      <c r="J7" s="732"/>
      <c r="K7" s="731" t="s">
        <v>424</v>
      </c>
      <c r="L7" s="732"/>
      <c r="M7" s="731" t="s">
        <v>196</v>
      </c>
      <c r="N7" s="732"/>
      <c r="O7" s="731" t="s">
        <v>197</v>
      </c>
      <c r="P7" s="732"/>
      <c r="Q7" s="731" t="s">
        <v>198</v>
      </c>
      <c r="R7" s="732"/>
      <c r="S7" s="731" t="s">
        <v>199</v>
      </c>
      <c r="T7" s="732"/>
      <c r="U7" s="731" t="s">
        <v>200</v>
      </c>
      <c r="V7" s="732"/>
      <c r="W7" s="731" t="s">
        <v>201</v>
      </c>
      <c r="X7" s="732"/>
      <c r="Y7" s="731" t="s">
        <v>202</v>
      </c>
      <c r="Z7" s="732"/>
      <c r="AA7" s="731" t="s">
        <v>203</v>
      </c>
      <c r="AB7" s="732"/>
      <c r="AC7" s="731" t="s">
        <v>204</v>
      </c>
      <c r="AD7" s="732"/>
      <c r="AE7" s="731" t="s">
        <v>205</v>
      </c>
      <c r="AF7" s="732"/>
      <c r="AG7" s="731" t="s">
        <v>206</v>
      </c>
      <c r="AH7" s="732"/>
      <c r="AI7" s="731" t="s">
        <v>207</v>
      </c>
      <c r="AJ7" s="732"/>
      <c r="AK7" s="731" t="s">
        <v>208</v>
      </c>
      <c r="AL7" s="732"/>
      <c r="AM7" s="741" t="s">
        <v>209</v>
      </c>
      <c r="AN7" s="742"/>
      <c r="AO7" s="739" t="s">
        <v>37</v>
      </c>
      <c r="AP7" s="740"/>
    </row>
    <row r="8" spans="1:44" ht="9.75" customHeight="1">
      <c r="A8" s="723"/>
      <c r="B8" s="724"/>
      <c r="C8" s="724"/>
      <c r="D8" s="600"/>
      <c r="E8" s="279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</row>
    <row r="9" spans="1:44" s="526" customFormat="1" ht="18" customHeight="1">
      <c r="A9" s="725">
        <v>1</v>
      </c>
      <c r="B9" s="514">
        <v>10000</v>
      </c>
      <c r="C9" s="515" t="s">
        <v>0</v>
      </c>
      <c r="D9" s="601"/>
      <c r="E9" s="525" t="s">
        <v>14</v>
      </c>
      <c r="F9" s="499" t="s">
        <v>15</v>
      </c>
      <c r="G9" s="525" t="s">
        <v>14</v>
      </c>
      <c r="H9" s="499" t="s">
        <v>15</v>
      </c>
      <c r="I9" s="525" t="s">
        <v>14</v>
      </c>
      <c r="J9" s="499" t="s">
        <v>15</v>
      </c>
      <c r="K9" s="525" t="s">
        <v>14</v>
      </c>
      <c r="L9" s="499" t="s">
        <v>15</v>
      </c>
      <c r="M9" s="525" t="s">
        <v>14</v>
      </c>
      <c r="N9" s="499" t="s">
        <v>15</v>
      </c>
      <c r="O9" s="525" t="s">
        <v>14</v>
      </c>
      <c r="P9" s="499" t="s">
        <v>15</v>
      </c>
      <c r="Q9" s="525" t="s">
        <v>14</v>
      </c>
      <c r="R9" s="499" t="s">
        <v>15</v>
      </c>
      <c r="S9" s="525" t="s">
        <v>14</v>
      </c>
      <c r="T9" s="499" t="s">
        <v>15</v>
      </c>
      <c r="U9" s="525" t="s">
        <v>14</v>
      </c>
      <c r="V9" s="499" t="s">
        <v>15</v>
      </c>
      <c r="W9" s="525" t="s">
        <v>14</v>
      </c>
      <c r="X9" s="499" t="s">
        <v>15</v>
      </c>
      <c r="Y9" s="525" t="s">
        <v>14</v>
      </c>
      <c r="Z9" s="499" t="s">
        <v>15</v>
      </c>
      <c r="AA9" s="525" t="s">
        <v>14</v>
      </c>
      <c r="AB9" s="499" t="s">
        <v>15</v>
      </c>
      <c r="AC9" s="525" t="s">
        <v>14</v>
      </c>
      <c r="AD9" s="499" t="s">
        <v>15</v>
      </c>
      <c r="AE9" s="525" t="s">
        <v>14</v>
      </c>
      <c r="AF9" s="499" t="s">
        <v>15</v>
      </c>
      <c r="AG9" s="525" t="s">
        <v>14</v>
      </c>
      <c r="AH9" s="499" t="s">
        <v>15</v>
      </c>
      <c r="AI9" s="525" t="s">
        <v>14</v>
      </c>
      <c r="AJ9" s="499" t="s">
        <v>15</v>
      </c>
      <c r="AK9" s="525" t="s">
        <v>14</v>
      </c>
      <c r="AL9" s="499" t="s">
        <v>15</v>
      </c>
      <c r="AM9" s="525" t="s">
        <v>14</v>
      </c>
      <c r="AN9" s="499" t="s">
        <v>15</v>
      </c>
      <c r="AO9" s="525" t="s">
        <v>14</v>
      </c>
      <c r="AP9" s="499" t="s">
        <v>15</v>
      </c>
    </row>
    <row r="10" spans="1:44" s="58" customFormat="1" ht="31.5">
      <c r="A10" s="726"/>
      <c r="B10" s="511">
        <v>11000</v>
      </c>
      <c r="C10" s="521" t="str">
        <f>'Sum, scheme'!C10</f>
        <v>Community Institutions Development</v>
      </c>
      <c r="D10" s="604">
        <f>'Sum, scheme'!D10</f>
        <v>233006000</v>
      </c>
      <c r="E10" s="508">
        <f>'1.1'!Z41</f>
        <v>1372</v>
      </c>
      <c r="F10" s="517">
        <f>'1.1'!AA41</f>
        <v>13048600</v>
      </c>
      <c r="G10" s="508">
        <f>'1.1'!AB41</f>
        <v>459</v>
      </c>
      <c r="H10" s="517">
        <f>'1.1'!AC41</f>
        <v>9266000</v>
      </c>
      <c r="I10" s="508">
        <f>'1.1'!AD41</f>
        <v>930</v>
      </c>
      <c r="J10" s="517">
        <f>'1.1'!AE41</f>
        <v>14201000</v>
      </c>
      <c r="K10" s="508">
        <f>'1.1'!AF41</f>
        <v>1424</v>
      </c>
      <c r="L10" s="517">
        <f>'1.1'!AG41</f>
        <v>16710400</v>
      </c>
      <c r="M10" s="508">
        <f>'1.1'!AH41</f>
        <v>665</v>
      </c>
      <c r="N10" s="517">
        <f>'1.1'!AI41</f>
        <v>13125000</v>
      </c>
      <c r="O10" s="508">
        <f>'1.1'!AJ41</f>
        <v>1105</v>
      </c>
      <c r="P10" s="517">
        <f>'1.1'!AK41</f>
        <v>15924000</v>
      </c>
      <c r="Q10" s="508">
        <f>'1.1'!AL41</f>
        <v>604</v>
      </c>
      <c r="R10" s="517">
        <f>'1.1'!AM41</f>
        <v>9947000</v>
      </c>
      <c r="S10" s="508">
        <f>'1.1'!AN41</f>
        <v>1567</v>
      </c>
      <c r="T10" s="517">
        <f>'1.1'!AO41</f>
        <v>10960000</v>
      </c>
      <c r="U10" s="508">
        <f>'1.1'!AP41</f>
        <v>179</v>
      </c>
      <c r="V10" s="517">
        <f>'1.1'!AQ41</f>
        <v>7493000</v>
      </c>
      <c r="W10" s="508">
        <f>'1.1'!AR41</f>
        <v>577</v>
      </c>
      <c r="X10" s="517">
        <f>'1.1'!AS41</f>
        <v>9705000</v>
      </c>
      <c r="Y10" s="508">
        <f>'1.1'!AT41</f>
        <v>818</v>
      </c>
      <c r="Z10" s="517">
        <f>'1.1'!AU41</f>
        <v>11833000</v>
      </c>
      <c r="AA10" s="508">
        <f>'1.1'!AV41</f>
        <v>816</v>
      </c>
      <c r="AB10" s="517">
        <f>'1.1'!AW41</f>
        <v>11333000</v>
      </c>
      <c r="AC10" s="508">
        <f>'1.1'!AX41</f>
        <v>1105</v>
      </c>
      <c r="AD10" s="517">
        <f>'1.1'!AY41</f>
        <v>12545000</v>
      </c>
      <c r="AE10" s="508">
        <f>'1.1'!AZ41</f>
        <v>1142</v>
      </c>
      <c r="AF10" s="517">
        <f>'1.1'!BA41</f>
        <v>12108000</v>
      </c>
      <c r="AG10" s="508">
        <f>'1.1'!BB41</f>
        <v>1142</v>
      </c>
      <c r="AH10" s="517">
        <f>'1.1'!BC41</f>
        <v>13318000</v>
      </c>
      <c r="AI10" s="508">
        <f>'1.1'!BD41</f>
        <v>2229</v>
      </c>
      <c r="AJ10" s="517">
        <f>'1.1'!BE41</f>
        <v>25784000</v>
      </c>
      <c r="AK10" s="508">
        <f>'1.1'!BF41</f>
        <v>884</v>
      </c>
      <c r="AL10" s="517">
        <f>'1.1'!BG41</f>
        <v>15217000</v>
      </c>
      <c r="AM10" s="508">
        <f>'1.1'!BH41</f>
        <v>763</v>
      </c>
      <c r="AN10" s="517">
        <f>'1.1'!BI41</f>
        <v>10488000</v>
      </c>
      <c r="AO10" s="508">
        <f>'1.1'!BJ41</f>
        <v>17699</v>
      </c>
      <c r="AP10" s="517">
        <f>AN10+AL10+AJ10+AH10+AF10+AD10+AB10+Z10+X10+V10+T10+R10+P10+N10+L10+J10+H10+F10</f>
        <v>233006000</v>
      </c>
      <c r="AR10" s="61">
        <f>D10-AP10</f>
        <v>0</v>
      </c>
    </row>
    <row r="11" spans="1:44" s="58" customFormat="1" ht="29.25" customHeight="1">
      <c r="A11" s="726"/>
      <c r="B11" s="511">
        <v>12000</v>
      </c>
      <c r="C11" s="521" t="str">
        <f>'Sum, scheme'!C11</f>
        <v>Stregthening SHGs and Rural Finance</v>
      </c>
      <c r="D11" s="604">
        <f>'Sum, scheme'!D11</f>
        <v>38442800</v>
      </c>
      <c r="E11" s="509">
        <f>'1.2'!X64</f>
        <v>1607</v>
      </c>
      <c r="F11" s="517">
        <f>'1.2'!Y64</f>
        <v>405550</v>
      </c>
      <c r="G11" s="509">
        <f>'1.2'!Z64</f>
        <v>1142</v>
      </c>
      <c r="H11" s="517">
        <f>'1.2'!AA64</f>
        <v>326550</v>
      </c>
      <c r="I11" s="509">
        <f>'1.2'!AB64</f>
        <v>1612</v>
      </c>
      <c r="J11" s="517">
        <f>'1.2'!AC64</f>
        <v>417050</v>
      </c>
      <c r="K11" s="509">
        <f>'1.2'!AD64</f>
        <v>2861</v>
      </c>
      <c r="L11" s="517">
        <f>'1.2'!AE64</f>
        <v>555900</v>
      </c>
      <c r="M11" s="509">
        <f>'1.2'!AF64</f>
        <v>1127</v>
      </c>
      <c r="N11" s="517">
        <f>'1.2'!AG64</f>
        <v>321550</v>
      </c>
      <c r="O11" s="509">
        <f>'1.2'!AH64</f>
        <v>1577</v>
      </c>
      <c r="P11" s="517">
        <f>'1.2'!AI64</f>
        <v>413550</v>
      </c>
      <c r="Q11" s="509">
        <f>'1.2'!AJ64</f>
        <v>1430</v>
      </c>
      <c r="R11" s="517">
        <f>'1.2'!AK64</f>
        <v>401250</v>
      </c>
      <c r="S11" s="509">
        <f>'1.2'!AL64</f>
        <v>3079</v>
      </c>
      <c r="T11" s="517">
        <f>'1.2'!AM64</f>
        <v>625250</v>
      </c>
      <c r="U11" s="509">
        <f>'1.2'!AN64</f>
        <v>855</v>
      </c>
      <c r="V11" s="517">
        <f>'1.2'!AO64</f>
        <v>234050</v>
      </c>
      <c r="W11" s="509">
        <f>'1.2'!AP64</f>
        <v>1844</v>
      </c>
      <c r="X11" s="517">
        <f>'1.2'!AQ64</f>
        <v>412600</v>
      </c>
      <c r="Y11" s="509">
        <f>'1.2'!AR64</f>
        <v>2448</v>
      </c>
      <c r="Z11" s="517">
        <f>'1.2'!AS64</f>
        <v>494450</v>
      </c>
      <c r="AA11" s="509">
        <f>'1.2'!AT64</f>
        <v>1944</v>
      </c>
      <c r="AB11" s="517">
        <f>'1.2'!AU64</f>
        <v>452650</v>
      </c>
      <c r="AC11" s="509">
        <f>'1.2'!AV64</f>
        <v>3344.9999999999995</v>
      </c>
      <c r="AD11" s="517">
        <f>'1.2'!AW64</f>
        <v>673850</v>
      </c>
      <c r="AE11" s="509">
        <f>'1.2'!AX64</f>
        <v>2947</v>
      </c>
      <c r="AF11" s="517">
        <f>'1.2'!AY64</f>
        <v>606550</v>
      </c>
      <c r="AG11" s="509">
        <f>'1.2'!AZ64</f>
        <v>1409</v>
      </c>
      <c r="AH11" s="517">
        <f>'1.2'!BA64</f>
        <v>397100</v>
      </c>
      <c r="AI11" s="509">
        <f>'1.2'!BB64</f>
        <v>4005.9999999999995</v>
      </c>
      <c r="AJ11" s="517">
        <f>'1.2'!BC64</f>
        <v>930950</v>
      </c>
      <c r="AK11" s="509">
        <f>'1.2'!BD64</f>
        <v>1983</v>
      </c>
      <c r="AL11" s="517">
        <f>'1.2'!BE64</f>
        <v>458950</v>
      </c>
      <c r="AM11" s="509">
        <f>'1.2'!BF64</f>
        <v>512</v>
      </c>
      <c r="AN11" s="517">
        <f>'1.2'!BG64</f>
        <v>30315000</v>
      </c>
      <c r="AO11" s="509">
        <f>'1.2'!BH64</f>
        <v>35728</v>
      </c>
      <c r="AP11" s="517">
        <f>'1.2'!BI64</f>
        <v>38442800</v>
      </c>
      <c r="AR11" s="61">
        <f>D11-AP11</f>
        <v>0</v>
      </c>
    </row>
    <row r="12" spans="1:44" s="58" customFormat="1" ht="14.25" customHeight="1">
      <c r="A12" s="727"/>
      <c r="B12" s="514"/>
      <c r="C12" s="522" t="s">
        <v>3</v>
      </c>
      <c r="D12" s="604">
        <f>'Sum, scheme'!D12</f>
        <v>271448800</v>
      </c>
      <c r="E12" s="519">
        <f t="shared" ref="E12:AP12" si="0">SUM(E10:E11)</f>
        <v>2979</v>
      </c>
      <c r="F12" s="519">
        <f t="shared" si="0"/>
        <v>13454150</v>
      </c>
      <c r="G12" s="519">
        <f t="shared" si="0"/>
        <v>1601</v>
      </c>
      <c r="H12" s="519">
        <f t="shared" si="0"/>
        <v>9592550</v>
      </c>
      <c r="I12" s="519">
        <f t="shared" si="0"/>
        <v>2542</v>
      </c>
      <c r="J12" s="519">
        <f t="shared" si="0"/>
        <v>14618050</v>
      </c>
      <c r="K12" s="519">
        <f t="shared" si="0"/>
        <v>4285</v>
      </c>
      <c r="L12" s="519">
        <f t="shared" si="0"/>
        <v>17266300</v>
      </c>
      <c r="M12" s="519">
        <f t="shared" si="0"/>
        <v>1792</v>
      </c>
      <c r="N12" s="519">
        <f t="shared" si="0"/>
        <v>13446550</v>
      </c>
      <c r="O12" s="519">
        <f t="shared" si="0"/>
        <v>2682</v>
      </c>
      <c r="P12" s="519">
        <f t="shared" si="0"/>
        <v>16337550</v>
      </c>
      <c r="Q12" s="519">
        <f t="shared" si="0"/>
        <v>2034</v>
      </c>
      <c r="R12" s="519">
        <f t="shared" si="0"/>
        <v>10348250</v>
      </c>
      <c r="S12" s="519">
        <f t="shared" si="0"/>
        <v>4646</v>
      </c>
      <c r="T12" s="519">
        <f t="shared" si="0"/>
        <v>11585250</v>
      </c>
      <c r="U12" s="519">
        <f t="shared" si="0"/>
        <v>1034</v>
      </c>
      <c r="V12" s="519">
        <f t="shared" si="0"/>
        <v>7727050</v>
      </c>
      <c r="W12" s="519">
        <f t="shared" si="0"/>
        <v>2421</v>
      </c>
      <c r="X12" s="519">
        <f t="shared" si="0"/>
        <v>10117600</v>
      </c>
      <c r="Y12" s="519">
        <f t="shared" si="0"/>
        <v>3266</v>
      </c>
      <c r="Z12" s="519">
        <f t="shared" si="0"/>
        <v>12327450</v>
      </c>
      <c r="AA12" s="519">
        <f t="shared" si="0"/>
        <v>2760</v>
      </c>
      <c r="AB12" s="519">
        <f t="shared" si="0"/>
        <v>11785650</v>
      </c>
      <c r="AC12" s="519">
        <f t="shared" si="0"/>
        <v>4450</v>
      </c>
      <c r="AD12" s="519">
        <f t="shared" si="0"/>
        <v>13218850</v>
      </c>
      <c r="AE12" s="519">
        <f t="shared" si="0"/>
        <v>4089</v>
      </c>
      <c r="AF12" s="519">
        <f t="shared" si="0"/>
        <v>12714550</v>
      </c>
      <c r="AG12" s="519">
        <f t="shared" si="0"/>
        <v>2551</v>
      </c>
      <c r="AH12" s="519">
        <f t="shared" si="0"/>
        <v>13715100</v>
      </c>
      <c r="AI12" s="519">
        <f t="shared" si="0"/>
        <v>6235</v>
      </c>
      <c r="AJ12" s="519">
        <f t="shared" si="0"/>
        <v>26714950</v>
      </c>
      <c r="AK12" s="519">
        <f t="shared" si="0"/>
        <v>2867</v>
      </c>
      <c r="AL12" s="519">
        <f t="shared" si="0"/>
        <v>15675950</v>
      </c>
      <c r="AM12" s="519">
        <f t="shared" si="0"/>
        <v>1275</v>
      </c>
      <c r="AN12" s="519">
        <f t="shared" si="0"/>
        <v>40803000</v>
      </c>
      <c r="AO12" s="519">
        <f t="shared" si="0"/>
        <v>53427</v>
      </c>
      <c r="AP12" s="519">
        <f t="shared" si="0"/>
        <v>271448800</v>
      </c>
      <c r="AR12" s="61">
        <f>D12-AP12</f>
        <v>0</v>
      </c>
    </row>
    <row r="13" spans="1:44" s="58" customFormat="1">
      <c r="A13" s="520"/>
      <c r="B13" s="520"/>
      <c r="C13" s="523"/>
      <c r="D13" s="523"/>
      <c r="E13" s="508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00"/>
    </row>
    <row r="14" spans="1:44" s="58" customFormat="1">
      <c r="A14" s="725">
        <v>2</v>
      </c>
      <c r="B14" s="514">
        <v>20000</v>
      </c>
      <c r="C14" s="510" t="s">
        <v>93</v>
      </c>
      <c r="D14" s="602"/>
      <c r="E14" s="508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00"/>
    </row>
    <row r="15" spans="1:44" s="58" customFormat="1">
      <c r="A15" s="726"/>
      <c r="B15" s="511">
        <v>21000</v>
      </c>
      <c r="C15" s="512" t="str">
        <f>'Sum, scheme'!C15</f>
        <v xml:space="preserve"> Natural Resource Management</v>
      </c>
      <c r="D15" s="605">
        <f>'Sum, scheme'!D15</f>
        <v>618595192</v>
      </c>
      <c r="E15" s="508">
        <f>'2.1'!AA85</f>
        <v>976.5</v>
      </c>
      <c r="F15" s="508">
        <f>'2.1'!AB85</f>
        <v>40403100</v>
      </c>
      <c r="G15" s="508">
        <f>'2.1'!AC85</f>
        <v>725</v>
      </c>
      <c r="H15" s="508">
        <f>'2.1'!AD85</f>
        <v>21110000</v>
      </c>
      <c r="I15" s="508">
        <f>'2.1'!AE85</f>
        <v>1661</v>
      </c>
      <c r="J15" s="508">
        <f>'2.1'!AF85</f>
        <v>41237800</v>
      </c>
      <c r="K15" s="508">
        <f>'2.1'!AG85</f>
        <v>1913</v>
      </c>
      <c r="L15" s="508">
        <f>'2.1'!AH85</f>
        <v>52785100</v>
      </c>
      <c r="M15" s="508">
        <f>'2.1'!AI85</f>
        <v>1734</v>
      </c>
      <c r="N15" s="508">
        <f>'2.1'!AJ85</f>
        <v>32540710</v>
      </c>
      <c r="O15" s="508">
        <f>'2.1'!AK85</f>
        <v>1156</v>
      </c>
      <c r="P15" s="508">
        <f>'2.1'!AL85</f>
        <v>33785500</v>
      </c>
      <c r="Q15" s="508">
        <f>'2.1'!AM85</f>
        <v>995</v>
      </c>
      <c r="R15" s="508">
        <f>'2.1'!AN85</f>
        <v>38814800</v>
      </c>
      <c r="S15" s="508">
        <f>'2.1'!AO85</f>
        <v>1019</v>
      </c>
      <c r="T15" s="508">
        <f>'2.1'!AP85</f>
        <v>41877500</v>
      </c>
      <c r="U15" s="508">
        <f>'2.1'!AQ85</f>
        <v>682</v>
      </c>
      <c r="V15" s="508">
        <f>'2.1'!AR85</f>
        <v>12595500</v>
      </c>
      <c r="W15" s="508">
        <f>'2.1'!AS85</f>
        <v>1009</v>
      </c>
      <c r="X15" s="508">
        <f>'2.1'!AT85</f>
        <v>34681300</v>
      </c>
      <c r="Y15" s="508">
        <f>'2.1'!AU85</f>
        <v>1002</v>
      </c>
      <c r="Z15" s="508">
        <f>'2.1'!AV85</f>
        <v>28102000</v>
      </c>
      <c r="AA15" s="508">
        <f>'2.1'!AW85</f>
        <v>1897</v>
      </c>
      <c r="AB15" s="508">
        <f>'2.1'!AX85</f>
        <v>24361000</v>
      </c>
      <c r="AC15" s="508">
        <f>'2.1'!AY85</f>
        <v>968</v>
      </c>
      <c r="AD15" s="508">
        <f>'2.1'!AZ85</f>
        <v>38946500</v>
      </c>
      <c r="AE15" s="508">
        <f>'2.1'!BA85</f>
        <v>1543</v>
      </c>
      <c r="AF15" s="508">
        <f>'2.1'!BB85</f>
        <v>33445682</v>
      </c>
      <c r="AG15" s="508">
        <f>'2.1'!BC85</f>
        <v>1731</v>
      </c>
      <c r="AH15" s="508">
        <f>'2.1'!BD85</f>
        <v>39937000</v>
      </c>
      <c r="AI15" s="508">
        <f>'2.1'!BE85</f>
        <v>1665</v>
      </c>
      <c r="AJ15" s="508">
        <f>'2.1'!BF85</f>
        <v>53680900</v>
      </c>
      <c r="AK15" s="508">
        <f>'2.1'!BG85</f>
        <v>1279</v>
      </c>
      <c r="AL15" s="508">
        <f>'2.1'!BH85</f>
        <v>48690800</v>
      </c>
      <c r="AM15" s="508">
        <f>'2.1'!BI85</f>
        <v>3</v>
      </c>
      <c r="AN15" s="508">
        <f>'2.1'!BJ85</f>
        <v>1600000</v>
      </c>
      <c r="AO15" s="508">
        <f>'2.1'!BK85</f>
        <v>21958.5</v>
      </c>
      <c r="AP15" s="508">
        <f>'2.1'!BL85</f>
        <v>618595192</v>
      </c>
      <c r="AR15" s="61">
        <f>D15-AP15</f>
        <v>0</v>
      </c>
    </row>
    <row r="16" spans="1:44" s="58" customFormat="1">
      <c r="A16" s="726"/>
      <c r="B16" s="511">
        <v>22000</v>
      </c>
      <c r="C16" s="512" t="str">
        <f>'Sum, scheme'!C16</f>
        <v>Food &amp; Nutrition Security</v>
      </c>
      <c r="D16" s="605">
        <f>'Sum, scheme'!D16</f>
        <v>350311900</v>
      </c>
      <c r="E16" s="508">
        <f>'2.2'!Z89</f>
        <v>882.5</v>
      </c>
      <c r="F16" s="508">
        <f>'2.2'!AA89</f>
        <v>27038000</v>
      </c>
      <c r="G16" s="508">
        <f>'2.2'!AB89</f>
        <v>497</v>
      </c>
      <c r="H16" s="508">
        <f>'2.2'!AC89</f>
        <v>13858800</v>
      </c>
      <c r="I16" s="508">
        <f>'2.2'!AD89</f>
        <v>1492</v>
      </c>
      <c r="J16" s="508">
        <f>'2.2'!AE89</f>
        <v>31954100</v>
      </c>
      <c r="K16" s="508">
        <f>'2.2'!AF89</f>
        <v>931</v>
      </c>
      <c r="L16" s="508">
        <f>'2.2'!AG89</f>
        <v>24325100</v>
      </c>
      <c r="M16" s="508">
        <f>'2.2'!AH89</f>
        <v>892</v>
      </c>
      <c r="N16" s="508">
        <f>'2.2'!AI89</f>
        <v>16201300</v>
      </c>
      <c r="O16" s="508">
        <f>'2.2'!AJ89</f>
        <v>871</v>
      </c>
      <c r="P16" s="508">
        <f>'2.2'!AK89</f>
        <v>17744100</v>
      </c>
      <c r="Q16" s="508">
        <f>'2.2'!AL89</f>
        <v>678.4</v>
      </c>
      <c r="R16" s="508">
        <f>'2.2'!AM89</f>
        <v>17352900</v>
      </c>
      <c r="S16" s="508">
        <f>'2.2'!AN89</f>
        <v>457</v>
      </c>
      <c r="T16" s="508">
        <f>'2.2'!AO89</f>
        <v>17267500</v>
      </c>
      <c r="U16" s="508">
        <f>'2.2'!AP89</f>
        <v>300</v>
      </c>
      <c r="V16" s="508">
        <f>'2.2'!AQ89</f>
        <v>9111500</v>
      </c>
      <c r="W16" s="508">
        <f>'2.2'!AR89</f>
        <v>705</v>
      </c>
      <c r="X16" s="508">
        <f>'2.2'!AS89</f>
        <v>20856000</v>
      </c>
      <c r="Y16" s="508">
        <f>'2.2'!AT89</f>
        <v>628</v>
      </c>
      <c r="Z16" s="508">
        <f>'2.2'!AU89</f>
        <v>24009500</v>
      </c>
      <c r="AA16" s="508">
        <f>'2.2'!AV89</f>
        <v>549</v>
      </c>
      <c r="AB16" s="508">
        <f>'2.2'!AW89</f>
        <v>21051900</v>
      </c>
      <c r="AC16" s="508">
        <f>'2.2'!AX89</f>
        <v>591</v>
      </c>
      <c r="AD16" s="508">
        <f>'2.2'!AY89</f>
        <v>22939500</v>
      </c>
      <c r="AE16" s="508">
        <f>'2.2'!AZ89</f>
        <v>621</v>
      </c>
      <c r="AF16" s="508">
        <f>'2.2'!BA89</f>
        <v>18164300</v>
      </c>
      <c r="AG16" s="508">
        <f>'2.2'!BB89</f>
        <v>862</v>
      </c>
      <c r="AH16" s="508">
        <f>'2.2'!BC89</f>
        <v>22796500</v>
      </c>
      <c r="AI16" s="508">
        <f>'2.2'!BD89</f>
        <v>768</v>
      </c>
      <c r="AJ16" s="508">
        <f>'2.2'!BE89</f>
        <v>21901400</v>
      </c>
      <c r="AK16" s="508">
        <f>'2.2'!BF89</f>
        <v>519</v>
      </c>
      <c r="AL16" s="508">
        <f>'2.2'!BG89</f>
        <v>23239500</v>
      </c>
      <c r="AM16" s="508">
        <f>'2.2'!BH89</f>
        <v>1</v>
      </c>
      <c r="AN16" s="508">
        <f>'2.2'!BI89</f>
        <v>500000</v>
      </c>
      <c r="AO16" s="508">
        <f>'2.2'!BJ89</f>
        <v>12244.9</v>
      </c>
      <c r="AP16" s="508">
        <f>'2.2'!BK89</f>
        <v>350311900</v>
      </c>
      <c r="AR16" s="61">
        <f>D16-AP16</f>
        <v>0</v>
      </c>
    </row>
    <row r="17" spans="1:44" s="58" customFormat="1">
      <c r="A17" s="726"/>
      <c r="B17" s="511">
        <v>23000</v>
      </c>
      <c r="C17" s="512" t="str">
        <f>'Sum, scheme'!C17</f>
        <v>Livelihoods Improvement</v>
      </c>
      <c r="D17" s="605">
        <f>'Sum, scheme'!D17</f>
        <v>311021000</v>
      </c>
      <c r="E17" s="508">
        <f>'2.3'!Z56</f>
        <v>537</v>
      </c>
      <c r="F17" s="508">
        <f>'2.3'!AA56</f>
        <v>17103600</v>
      </c>
      <c r="G17" s="508">
        <f>'2.3'!AB56</f>
        <v>477</v>
      </c>
      <c r="H17" s="508">
        <f>'2.3'!AC56</f>
        <v>17303600</v>
      </c>
      <c r="I17" s="508">
        <f>'2.3'!AD56</f>
        <v>480</v>
      </c>
      <c r="J17" s="508">
        <f>'2.3'!AE56</f>
        <v>18304800</v>
      </c>
      <c r="K17" s="508">
        <f>'2.3'!AF56</f>
        <v>497</v>
      </c>
      <c r="L17" s="508">
        <f>'2.3'!AG56</f>
        <v>21206000</v>
      </c>
      <c r="M17" s="508">
        <f>'2.3'!AH56</f>
        <v>534</v>
      </c>
      <c r="N17" s="508">
        <f>'2.3'!AI56</f>
        <v>18002400</v>
      </c>
      <c r="O17" s="508">
        <f>'2.3'!AJ56</f>
        <v>537</v>
      </c>
      <c r="P17" s="508">
        <f>'2.3'!AK56</f>
        <v>17404800</v>
      </c>
      <c r="Q17" s="508">
        <f>'2.3'!AL56</f>
        <v>534</v>
      </c>
      <c r="R17" s="508">
        <f>'2.3'!AM56</f>
        <v>15066000</v>
      </c>
      <c r="S17" s="508">
        <f>'2.3'!AN56</f>
        <v>617</v>
      </c>
      <c r="T17" s="508">
        <f>'2.3'!AO56</f>
        <v>16899600</v>
      </c>
      <c r="U17" s="508">
        <f>'2.3'!AP56</f>
        <v>427</v>
      </c>
      <c r="V17" s="508">
        <f>'2.3'!AQ56</f>
        <v>11042400</v>
      </c>
      <c r="W17" s="508">
        <f>'2.3'!AR56</f>
        <v>538</v>
      </c>
      <c r="X17" s="508">
        <f>'2.3'!AS56</f>
        <v>21003600</v>
      </c>
      <c r="Y17" s="508">
        <f>'2.3'!AT56</f>
        <v>632</v>
      </c>
      <c r="Z17" s="508">
        <f>'2.3'!AU56</f>
        <v>20007200</v>
      </c>
      <c r="AA17" s="508">
        <f>'2.3'!AV56</f>
        <v>530</v>
      </c>
      <c r="AB17" s="508">
        <f>'2.3'!AW56</f>
        <v>17206000</v>
      </c>
      <c r="AC17" s="508">
        <f>'2.3'!AX56</f>
        <v>623</v>
      </c>
      <c r="AD17" s="508">
        <f>'2.3'!AY56</f>
        <v>17510800</v>
      </c>
      <c r="AE17" s="508">
        <f>'2.3'!AZ56</f>
        <v>663</v>
      </c>
      <c r="AF17" s="508">
        <f>'2.3'!BA56</f>
        <v>21820000</v>
      </c>
      <c r="AG17" s="508">
        <f>'2.3'!BB56</f>
        <v>698</v>
      </c>
      <c r="AH17" s="508">
        <f>'2.3'!BC56</f>
        <v>18903600</v>
      </c>
      <c r="AI17" s="508">
        <f>'2.3'!BD56</f>
        <v>620</v>
      </c>
      <c r="AJ17" s="508">
        <f>'2.3'!BE56</f>
        <v>19814400</v>
      </c>
      <c r="AK17" s="508">
        <f>'2.3'!BF56</f>
        <v>544</v>
      </c>
      <c r="AL17" s="508">
        <f>'2.3'!BG56</f>
        <v>13507200</v>
      </c>
      <c r="AM17" s="508">
        <f>'2.3'!BH56</f>
        <v>525</v>
      </c>
      <c r="AN17" s="508">
        <f>'2.3'!BI56</f>
        <v>525000</v>
      </c>
      <c r="AO17" s="508">
        <f>'2.3'!BJ56</f>
        <v>10013</v>
      </c>
      <c r="AP17" s="701">
        <f>'2.3'!BK56</f>
        <v>311021000</v>
      </c>
      <c r="AR17" s="61">
        <f>D17-AP17</f>
        <v>0</v>
      </c>
    </row>
    <row r="18" spans="1:44" s="58" customFormat="1">
      <c r="A18" s="727"/>
      <c r="B18" s="514"/>
      <c r="C18" s="522" t="s">
        <v>3</v>
      </c>
      <c r="D18" s="605">
        <f>'Sum, scheme'!D18</f>
        <v>1279928092</v>
      </c>
      <c r="E18" s="519">
        <f t="shared" ref="E18:AP18" si="1">SUM(E15:E17)</f>
        <v>2396</v>
      </c>
      <c r="F18" s="519">
        <f t="shared" si="1"/>
        <v>84544700</v>
      </c>
      <c r="G18" s="519">
        <f t="shared" si="1"/>
        <v>1699</v>
      </c>
      <c r="H18" s="519">
        <f t="shared" si="1"/>
        <v>52272400</v>
      </c>
      <c r="I18" s="519">
        <f t="shared" si="1"/>
        <v>3633</v>
      </c>
      <c r="J18" s="519">
        <f t="shared" si="1"/>
        <v>91496700</v>
      </c>
      <c r="K18" s="519">
        <f t="shared" si="1"/>
        <v>3341</v>
      </c>
      <c r="L18" s="519">
        <f t="shared" si="1"/>
        <v>98316200</v>
      </c>
      <c r="M18" s="519">
        <f t="shared" si="1"/>
        <v>3160</v>
      </c>
      <c r="N18" s="519">
        <f t="shared" si="1"/>
        <v>66744410</v>
      </c>
      <c r="O18" s="519">
        <f t="shared" si="1"/>
        <v>2564</v>
      </c>
      <c r="P18" s="519">
        <f t="shared" si="1"/>
        <v>68934400</v>
      </c>
      <c r="Q18" s="519">
        <f t="shared" si="1"/>
        <v>2207.4</v>
      </c>
      <c r="R18" s="519">
        <f t="shared" si="1"/>
        <v>71233700</v>
      </c>
      <c r="S18" s="519">
        <f t="shared" si="1"/>
        <v>2093</v>
      </c>
      <c r="T18" s="519">
        <f t="shared" si="1"/>
        <v>76044600</v>
      </c>
      <c r="U18" s="519">
        <f t="shared" si="1"/>
        <v>1409</v>
      </c>
      <c r="V18" s="519">
        <f t="shared" si="1"/>
        <v>32749400</v>
      </c>
      <c r="W18" s="519">
        <f t="shared" si="1"/>
        <v>2252</v>
      </c>
      <c r="X18" s="519">
        <f t="shared" si="1"/>
        <v>76540900</v>
      </c>
      <c r="Y18" s="519">
        <f t="shared" si="1"/>
        <v>2262</v>
      </c>
      <c r="Z18" s="519">
        <f t="shared" si="1"/>
        <v>72118700</v>
      </c>
      <c r="AA18" s="519">
        <f t="shared" si="1"/>
        <v>2976</v>
      </c>
      <c r="AB18" s="519">
        <f t="shared" si="1"/>
        <v>62618900</v>
      </c>
      <c r="AC18" s="519">
        <f t="shared" si="1"/>
        <v>2182</v>
      </c>
      <c r="AD18" s="519">
        <f t="shared" si="1"/>
        <v>79396800</v>
      </c>
      <c r="AE18" s="519">
        <f t="shared" si="1"/>
        <v>2827</v>
      </c>
      <c r="AF18" s="519">
        <f t="shared" si="1"/>
        <v>73429982</v>
      </c>
      <c r="AG18" s="519">
        <f t="shared" si="1"/>
        <v>3291</v>
      </c>
      <c r="AH18" s="519">
        <f t="shared" si="1"/>
        <v>81637100</v>
      </c>
      <c r="AI18" s="519">
        <f t="shared" si="1"/>
        <v>3053</v>
      </c>
      <c r="AJ18" s="519">
        <f t="shared" si="1"/>
        <v>95396700</v>
      </c>
      <c r="AK18" s="519">
        <f t="shared" si="1"/>
        <v>2342</v>
      </c>
      <c r="AL18" s="519">
        <f t="shared" si="1"/>
        <v>85437500</v>
      </c>
      <c r="AM18" s="519">
        <f t="shared" si="1"/>
        <v>529</v>
      </c>
      <c r="AN18" s="519">
        <f t="shared" si="1"/>
        <v>2625000</v>
      </c>
      <c r="AO18" s="519">
        <f t="shared" si="1"/>
        <v>44216.4</v>
      </c>
      <c r="AP18" s="519">
        <f t="shared" si="1"/>
        <v>1279928092</v>
      </c>
      <c r="AR18" s="61">
        <f>D18-AP18</f>
        <v>0</v>
      </c>
    </row>
    <row r="19" spans="1:44" s="58" customFormat="1" ht="13.5" customHeight="1">
      <c r="A19" s="520"/>
      <c r="B19" s="520"/>
      <c r="C19" s="523"/>
      <c r="D19" s="523"/>
      <c r="E19" s="508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00"/>
    </row>
    <row r="20" spans="1:44" s="58" customFormat="1" ht="31.5">
      <c r="A20" s="725">
        <v>3</v>
      </c>
      <c r="B20" s="514">
        <v>30000</v>
      </c>
      <c r="C20" s="524" t="s">
        <v>95</v>
      </c>
      <c r="D20" s="603"/>
      <c r="E20" s="508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00"/>
    </row>
    <row r="21" spans="1:44" s="58" customFormat="1">
      <c r="A21" s="726"/>
      <c r="B21" s="511">
        <v>31000</v>
      </c>
      <c r="C21" s="512" t="str">
        <f>'Sum, scheme'!C21</f>
        <v>Community Infrastructure</v>
      </c>
      <c r="D21" s="605">
        <f>'Sum, scheme'!D21</f>
        <v>550850000</v>
      </c>
      <c r="E21" s="508">
        <f>'3.1'!AA42</f>
        <v>256</v>
      </c>
      <c r="F21" s="508">
        <f>'3.1'!AB42</f>
        <v>31600000</v>
      </c>
      <c r="G21" s="508">
        <f>'3.1'!AC42</f>
        <v>248</v>
      </c>
      <c r="H21" s="508">
        <f>'3.1'!AD42</f>
        <v>35160000</v>
      </c>
      <c r="I21" s="508">
        <f>'3.1'!AE42</f>
        <v>265</v>
      </c>
      <c r="J21" s="508">
        <f>'3.1'!AF42</f>
        <v>49140000</v>
      </c>
      <c r="K21" s="508">
        <f>'3.1'!AG42</f>
        <v>275</v>
      </c>
      <c r="L21" s="508">
        <f>'3.1'!AH42</f>
        <v>51000000</v>
      </c>
      <c r="M21" s="508">
        <f>'3.1'!AI42</f>
        <v>249</v>
      </c>
      <c r="N21" s="508">
        <f>'3.1'!AJ42</f>
        <v>40100000</v>
      </c>
      <c r="O21" s="508">
        <f>'3.1'!AK42</f>
        <v>250</v>
      </c>
      <c r="P21" s="508">
        <f>'3.1'!AL42</f>
        <v>31100000</v>
      </c>
      <c r="Q21" s="508">
        <f>'3.1'!AM42</f>
        <v>256</v>
      </c>
      <c r="R21" s="508">
        <f>'3.1'!AN42</f>
        <v>26600000</v>
      </c>
      <c r="S21" s="508">
        <f>'3.1'!AO42</f>
        <v>269</v>
      </c>
      <c r="T21" s="508">
        <f>'3.1'!AP42</f>
        <v>28800000</v>
      </c>
      <c r="U21" s="508">
        <f>'3.1'!AQ42</f>
        <v>143</v>
      </c>
      <c r="V21" s="508">
        <f>'3.1'!AR42</f>
        <v>17750000</v>
      </c>
      <c r="W21" s="508">
        <f>'3.1'!AS42</f>
        <v>235</v>
      </c>
      <c r="X21" s="508">
        <f>'3.1'!AT42</f>
        <v>31900000</v>
      </c>
      <c r="Y21" s="508">
        <f>'3.1'!AU42</f>
        <v>256</v>
      </c>
      <c r="Z21" s="508">
        <f>'3.1'!AV42</f>
        <v>27400000</v>
      </c>
      <c r="AA21" s="508">
        <f>'3.1'!AW42</f>
        <v>223</v>
      </c>
      <c r="AB21" s="508">
        <f>'3.1'!AX42</f>
        <v>30250000</v>
      </c>
      <c r="AC21" s="508">
        <f>'3.1'!AY42</f>
        <v>256</v>
      </c>
      <c r="AD21" s="508">
        <f>'3.1'!AZ42</f>
        <v>27400000</v>
      </c>
      <c r="AE21" s="508">
        <f>'3.1'!BA42</f>
        <v>249</v>
      </c>
      <c r="AF21" s="508">
        <f>'3.1'!BB42</f>
        <v>24900000</v>
      </c>
      <c r="AG21" s="508">
        <f>'3.1'!BC42</f>
        <v>340</v>
      </c>
      <c r="AH21" s="508">
        <f>'3.1'!BD42</f>
        <v>32350000</v>
      </c>
      <c r="AI21" s="508">
        <f>'3.1'!BE42</f>
        <v>299</v>
      </c>
      <c r="AJ21" s="508">
        <f>'3.1'!BF42</f>
        <v>26700000</v>
      </c>
      <c r="AK21" s="508">
        <f>'3.1'!BG42</f>
        <v>215</v>
      </c>
      <c r="AL21" s="508">
        <f>'3.1'!BH42</f>
        <v>38700000</v>
      </c>
      <c r="AM21" s="508">
        <f>'3.1'!BI42</f>
        <v>0</v>
      </c>
      <c r="AN21" s="508">
        <f>'3.1'!BJ42</f>
        <v>0</v>
      </c>
      <c r="AO21" s="508">
        <f>'3.1'!BK42</f>
        <v>4284</v>
      </c>
      <c r="AP21" s="508">
        <f>'3.1'!BL42</f>
        <v>550850000</v>
      </c>
      <c r="AR21" s="61">
        <f>D21-AP21</f>
        <v>0</v>
      </c>
    </row>
    <row r="22" spans="1:44" s="58" customFormat="1">
      <c r="A22" s="726"/>
      <c r="B22" s="511">
        <v>32000</v>
      </c>
      <c r="C22" s="512" t="str">
        <f>'Sum, scheme'!C22</f>
        <v>Drudgery Reduction</v>
      </c>
      <c r="D22" s="605">
        <f>'Sum, scheme'!D22</f>
        <v>173920000</v>
      </c>
      <c r="E22" s="508">
        <f>'3.2'!Y32</f>
        <v>2478</v>
      </c>
      <c r="F22" s="508">
        <f>'3.2'!Z32</f>
        <v>9441518</v>
      </c>
      <c r="G22" s="508">
        <f>'3.2'!AA32</f>
        <v>686</v>
      </c>
      <c r="H22" s="508">
        <f>'3.2'!AB32</f>
        <v>8089246</v>
      </c>
      <c r="I22" s="508">
        <f>'3.2'!AC32</f>
        <v>1993</v>
      </c>
      <c r="J22" s="508">
        <f>'3.2'!AD32</f>
        <v>8946370</v>
      </c>
      <c r="K22" s="508">
        <f>'3.2'!AE32</f>
        <v>1395</v>
      </c>
      <c r="L22" s="508">
        <f>'3.2'!AF32</f>
        <v>11927990</v>
      </c>
      <c r="M22" s="508">
        <f>'3.2'!AG32</f>
        <v>554</v>
      </c>
      <c r="N22" s="508">
        <f>'3.2'!AH32</f>
        <v>8163320</v>
      </c>
      <c r="O22" s="508">
        <f>'3.2'!AI32</f>
        <v>1643</v>
      </c>
      <c r="P22" s="508">
        <f>'3.2'!AJ32</f>
        <v>10777190</v>
      </c>
      <c r="Q22" s="508">
        <f>'3.2'!AK32</f>
        <v>694</v>
      </c>
      <c r="R22" s="508">
        <f>'3.2'!AL32</f>
        <v>12089888</v>
      </c>
      <c r="S22" s="508">
        <f>'3.2'!AM32</f>
        <v>977</v>
      </c>
      <c r="T22" s="508">
        <f>'3.2'!AN32</f>
        <v>9645976</v>
      </c>
      <c r="U22" s="508">
        <f>'3.2'!AO32</f>
        <v>1288</v>
      </c>
      <c r="V22" s="508">
        <f>'3.2'!AP32</f>
        <v>9307968</v>
      </c>
      <c r="W22" s="508">
        <f>'3.2'!AQ32</f>
        <v>2490</v>
      </c>
      <c r="X22" s="508">
        <f>'3.2'!AR32</f>
        <v>9044128</v>
      </c>
      <c r="Y22" s="508">
        <f>'3.2'!AS32</f>
        <v>2053</v>
      </c>
      <c r="Z22" s="508">
        <f>'3.2'!AT32</f>
        <v>10328178</v>
      </c>
      <c r="AA22" s="508">
        <f>'3.2'!AU32</f>
        <v>1088</v>
      </c>
      <c r="AB22" s="508">
        <f>'3.2'!AV32</f>
        <v>10767966</v>
      </c>
      <c r="AC22" s="508">
        <f>'3.2'!AW32</f>
        <v>766</v>
      </c>
      <c r="AD22" s="508">
        <f>'3.2'!AX32</f>
        <v>10574648</v>
      </c>
      <c r="AE22" s="508">
        <f>'3.2'!AY32</f>
        <v>1257</v>
      </c>
      <c r="AF22" s="508">
        <f>'3.2'!AZ32</f>
        <v>11301080</v>
      </c>
      <c r="AG22" s="508">
        <f>'3.2'!BA32</f>
        <v>2180</v>
      </c>
      <c r="AH22" s="508">
        <f>'3.2'!BB32</f>
        <v>9922136</v>
      </c>
      <c r="AI22" s="508">
        <f>'3.2'!BC32</f>
        <v>634</v>
      </c>
      <c r="AJ22" s="508">
        <f>'3.2'!BD32</f>
        <v>12078080</v>
      </c>
      <c r="AK22" s="508">
        <f>'3.2'!BE32</f>
        <v>3355</v>
      </c>
      <c r="AL22" s="508">
        <f>'3.2'!BF32</f>
        <v>11414318</v>
      </c>
      <c r="AM22" s="508">
        <f>'3.2'!BG32</f>
        <v>1</v>
      </c>
      <c r="AN22" s="508">
        <f>'3.2'!BH32</f>
        <v>100000</v>
      </c>
      <c r="AO22" s="508">
        <f>'3.2'!BI32</f>
        <v>25532</v>
      </c>
      <c r="AP22" s="508">
        <f>'3.2'!BJ32</f>
        <v>173920000</v>
      </c>
      <c r="AR22" s="61">
        <f>D22-AP22</f>
        <v>0</v>
      </c>
    </row>
    <row r="23" spans="1:44" s="58" customFormat="1">
      <c r="A23" s="727"/>
      <c r="B23" s="514"/>
      <c r="C23" s="522" t="s">
        <v>3</v>
      </c>
      <c r="D23" s="605">
        <f>'Sum, scheme'!D23</f>
        <v>724770000</v>
      </c>
      <c r="E23" s="519">
        <f>SUM(E21:E22)</f>
        <v>2734</v>
      </c>
      <c r="F23" s="519">
        <f t="shared" ref="F23:AP23" si="2">SUM(F21:F22)</f>
        <v>41041518</v>
      </c>
      <c r="G23" s="519">
        <f t="shared" si="2"/>
        <v>934</v>
      </c>
      <c r="H23" s="519">
        <f t="shared" si="2"/>
        <v>43249246</v>
      </c>
      <c r="I23" s="519">
        <f t="shared" si="2"/>
        <v>2258</v>
      </c>
      <c r="J23" s="519">
        <f t="shared" si="2"/>
        <v>58086370</v>
      </c>
      <c r="K23" s="519">
        <f t="shared" si="2"/>
        <v>1670</v>
      </c>
      <c r="L23" s="519">
        <f t="shared" si="2"/>
        <v>62927990</v>
      </c>
      <c r="M23" s="519">
        <f t="shared" si="2"/>
        <v>803</v>
      </c>
      <c r="N23" s="519">
        <f t="shared" si="2"/>
        <v>48263320</v>
      </c>
      <c r="O23" s="519">
        <f t="shared" si="2"/>
        <v>1893</v>
      </c>
      <c r="P23" s="519">
        <f t="shared" si="2"/>
        <v>41877190</v>
      </c>
      <c r="Q23" s="519">
        <f t="shared" si="2"/>
        <v>950</v>
      </c>
      <c r="R23" s="519">
        <f t="shared" si="2"/>
        <v>38689888</v>
      </c>
      <c r="S23" s="519">
        <f t="shared" si="2"/>
        <v>1246</v>
      </c>
      <c r="T23" s="519">
        <f t="shared" si="2"/>
        <v>38445976</v>
      </c>
      <c r="U23" s="519">
        <f t="shared" si="2"/>
        <v>1431</v>
      </c>
      <c r="V23" s="519">
        <f t="shared" si="2"/>
        <v>27057968</v>
      </c>
      <c r="W23" s="519">
        <f t="shared" si="2"/>
        <v>2725</v>
      </c>
      <c r="X23" s="519">
        <f t="shared" si="2"/>
        <v>40944128</v>
      </c>
      <c r="Y23" s="519">
        <f t="shared" si="2"/>
        <v>2309</v>
      </c>
      <c r="Z23" s="519">
        <f t="shared" si="2"/>
        <v>37728178</v>
      </c>
      <c r="AA23" s="519">
        <f t="shared" si="2"/>
        <v>1311</v>
      </c>
      <c r="AB23" s="519">
        <f t="shared" si="2"/>
        <v>41017966</v>
      </c>
      <c r="AC23" s="519">
        <f t="shared" si="2"/>
        <v>1022</v>
      </c>
      <c r="AD23" s="519">
        <f t="shared" si="2"/>
        <v>37974648</v>
      </c>
      <c r="AE23" s="519">
        <f t="shared" si="2"/>
        <v>1506</v>
      </c>
      <c r="AF23" s="519">
        <f t="shared" si="2"/>
        <v>36201080</v>
      </c>
      <c r="AG23" s="519">
        <f t="shared" si="2"/>
        <v>2520</v>
      </c>
      <c r="AH23" s="519">
        <f t="shared" si="2"/>
        <v>42272136</v>
      </c>
      <c r="AI23" s="519">
        <f t="shared" si="2"/>
        <v>933</v>
      </c>
      <c r="AJ23" s="519">
        <f t="shared" si="2"/>
        <v>38778080</v>
      </c>
      <c r="AK23" s="519">
        <f t="shared" si="2"/>
        <v>3570</v>
      </c>
      <c r="AL23" s="519">
        <f t="shared" si="2"/>
        <v>50114318</v>
      </c>
      <c r="AM23" s="519">
        <f t="shared" si="2"/>
        <v>1</v>
      </c>
      <c r="AN23" s="519">
        <f t="shared" si="2"/>
        <v>100000</v>
      </c>
      <c r="AO23" s="519">
        <f t="shared" si="2"/>
        <v>29816</v>
      </c>
      <c r="AP23" s="519">
        <f t="shared" si="2"/>
        <v>724770000</v>
      </c>
      <c r="AR23" s="61">
        <f>D23-AP23</f>
        <v>0</v>
      </c>
    </row>
    <row r="24" spans="1:44" s="58" customFormat="1">
      <c r="A24" s="520"/>
      <c r="B24" s="520"/>
      <c r="C24" s="523"/>
      <c r="D24" s="523"/>
      <c r="E24" s="508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6"/>
      <c r="AM24" s="516"/>
      <c r="AN24" s="516"/>
      <c r="AO24" s="516"/>
      <c r="AP24" s="517"/>
    </row>
    <row r="25" spans="1:44" s="58" customFormat="1">
      <c r="A25" s="725">
        <v>4</v>
      </c>
      <c r="B25" s="514">
        <v>40000</v>
      </c>
      <c r="C25" s="524" t="str">
        <f>'4.1 '!C5:Q5</f>
        <v>Programme Management</v>
      </c>
      <c r="D25" s="603"/>
      <c r="E25" s="513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6"/>
      <c r="AL25" s="516"/>
      <c r="AM25" s="516"/>
      <c r="AN25" s="516"/>
      <c r="AO25" s="516"/>
      <c r="AP25" s="517"/>
    </row>
    <row r="26" spans="1:44" s="58" customFormat="1" ht="15.75" customHeight="1">
      <c r="A26" s="726"/>
      <c r="B26" s="511">
        <v>41000</v>
      </c>
      <c r="C26" s="521" t="s">
        <v>724</v>
      </c>
      <c r="D26" s="604">
        <f>'Sum, scheme'!D26</f>
        <v>62066000</v>
      </c>
      <c r="E26" s="509">
        <f>'4.1 '!Z87</f>
        <v>0</v>
      </c>
      <c r="F26" s="509">
        <f>'4.1 '!AA87</f>
        <v>0</v>
      </c>
      <c r="G26" s="509">
        <f>'4.1 '!AB87</f>
        <v>0</v>
      </c>
      <c r="H26" s="509">
        <f>'4.1 '!AC87</f>
        <v>0</v>
      </c>
      <c r="I26" s="509">
        <f>'4.1 '!AD87</f>
        <v>0</v>
      </c>
      <c r="J26" s="509">
        <f>'4.1 '!AE87</f>
        <v>0</v>
      </c>
      <c r="K26" s="509">
        <f>'4.1 '!AF87</f>
        <v>0</v>
      </c>
      <c r="L26" s="509">
        <f>'4.1 '!AG87</f>
        <v>0</v>
      </c>
      <c r="M26" s="509">
        <f>'4.1 '!AH87</f>
        <v>0</v>
      </c>
      <c r="N26" s="509">
        <f>'4.1 '!AI87</f>
        <v>0</v>
      </c>
      <c r="O26" s="509">
        <f>'4.1 '!AJ87</f>
        <v>0</v>
      </c>
      <c r="P26" s="509">
        <f>'4.1 '!AK87</f>
        <v>0</v>
      </c>
      <c r="Q26" s="509">
        <f>'4.1 '!AL87</f>
        <v>0</v>
      </c>
      <c r="R26" s="509">
        <f>'4.1 '!AM87</f>
        <v>0</v>
      </c>
      <c r="S26" s="509">
        <f>'4.1 '!AN87</f>
        <v>0</v>
      </c>
      <c r="T26" s="509">
        <f>'4.1 '!AO87</f>
        <v>0</v>
      </c>
      <c r="U26" s="509">
        <f>'4.1 '!AP87</f>
        <v>0</v>
      </c>
      <c r="V26" s="509">
        <f>'4.1 '!AQ87</f>
        <v>0</v>
      </c>
      <c r="W26" s="509">
        <f>'4.1 '!AR87</f>
        <v>0</v>
      </c>
      <c r="X26" s="509">
        <f>'4.1 '!AS87</f>
        <v>0</v>
      </c>
      <c r="Y26" s="509">
        <f>'4.1 '!AT87</f>
        <v>0</v>
      </c>
      <c r="Z26" s="509">
        <f>'4.1 '!AU87</f>
        <v>0</v>
      </c>
      <c r="AA26" s="509">
        <f>'4.1 '!AV87</f>
        <v>0</v>
      </c>
      <c r="AB26" s="509">
        <f>'4.1 '!AW87</f>
        <v>0</v>
      </c>
      <c r="AC26" s="509">
        <f>'4.1 '!AX87</f>
        <v>0</v>
      </c>
      <c r="AD26" s="509">
        <f>'4.1 '!AY87</f>
        <v>0</v>
      </c>
      <c r="AE26" s="509">
        <f>'4.1 '!AZ87</f>
        <v>0</v>
      </c>
      <c r="AF26" s="509">
        <f>'4.1 '!BA87</f>
        <v>0</v>
      </c>
      <c r="AG26" s="509">
        <f>'4.1 '!BB87</f>
        <v>0</v>
      </c>
      <c r="AH26" s="509">
        <f>'4.1 '!BC87</f>
        <v>0</v>
      </c>
      <c r="AI26" s="509">
        <f>'4.1 '!BD87</f>
        <v>0</v>
      </c>
      <c r="AJ26" s="509">
        <f>'4.1 '!BE87</f>
        <v>0</v>
      </c>
      <c r="AK26" s="509">
        <f>'4.1 '!BF87</f>
        <v>0</v>
      </c>
      <c r="AL26" s="509">
        <f>'4.1 '!BG87</f>
        <v>0</v>
      </c>
      <c r="AM26" s="509">
        <f>'4.1 '!BH87</f>
        <v>1363</v>
      </c>
      <c r="AN26" s="509">
        <f>'4.1 '!BI87</f>
        <v>62066000</v>
      </c>
      <c r="AO26" s="509">
        <f>'4.1 '!BJ87</f>
        <v>1363</v>
      </c>
      <c r="AP26" s="517">
        <f>AN26+AL26+AJ26+AH26+AF26+AD26+AB26+Z26+X26+V26+T26+R26+P26+N26+L26+J26+H26+F26</f>
        <v>62066000</v>
      </c>
      <c r="AR26" s="61">
        <f>D26-AP26</f>
        <v>0</v>
      </c>
    </row>
    <row r="27" spans="1:44" s="58" customFormat="1" ht="15.75" customHeight="1">
      <c r="A27" s="726"/>
      <c r="B27" s="511">
        <v>42000</v>
      </c>
      <c r="C27" s="521" t="s">
        <v>725</v>
      </c>
      <c r="D27" s="604">
        <f>'Sum, scheme'!D27</f>
        <v>95668000</v>
      </c>
      <c r="E27" s="509">
        <f>'4.2'!Z55</f>
        <v>209</v>
      </c>
      <c r="F27" s="509">
        <f>'4.2'!AA55</f>
        <v>9188000</v>
      </c>
      <c r="G27" s="509">
        <f>'4.2'!AB55</f>
        <v>195</v>
      </c>
      <c r="H27" s="509">
        <f>'4.2'!AC55</f>
        <v>5693000</v>
      </c>
      <c r="I27" s="509">
        <f>'4.2'!AD55</f>
        <v>187</v>
      </c>
      <c r="J27" s="509">
        <f>'4.2'!AE55</f>
        <v>5268000</v>
      </c>
      <c r="K27" s="509">
        <f>'4.2'!AF55</f>
        <v>187</v>
      </c>
      <c r="L27" s="509">
        <f>'4.2'!AG55</f>
        <v>5268000</v>
      </c>
      <c r="M27" s="509">
        <f>'4.2'!AH55</f>
        <v>188</v>
      </c>
      <c r="N27" s="509">
        <f>'4.2'!AI55</f>
        <v>5428000</v>
      </c>
      <c r="O27" s="509">
        <f>'4.2'!AJ55</f>
        <v>195</v>
      </c>
      <c r="P27" s="509">
        <f>'4.2'!AK55</f>
        <v>5435000</v>
      </c>
      <c r="Q27" s="509">
        <f>'4.2'!AL55</f>
        <v>188</v>
      </c>
      <c r="R27" s="509">
        <f>'4.2'!AM55</f>
        <v>5428000</v>
      </c>
      <c r="S27" s="509">
        <f>'4.2'!AN55</f>
        <v>188</v>
      </c>
      <c r="T27" s="509">
        <f>'4.2'!AO55</f>
        <v>5428000</v>
      </c>
      <c r="U27" s="509">
        <f>'4.2'!AP55</f>
        <v>188</v>
      </c>
      <c r="V27" s="509">
        <f>'4.2'!AQ55</f>
        <v>5428000</v>
      </c>
      <c r="W27" s="509">
        <f>'4.2'!AR55</f>
        <v>188</v>
      </c>
      <c r="X27" s="509">
        <f>'4.2'!AS55</f>
        <v>5428000</v>
      </c>
      <c r="Y27" s="509">
        <f>'4.2'!AT55</f>
        <v>188</v>
      </c>
      <c r="Z27" s="509">
        <f>'4.2'!AU55</f>
        <v>5428000</v>
      </c>
      <c r="AA27" s="509">
        <f>'4.2'!AV55</f>
        <v>188</v>
      </c>
      <c r="AB27" s="509">
        <f>'4.2'!AW55</f>
        <v>5428000</v>
      </c>
      <c r="AC27" s="509">
        <f>'4.2'!AX55</f>
        <v>188</v>
      </c>
      <c r="AD27" s="509">
        <f>'4.2'!AY55</f>
        <v>5428000</v>
      </c>
      <c r="AE27" s="509">
        <f>'4.2'!AZ55</f>
        <v>187</v>
      </c>
      <c r="AF27" s="509">
        <f>'4.2'!BA55</f>
        <v>5268000</v>
      </c>
      <c r="AG27" s="509">
        <f>'4.2'!BB55</f>
        <v>188</v>
      </c>
      <c r="AH27" s="509">
        <f>'4.2'!BC55</f>
        <v>5428000</v>
      </c>
      <c r="AI27" s="509">
        <f>'4.2'!BD55</f>
        <v>187</v>
      </c>
      <c r="AJ27" s="509">
        <f>'4.2'!BE55</f>
        <v>5268000</v>
      </c>
      <c r="AK27" s="509">
        <f>'4.2'!BF55</f>
        <v>188</v>
      </c>
      <c r="AL27" s="509">
        <f>'4.2'!BG55</f>
        <v>5428000</v>
      </c>
      <c r="AM27" s="509">
        <f>'4.2'!BH55</f>
        <v>0</v>
      </c>
      <c r="AN27" s="509">
        <f>'4.2'!BI55</f>
        <v>0</v>
      </c>
      <c r="AO27" s="509">
        <f>'4.2'!BJ55</f>
        <v>3227</v>
      </c>
      <c r="AP27" s="517">
        <f>AN27+AL27+AJ27+AH27+AF27+AD27+AB27+Z27+X27+V27+T27+R27+P27+N27+L27+J27+H27+F27</f>
        <v>95668000</v>
      </c>
      <c r="AR27" s="61">
        <f>D27-AP27</f>
        <v>0</v>
      </c>
    </row>
    <row r="28" spans="1:44" s="58" customFormat="1">
      <c r="A28" s="726"/>
      <c r="B28" s="511">
        <v>43000</v>
      </c>
      <c r="C28" s="521" t="s">
        <v>726</v>
      </c>
      <c r="D28" s="604">
        <f>'Sum, scheme'!D28</f>
        <v>5233000</v>
      </c>
      <c r="E28" s="509">
        <f>'4.3 '!AA35</f>
        <v>13</v>
      </c>
      <c r="F28" s="509">
        <f>'4.3 '!AB35</f>
        <v>40000</v>
      </c>
      <c r="G28" s="509">
        <f>'4.3 '!AC35</f>
        <v>13</v>
      </c>
      <c r="H28" s="509">
        <f>'4.3 '!AD35</f>
        <v>40000</v>
      </c>
      <c r="I28" s="509">
        <f>'4.3 '!AE35</f>
        <v>13</v>
      </c>
      <c r="J28" s="509">
        <f>'4.3 '!AF35</f>
        <v>40000</v>
      </c>
      <c r="K28" s="509">
        <f>'4.3 '!AG35</f>
        <v>13</v>
      </c>
      <c r="L28" s="509">
        <f>'4.3 '!AH35</f>
        <v>58000</v>
      </c>
      <c r="M28" s="509">
        <f>'4.3 '!AI35</f>
        <v>13</v>
      </c>
      <c r="N28" s="509">
        <f>'4.3 '!AJ35</f>
        <v>40000</v>
      </c>
      <c r="O28" s="509">
        <f>'4.3 '!AK35</f>
        <v>13</v>
      </c>
      <c r="P28" s="509">
        <f>'4.3 '!AL35</f>
        <v>40000</v>
      </c>
      <c r="Q28" s="509">
        <f>'4.3 '!AM35</f>
        <v>13</v>
      </c>
      <c r="R28" s="509">
        <f>'4.3 '!AN35</f>
        <v>40000</v>
      </c>
      <c r="S28" s="509">
        <f>'4.3 '!AO35</f>
        <v>13</v>
      </c>
      <c r="T28" s="509">
        <f>'4.3 '!AP35</f>
        <v>40000</v>
      </c>
      <c r="U28" s="509">
        <f>'4.3 '!AQ35</f>
        <v>13</v>
      </c>
      <c r="V28" s="509">
        <f>'4.3 '!AR35</f>
        <v>25000</v>
      </c>
      <c r="W28" s="509">
        <f>'4.3 '!AS35</f>
        <v>13</v>
      </c>
      <c r="X28" s="509">
        <f>'4.3 '!AT35</f>
        <v>40000</v>
      </c>
      <c r="Y28" s="509">
        <f>'4.3 '!AU35</f>
        <v>13</v>
      </c>
      <c r="Z28" s="509">
        <f>'4.3 '!AV35</f>
        <v>40000</v>
      </c>
      <c r="AA28" s="509">
        <f>'4.3 '!AW35</f>
        <v>13</v>
      </c>
      <c r="AB28" s="509">
        <f>'4.3 '!AX35</f>
        <v>40000</v>
      </c>
      <c r="AC28" s="509">
        <f>'4.3 '!AY35</f>
        <v>13</v>
      </c>
      <c r="AD28" s="509">
        <f>'4.3 '!AZ35</f>
        <v>40000</v>
      </c>
      <c r="AE28" s="509">
        <f>'4.3 '!BA35</f>
        <v>13</v>
      </c>
      <c r="AF28" s="509">
        <f>'4.3 '!BB35</f>
        <v>40000</v>
      </c>
      <c r="AG28" s="509">
        <f>'4.3 '!BC35</f>
        <v>13</v>
      </c>
      <c r="AH28" s="509">
        <f>'4.3 '!BD35</f>
        <v>40000</v>
      </c>
      <c r="AI28" s="509">
        <f>'4.3 '!BE35</f>
        <v>13</v>
      </c>
      <c r="AJ28" s="509">
        <f>'4.3 '!BF35</f>
        <v>70000</v>
      </c>
      <c r="AK28" s="509">
        <f>'4.3 '!BG35</f>
        <v>13</v>
      </c>
      <c r="AL28" s="509">
        <f>'4.3 '!BH35</f>
        <v>40000</v>
      </c>
      <c r="AM28" s="509">
        <f>'4.3 '!BI35</f>
        <v>15</v>
      </c>
      <c r="AN28" s="509">
        <f>'4.3 '!BJ35</f>
        <v>4520000</v>
      </c>
      <c r="AO28" s="509">
        <f>'4.3 '!BK35</f>
        <v>236</v>
      </c>
      <c r="AP28" s="517">
        <f>AN28+AL28+AJ28+AH28+AF28+AD28+AB28+Z28+X28+V28+T28+R28+P28+N28+L28+J28+H28+F28</f>
        <v>5233000</v>
      </c>
      <c r="AR28" s="61">
        <f>D28-AP28</f>
        <v>0</v>
      </c>
    </row>
    <row r="29" spans="1:44" s="58" customFormat="1">
      <c r="A29" s="727"/>
      <c r="B29" s="514"/>
      <c r="C29" s="518" t="s">
        <v>3</v>
      </c>
      <c r="D29" s="604">
        <f>'Sum, scheme'!D29</f>
        <v>162967000</v>
      </c>
      <c r="E29" s="283">
        <f>SUM(E26:E28)</f>
        <v>222</v>
      </c>
      <c r="F29" s="283">
        <f t="shared" ref="F29:AP29" si="3">SUM(F26:F28)</f>
        <v>9228000</v>
      </c>
      <c r="G29" s="283">
        <f t="shared" si="3"/>
        <v>208</v>
      </c>
      <c r="H29" s="283">
        <f t="shared" si="3"/>
        <v>5733000</v>
      </c>
      <c r="I29" s="283">
        <f t="shared" si="3"/>
        <v>200</v>
      </c>
      <c r="J29" s="283">
        <f t="shared" si="3"/>
        <v>5308000</v>
      </c>
      <c r="K29" s="283">
        <f t="shared" si="3"/>
        <v>200</v>
      </c>
      <c r="L29" s="283">
        <f t="shared" si="3"/>
        <v>5326000</v>
      </c>
      <c r="M29" s="283">
        <f t="shared" si="3"/>
        <v>201</v>
      </c>
      <c r="N29" s="283">
        <f t="shared" si="3"/>
        <v>5468000</v>
      </c>
      <c r="O29" s="283">
        <f t="shared" si="3"/>
        <v>208</v>
      </c>
      <c r="P29" s="283">
        <f t="shared" si="3"/>
        <v>5475000</v>
      </c>
      <c r="Q29" s="283">
        <f t="shared" si="3"/>
        <v>201</v>
      </c>
      <c r="R29" s="283">
        <f t="shared" si="3"/>
        <v>5468000</v>
      </c>
      <c r="S29" s="283">
        <f t="shared" si="3"/>
        <v>201</v>
      </c>
      <c r="T29" s="283">
        <f t="shared" si="3"/>
        <v>5468000</v>
      </c>
      <c r="U29" s="283">
        <f t="shared" si="3"/>
        <v>201</v>
      </c>
      <c r="V29" s="283">
        <f t="shared" si="3"/>
        <v>5453000</v>
      </c>
      <c r="W29" s="283">
        <f t="shared" si="3"/>
        <v>201</v>
      </c>
      <c r="X29" s="283">
        <f t="shared" si="3"/>
        <v>5468000</v>
      </c>
      <c r="Y29" s="283">
        <f t="shared" si="3"/>
        <v>201</v>
      </c>
      <c r="Z29" s="283">
        <f t="shared" si="3"/>
        <v>5468000</v>
      </c>
      <c r="AA29" s="283">
        <f t="shared" si="3"/>
        <v>201</v>
      </c>
      <c r="AB29" s="283">
        <f t="shared" si="3"/>
        <v>5468000</v>
      </c>
      <c r="AC29" s="283">
        <f t="shared" si="3"/>
        <v>201</v>
      </c>
      <c r="AD29" s="283">
        <f t="shared" si="3"/>
        <v>5468000</v>
      </c>
      <c r="AE29" s="283">
        <f t="shared" si="3"/>
        <v>200</v>
      </c>
      <c r="AF29" s="283">
        <f t="shared" si="3"/>
        <v>5308000</v>
      </c>
      <c r="AG29" s="283">
        <f t="shared" si="3"/>
        <v>201</v>
      </c>
      <c r="AH29" s="283">
        <f t="shared" si="3"/>
        <v>5468000</v>
      </c>
      <c r="AI29" s="283">
        <f t="shared" si="3"/>
        <v>200</v>
      </c>
      <c r="AJ29" s="283">
        <f t="shared" si="3"/>
        <v>5338000</v>
      </c>
      <c r="AK29" s="283">
        <f t="shared" si="3"/>
        <v>201</v>
      </c>
      <c r="AL29" s="283">
        <f t="shared" si="3"/>
        <v>5468000</v>
      </c>
      <c r="AM29" s="283">
        <f t="shared" si="3"/>
        <v>1378</v>
      </c>
      <c r="AN29" s="283">
        <f t="shared" si="3"/>
        <v>66586000</v>
      </c>
      <c r="AO29" s="283">
        <f t="shared" si="3"/>
        <v>4826</v>
      </c>
      <c r="AP29" s="283">
        <f t="shared" si="3"/>
        <v>162967000</v>
      </c>
      <c r="AR29" s="61">
        <f>D29-AP29</f>
        <v>0</v>
      </c>
    </row>
    <row r="30" spans="1:44" s="58" customFormat="1">
      <c r="A30" s="520"/>
      <c r="B30" s="520"/>
      <c r="C30" s="520"/>
      <c r="D30" s="604"/>
      <c r="E30" s="284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516"/>
      <c r="AO30" s="516"/>
      <c r="AP30" s="517"/>
    </row>
    <row r="31" spans="1:44" s="58" customFormat="1">
      <c r="A31" s="728" t="s">
        <v>4</v>
      </c>
      <c r="B31" s="729"/>
      <c r="C31" s="730"/>
      <c r="D31" s="604">
        <f>D12+D18+D23+D29</f>
        <v>2439113892</v>
      </c>
      <c r="E31" s="283">
        <f>E29+E23+E18+E12</f>
        <v>8331</v>
      </c>
      <c r="F31" s="283">
        <f t="shared" ref="F31:AP31" si="4">F29+F23+F18+F12</f>
        <v>148268368</v>
      </c>
      <c r="G31" s="283">
        <f t="shared" si="4"/>
        <v>4442</v>
      </c>
      <c r="H31" s="283">
        <f t="shared" si="4"/>
        <v>110847196</v>
      </c>
      <c r="I31" s="283">
        <f t="shared" si="4"/>
        <v>8633</v>
      </c>
      <c r="J31" s="283">
        <f t="shared" si="4"/>
        <v>169509120</v>
      </c>
      <c r="K31" s="283">
        <f t="shared" si="4"/>
        <v>9496</v>
      </c>
      <c r="L31" s="283">
        <f t="shared" si="4"/>
        <v>183836490</v>
      </c>
      <c r="M31" s="283">
        <f t="shared" si="4"/>
        <v>5956</v>
      </c>
      <c r="N31" s="283">
        <f t="shared" si="4"/>
        <v>133922280</v>
      </c>
      <c r="O31" s="283">
        <f t="shared" si="4"/>
        <v>7347</v>
      </c>
      <c r="P31" s="283">
        <f t="shared" si="4"/>
        <v>132624140</v>
      </c>
      <c r="Q31" s="283">
        <f t="shared" si="4"/>
        <v>5392.4</v>
      </c>
      <c r="R31" s="283">
        <f t="shared" si="4"/>
        <v>125739838</v>
      </c>
      <c r="S31" s="283">
        <f t="shared" si="4"/>
        <v>8186</v>
      </c>
      <c r="T31" s="283">
        <f t="shared" si="4"/>
        <v>131543826</v>
      </c>
      <c r="U31" s="283">
        <f t="shared" si="4"/>
        <v>4075</v>
      </c>
      <c r="V31" s="283">
        <f t="shared" si="4"/>
        <v>72987418</v>
      </c>
      <c r="W31" s="283">
        <f t="shared" si="4"/>
        <v>7599</v>
      </c>
      <c r="X31" s="283">
        <f t="shared" si="4"/>
        <v>133070628</v>
      </c>
      <c r="Y31" s="283">
        <f t="shared" si="4"/>
        <v>8038</v>
      </c>
      <c r="Z31" s="283">
        <f t="shared" si="4"/>
        <v>127642328</v>
      </c>
      <c r="AA31" s="283">
        <f t="shared" si="4"/>
        <v>7248</v>
      </c>
      <c r="AB31" s="283">
        <f t="shared" si="4"/>
        <v>120890516</v>
      </c>
      <c r="AC31" s="283">
        <f t="shared" si="4"/>
        <v>7855</v>
      </c>
      <c r="AD31" s="283">
        <f t="shared" si="4"/>
        <v>136058298</v>
      </c>
      <c r="AE31" s="283">
        <f t="shared" si="4"/>
        <v>8622</v>
      </c>
      <c r="AF31" s="283">
        <f t="shared" si="4"/>
        <v>127653612</v>
      </c>
      <c r="AG31" s="283">
        <f t="shared" si="4"/>
        <v>8563</v>
      </c>
      <c r="AH31" s="283">
        <f t="shared" si="4"/>
        <v>143092336</v>
      </c>
      <c r="AI31" s="283">
        <f t="shared" si="4"/>
        <v>10421</v>
      </c>
      <c r="AJ31" s="283">
        <f t="shared" si="4"/>
        <v>166227730</v>
      </c>
      <c r="AK31" s="283">
        <f t="shared" si="4"/>
        <v>8980</v>
      </c>
      <c r="AL31" s="283">
        <f t="shared" si="4"/>
        <v>156695768</v>
      </c>
      <c r="AM31" s="283">
        <f t="shared" si="4"/>
        <v>3183</v>
      </c>
      <c r="AN31" s="283">
        <f t="shared" si="4"/>
        <v>110114000</v>
      </c>
      <c r="AO31" s="283">
        <f t="shared" si="4"/>
        <v>132285.4</v>
      </c>
      <c r="AP31" s="283">
        <f t="shared" si="4"/>
        <v>2439113892</v>
      </c>
      <c r="AR31" s="61">
        <f>D31-AP31</f>
        <v>0</v>
      </c>
    </row>
    <row r="32" spans="1:44">
      <c r="A32" s="279"/>
      <c r="B32" s="279"/>
      <c r="C32" s="279"/>
      <c r="D32" s="279"/>
      <c r="E32" s="279"/>
    </row>
    <row r="33" spans="1:25" hidden="1">
      <c r="A33" s="285" t="s">
        <v>211</v>
      </c>
      <c r="B33" s="286"/>
      <c r="C33" s="286"/>
      <c r="D33" s="286"/>
      <c r="E33" s="287"/>
    </row>
    <row r="34" spans="1:25">
      <c r="A34" s="288"/>
      <c r="B34" s="722"/>
      <c r="C34" s="722"/>
      <c r="D34" s="537"/>
      <c r="E34" s="288"/>
    </row>
    <row r="35" spans="1:25">
      <c r="A35" s="288"/>
      <c r="B35" s="288"/>
      <c r="C35" s="288"/>
      <c r="D35" s="288"/>
      <c r="E35" s="288"/>
    </row>
    <row r="36" spans="1:25">
      <c r="E36" s="289"/>
      <c r="X36" s="272"/>
      <c r="Y36" s="272"/>
    </row>
    <row r="37" spans="1:25">
      <c r="X37" s="272"/>
      <c r="Y37" s="272"/>
    </row>
    <row r="38" spans="1:25">
      <c r="E38" s="272"/>
    </row>
    <row r="40" spans="1:25">
      <c r="X40" s="272"/>
      <c r="Y40" s="272"/>
    </row>
    <row r="41" spans="1:25">
      <c r="X41" s="272"/>
      <c r="Y41" s="272"/>
    </row>
    <row r="42" spans="1:25">
      <c r="X42" s="272"/>
      <c r="Y42" s="272"/>
    </row>
    <row r="43" spans="1:25">
      <c r="X43" s="295"/>
      <c r="Y43" s="295"/>
    </row>
  </sheetData>
  <mergeCells count="33">
    <mergeCell ref="U7:V7"/>
    <mergeCell ref="S7:T7"/>
    <mergeCell ref="AE7:AF7"/>
    <mergeCell ref="AC7:AD7"/>
    <mergeCell ref="AA7:AB7"/>
    <mergeCell ref="Y7:Z7"/>
    <mergeCell ref="W7:X7"/>
    <mergeCell ref="AO7:AP7"/>
    <mergeCell ref="AM7:AN7"/>
    <mergeCell ref="AK7:AL7"/>
    <mergeCell ref="AI7:AJ7"/>
    <mergeCell ref="AG7:AH7"/>
    <mergeCell ref="Q7:R7"/>
    <mergeCell ref="O7:P7"/>
    <mergeCell ref="M7:N7"/>
    <mergeCell ref="A1:C1"/>
    <mergeCell ref="A2:C2"/>
    <mergeCell ref="A3:C3"/>
    <mergeCell ref="A4:C4"/>
    <mergeCell ref="A6:A7"/>
    <mergeCell ref="B6:B7"/>
    <mergeCell ref="C6:C7"/>
    <mergeCell ref="K7:L7"/>
    <mergeCell ref="I7:J7"/>
    <mergeCell ref="G7:H7"/>
    <mergeCell ref="E7:F7"/>
    <mergeCell ref="B34:C34"/>
    <mergeCell ref="A8:C8"/>
    <mergeCell ref="A9:A12"/>
    <mergeCell ref="A14:A18"/>
    <mergeCell ref="A20:A23"/>
    <mergeCell ref="A25:A29"/>
    <mergeCell ref="A31:C31"/>
  </mergeCells>
  <pageMargins left="0.25" right="0.25" top="0.75" bottom="0.75" header="0.3" footer="0.3"/>
  <pageSetup paperSize="9" scale="65" fitToHeight="0" orientation="landscape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="85" zoomScaleNormal="85" workbookViewId="0">
      <selection activeCell="P12" sqref="P12"/>
    </sheetView>
  </sheetViews>
  <sheetFormatPr defaultRowHeight="15"/>
  <cols>
    <col min="1" max="1" width="6" bestFit="1" customWidth="1"/>
    <col min="2" max="2" width="19.28515625" bestFit="1" customWidth="1"/>
    <col min="3" max="3" width="23.85546875" customWidth="1"/>
    <col min="4" max="4" width="10.42578125" customWidth="1"/>
    <col min="5" max="5" width="21.7109375" customWidth="1"/>
    <col min="6" max="6" width="13.140625" customWidth="1"/>
    <col min="7" max="7" width="11" customWidth="1"/>
    <col min="8" max="8" width="13.7109375" customWidth="1"/>
    <col min="9" max="9" width="8.7109375" customWidth="1"/>
    <col min="10" max="10" width="11.7109375" customWidth="1"/>
    <col min="11" max="12" width="15.7109375" customWidth="1"/>
    <col min="13" max="23" width="15.42578125" customWidth="1"/>
    <col min="24" max="39" width="6.5703125" customWidth="1"/>
  </cols>
  <sheetData>
    <row r="1" spans="1:13" s="29" customFormat="1" ht="15.75">
      <c r="A1" s="743" t="s">
        <v>727</v>
      </c>
      <c r="B1" s="743"/>
      <c r="C1" s="743"/>
      <c r="D1" s="743"/>
      <c r="E1" s="743"/>
      <c r="F1" s="743"/>
      <c r="G1" s="743"/>
      <c r="H1" s="743"/>
    </row>
    <row r="2" spans="1:13" s="29" customFormat="1" ht="78.75">
      <c r="A2" s="276" t="s">
        <v>416</v>
      </c>
      <c r="B2" s="276" t="s">
        <v>417</v>
      </c>
      <c r="C2" s="276" t="s">
        <v>779</v>
      </c>
      <c r="D2" s="290" t="s">
        <v>811</v>
      </c>
      <c r="E2" s="507" t="s">
        <v>425</v>
      </c>
      <c r="F2" s="173" t="s">
        <v>816</v>
      </c>
      <c r="G2" s="290" t="s">
        <v>817</v>
      </c>
      <c r="H2" s="28" t="s">
        <v>778</v>
      </c>
      <c r="I2" s="28" t="s">
        <v>815</v>
      </c>
      <c r="J2" s="28" t="s">
        <v>814</v>
      </c>
      <c r="K2" s="28" t="s">
        <v>813</v>
      </c>
      <c r="L2" s="625" t="s">
        <v>812</v>
      </c>
    </row>
    <row r="3" spans="1:13" s="29" customFormat="1" ht="15.75">
      <c r="A3" s="79">
        <v>1</v>
      </c>
      <c r="B3" s="274" t="s">
        <v>192</v>
      </c>
      <c r="C3" s="78">
        <f>'Sum , MPA'!F31</f>
        <v>148268368</v>
      </c>
      <c r="D3" s="78">
        <f>C3/10000000</f>
        <v>14.826836800000001</v>
      </c>
      <c r="E3" s="78">
        <f>0.386*C3</f>
        <v>57231590.048</v>
      </c>
      <c r="F3" s="78">
        <f>E3/10000000</f>
        <v>5.7231590048000003</v>
      </c>
      <c r="G3" s="291">
        <f>13148/M3*100*E21/1000000000</f>
        <v>9.1848284091088406</v>
      </c>
      <c r="H3" s="628">
        <v>13148</v>
      </c>
      <c r="I3" s="626">
        <v>48</v>
      </c>
      <c r="J3" s="292">
        <f>I3/I21*100</f>
        <v>4.304932735426009</v>
      </c>
      <c r="K3" s="292">
        <f>90.1*J3/100</f>
        <v>3.8787443946188334</v>
      </c>
      <c r="L3" s="624">
        <f>243*J3/100</f>
        <v>10.460986547085202</v>
      </c>
      <c r="M3" s="29">
        <v>134311</v>
      </c>
    </row>
    <row r="4" spans="1:13" s="29" customFormat="1" ht="15.75">
      <c r="A4" s="79">
        <v>2</v>
      </c>
      <c r="B4" s="274" t="s">
        <v>193</v>
      </c>
      <c r="C4" s="78">
        <f>'Sum , MPA'!H31</f>
        <v>110847196</v>
      </c>
      <c r="D4" s="78">
        <f t="shared" ref="D4:D21" si="0">C4/10000000</f>
        <v>11.0847196</v>
      </c>
      <c r="E4" s="78">
        <f t="shared" ref="E4:E20" si="1">0.386*C4</f>
        <v>42787017.656000003</v>
      </c>
      <c r="F4" s="78">
        <f t="shared" ref="F4:F21" si="2">E4/10000000</f>
        <v>4.2787017656000002</v>
      </c>
      <c r="G4" s="291">
        <f>3527/M3*100*E21/1000000000</f>
        <v>2.4638644507854339</v>
      </c>
      <c r="H4" s="628">
        <v>3527</v>
      </c>
      <c r="I4" s="626">
        <v>23</v>
      </c>
      <c r="J4" s="292">
        <f>I4/I21*100</f>
        <v>2.0627802690582961</v>
      </c>
      <c r="K4" s="292">
        <f t="shared" ref="K4:K19" si="3">90.1*J4/100</f>
        <v>1.8585650224215247</v>
      </c>
      <c r="L4" s="624">
        <f t="shared" ref="L4:L20" si="4">243*J4/100</f>
        <v>5.0125560538116591</v>
      </c>
      <c r="M4" s="29" t="s">
        <v>818</v>
      </c>
    </row>
    <row r="5" spans="1:13" s="29" customFormat="1" ht="13.5" customHeight="1">
      <c r="A5" s="79">
        <v>3</v>
      </c>
      <c r="B5" s="274" t="s">
        <v>194</v>
      </c>
      <c r="C5" s="78">
        <f>'Sum , MPA'!J31</f>
        <v>169509120</v>
      </c>
      <c r="D5" s="78">
        <f t="shared" si="0"/>
        <v>16.950911999999999</v>
      </c>
      <c r="E5" s="78">
        <f t="shared" si="1"/>
        <v>65430520.32</v>
      </c>
      <c r="F5" s="78">
        <f t="shared" si="2"/>
        <v>6.5430520320000003</v>
      </c>
      <c r="G5" s="291">
        <f>H5/H21*100*E21/1000000000</f>
        <v>7.3699376115073232</v>
      </c>
      <c r="H5" s="628">
        <v>10550</v>
      </c>
      <c r="I5" s="626">
        <v>80</v>
      </c>
      <c r="J5" s="292">
        <f>I5/I21*100</f>
        <v>7.1748878923766819</v>
      </c>
      <c r="K5" s="292">
        <f t="shared" si="3"/>
        <v>6.46457399103139</v>
      </c>
      <c r="L5" s="624">
        <f t="shared" si="4"/>
        <v>17.434977578475337</v>
      </c>
    </row>
    <row r="6" spans="1:13" s="29" customFormat="1" ht="15.75">
      <c r="A6" s="79">
        <v>4</v>
      </c>
      <c r="B6" s="606" t="s">
        <v>195</v>
      </c>
      <c r="C6" s="78">
        <f>'Sum , MPA'!L31</f>
        <v>183836490</v>
      </c>
      <c r="D6" s="78">
        <f t="shared" si="0"/>
        <v>18.383648999999998</v>
      </c>
      <c r="E6" s="78">
        <f t="shared" si="1"/>
        <v>70960885.140000001</v>
      </c>
      <c r="F6" s="278">
        <f t="shared" si="2"/>
        <v>7.0960885139999998</v>
      </c>
      <c r="G6" s="607">
        <f>H6/H21*100*E21/1000000000</f>
        <v>5.1072619789317573</v>
      </c>
      <c r="H6" s="628">
        <v>7311</v>
      </c>
      <c r="I6" s="626">
        <v>105</v>
      </c>
      <c r="J6" s="292">
        <f>I6/I21*100</f>
        <v>9.4170403587443943</v>
      </c>
      <c r="K6" s="292">
        <f t="shared" si="3"/>
        <v>8.4847533632286982</v>
      </c>
      <c r="L6" s="624">
        <f t="shared" si="4"/>
        <v>22.883408071748878</v>
      </c>
    </row>
    <row r="7" spans="1:13" s="29" customFormat="1" ht="15.75">
      <c r="A7" s="79">
        <v>5</v>
      </c>
      <c r="B7" s="606" t="s">
        <v>196</v>
      </c>
      <c r="C7" s="78">
        <f>'Sum , MPA'!N31</f>
        <v>133922280</v>
      </c>
      <c r="D7" s="78">
        <f t="shared" si="0"/>
        <v>13.392227999999999</v>
      </c>
      <c r="E7" s="78">
        <f t="shared" si="1"/>
        <v>51694000.079999998</v>
      </c>
      <c r="F7" s="278">
        <f t="shared" si="2"/>
        <v>5.1694000080000002</v>
      </c>
      <c r="G7" s="607">
        <f>H7/H21*100*E21/1000000000</f>
        <v>1.9671795558298217</v>
      </c>
      <c r="H7" s="628">
        <v>2816</v>
      </c>
      <c r="I7" s="626">
        <v>43</v>
      </c>
      <c r="J7" s="292">
        <f>I7/I21*100</f>
        <v>3.8565022421524668</v>
      </c>
      <c r="K7" s="292">
        <f t="shared" si="3"/>
        <v>3.4747085201793726</v>
      </c>
      <c r="L7" s="624">
        <f t="shared" si="4"/>
        <v>9.3713004484304943</v>
      </c>
    </row>
    <row r="8" spans="1:13" s="29" customFormat="1" ht="15.75">
      <c r="A8" s="79">
        <v>6</v>
      </c>
      <c r="B8" s="274" t="s">
        <v>197</v>
      </c>
      <c r="C8" s="78">
        <f>'Sum , MPA'!P31</f>
        <v>132624140</v>
      </c>
      <c r="D8" s="78">
        <f t="shared" si="0"/>
        <v>13.262414</v>
      </c>
      <c r="E8" s="78">
        <f t="shared" si="1"/>
        <v>51192918.039999999</v>
      </c>
      <c r="F8" s="78">
        <f t="shared" si="2"/>
        <v>5.1192918039999995</v>
      </c>
      <c r="G8" s="291">
        <f>H8/H21*100*E21/1000000000</f>
        <v>6.0510331365759642</v>
      </c>
      <c r="H8" s="628">
        <v>8662</v>
      </c>
      <c r="I8" s="626">
        <v>76</v>
      </c>
      <c r="J8" s="292">
        <f>I8/I21*100</f>
        <v>6.8161434977578468</v>
      </c>
      <c r="K8" s="292">
        <f t="shared" si="3"/>
        <v>6.1413452914798201</v>
      </c>
      <c r="L8" s="624">
        <f t="shared" si="4"/>
        <v>16.563228699551569</v>
      </c>
    </row>
    <row r="9" spans="1:13" s="29" customFormat="1" ht="15.75">
      <c r="A9" s="79">
        <v>7</v>
      </c>
      <c r="B9" s="606" t="s">
        <v>198</v>
      </c>
      <c r="C9" s="78">
        <f>'Sum , MPA'!R31</f>
        <v>125739838</v>
      </c>
      <c r="D9" s="78">
        <f t="shared" si="0"/>
        <v>12.573983800000001</v>
      </c>
      <c r="E9" s="78">
        <f t="shared" si="1"/>
        <v>48535577.468000002</v>
      </c>
      <c r="F9" s="278">
        <f t="shared" si="2"/>
        <v>4.8535577468</v>
      </c>
      <c r="G9" s="607">
        <f>H9/H21*E21*100/1000000000</f>
        <v>2.4785344687799031</v>
      </c>
      <c r="H9" s="628">
        <v>3548</v>
      </c>
      <c r="I9" s="626">
        <v>41</v>
      </c>
      <c r="J9" s="292">
        <f>I9/I21*100</f>
        <v>3.6771300448430493</v>
      </c>
      <c r="K9" s="292">
        <f t="shared" si="3"/>
        <v>3.3130941704035872</v>
      </c>
      <c r="L9" s="624">
        <f t="shared" si="4"/>
        <v>8.9354260089686104</v>
      </c>
    </row>
    <row r="10" spans="1:13" s="29" customFormat="1" ht="15.75">
      <c r="A10" s="79">
        <v>8</v>
      </c>
      <c r="B10" s="274" t="s">
        <v>199</v>
      </c>
      <c r="C10" s="78">
        <f>'Sum , MPA'!T31</f>
        <v>131543826</v>
      </c>
      <c r="D10" s="78">
        <f t="shared" si="0"/>
        <v>13.1543826</v>
      </c>
      <c r="E10" s="78">
        <f t="shared" si="1"/>
        <v>50775916.836000003</v>
      </c>
      <c r="F10" s="78">
        <f t="shared" si="2"/>
        <v>5.0775916836000006</v>
      </c>
      <c r="G10" s="291">
        <f>H10/H21*E21*100/1000000000</f>
        <v>3.5508429269470825</v>
      </c>
      <c r="H10" s="629">
        <v>5083</v>
      </c>
      <c r="I10" s="626">
        <v>101</v>
      </c>
      <c r="J10" s="292">
        <f>I10/I21*100</f>
        <v>9.0582959641255609</v>
      </c>
      <c r="K10" s="292">
        <f t="shared" si="3"/>
        <v>8.161524663677131</v>
      </c>
      <c r="L10" s="624">
        <f t="shared" si="4"/>
        <v>22.011659192825114</v>
      </c>
    </row>
    <row r="11" spans="1:13" s="29" customFormat="1" ht="15.75">
      <c r="A11" s="79">
        <v>9</v>
      </c>
      <c r="B11" s="274" t="s">
        <v>200</v>
      </c>
      <c r="C11" s="78">
        <f>'Sum , MPA'!V31</f>
        <v>72987418</v>
      </c>
      <c r="D11" s="78">
        <f t="shared" si="0"/>
        <v>7.2987418000000002</v>
      </c>
      <c r="E11" s="78">
        <f t="shared" si="1"/>
        <v>28173143.348000001</v>
      </c>
      <c r="F11" s="278">
        <f t="shared" si="2"/>
        <v>2.8173143348000003</v>
      </c>
      <c r="G11" s="607">
        <f>H11/H21*100*E21/1000000000</f>
        <v>4.732128661644607</v>
      </c>
      <c r="H11" s="628">
        <v>6774</v>
      </c>
      <c r="I11" s="626">
        <v>8</v>
      </c>
      <c r="J11" s="292">
        <f>I11/I21*100</f>
        <v>0.71748878923766812</v>
      </c>
      <c r="K11" s="292">
        <f t="shared" si="3"/>
        <v>0.64645739910313893</v>
      </c>
      <c r="L11" s="624">
        <f t="shared" si="4"/>
        <v>1.7434977578475335</v>
      </c>
    </row>
    <row r="12" spans="1:13" s="29" customFormat="1" ht="15.75">
      <c r="A12" s="79">
        <v>10</v>
      </c>
      <c r="B12" s="274" t="s">
        <v>201</v>
      </c>
      <c r="C12" s="78">
        <f>'Sum , MPA'!X31</f>
        <v>133070628</v>
      </c>
      <c r="D12" s="78">
        <f t="shared" si="0"/>
        <v>13.307062800000001</v>
      </c>
      <c r="E12" s="78">
        <f t="shared" si="1"/>
        <v>51365262.408</v>
      </c>
      <c r="F12" s="278">
        <f t="shared" si="2"/>
        <v>5.1365262408000003</v>
      </c>
      <c r="G12" s="607">
        <f>H12/H21*E21*100/1000000000</f>
        <v>9.2365227582322103</v>
      </c>
      <c r="H12" s="628">
        <v>13222</v>
      </c>
      <c r="I12" s="626">
        <v>33</v>
      </c>
      <c r="J12" s="292">
        <f>I12/I21*100</f>
        <v>2.9596412556053813</v>
      </c>
      <c r="K12" s="292">
        <f t="shared" si="3"/>
        <v>2.6666367713004484</v>
      </c>
      <c r="L12" s="624">
        <f t="shared" si="4"/>
        <v>7.1919282511210767</v>
      </c>
    </row>
    <row r="13" spans="1:13" s="29" customFormat="1" ht="15.75">
      <c r="A13" s="79">
        <v>11</v>
      </c>
      <c r="B13" s="274" t="s">
        <v>202</v>
      </c>
      <c r="C13" s="78">
        <f>'Sum , MPA'!Z31</f>
        <v>127642328</v>
      </c>
      <c r="D13" s="78">
        <f t="shared" si="0"/>
        <v>12.7642328</v>
      </c>
      <c r="E13" s="78">
        <f t="shared" si="1"/>
        <v>49269938.608000003</v>
      </c>
      <c r="F13" s="278">
        <f t="shared" si="2"/>
        <v>4.9269938608000006</v>
      </c>
      <c r="G13" s="607">
        <f>H13/H21*E21*100/1000000000</f>
        <v>7.5941793151370707</v>
      </c>
      <c r="H13" s="628">
        <v>10871</v>
      </c>
      <c r="I13" s="626">
        <v>53</v>
      </c>
      <c r="J13" s="292">
        <f>I13/I21*100</f>
        <v>4.753363228699552</v>
      </c>
      <c r="K13" s="292">
        <f t="shared" si="3"/>
        <v>4.2827802690582963</v>
      </c>
      <c r="L13" s="624">
        <f t="shared" si="4"/>
        <v>11.550672645739912</v>
      </c>
    </row>
    <row r="14" spans="1:13" s="29" customFormat="1" ht="15.75">
      <c r="A14" s="79">
        <v>12</v>
      </c>
      <c r="B14" s="274" t="s">
        <v>203</v>
      </c>
      <c r="C14" s="78">
        <f>'Sum , MPA'!AB31</f>
        <v>120890516</v>
      </c>
      <c r="D14" s="78">
        <f t="shared" si="0"/>
        <v>12.089051599999999</v>
      </c>
      <c r="E14" s="78">
        <f t="shared" si="1"/>
        <v>46663739.175999999</v>
      </c>
      <c r="F14" s="78">
        <f t="shared" si="2"/>
        <v>4.6663739175999996</v>
      </c>
      <c r="G14" s="291">
        <f>H14/H21*E21*100/1000000000</f>
        <v>3.9664934367903859</v>
      </c>
      <c r="H14" s="628">
        <v>5678</v>
      </c>
      <c r="I14" s="626">
        <v>52</v>
      </c>
      <c r="J14" s="292">
        <f>I14/I21*100</f>
        <v>4.6636771300448432</v>
      </c>
      <c r="K14" s="292">
        <f t="shared" si="3"/>
        <v>4.2019730941704037</v>
      </c>
      <c r="L14" s="624">
        <f t="shared" si="4"/>
        <v>11.33273542600897</v>
      </c>
    </row>
    <row r="15" spans="1:13" s="29" customFormat="1" ht="15.75">
      <c r="A15" s="79">
        <v>13</v>
      </c>
      <c r="B15" s="274" t="s">
        <v>204</v>
      </c>
      <c r="C15" s="78">
        <f>'Sum , MPA'!AD31</f>
        <v>136058298</v>
      </c>
      <c r="D15" s="78">
        <f t="shared" si="0"/>
        <v>13.6058298</v>
      </c>
      <c r="E15" s="78">
        <f t="shared" si="1"/>
        <v>52518503.028000005</v>
      </c>
      <c r="F15" s="278">
        <f t="shared" si="2"/>
        <v>5.2518503028000003</v>
      </c>
      <c r="G15" s="607">
        <f>H15/H21*E21*100/1000000000</f>
        <v>2.755867666103923</v>
      </c>
      <c r="H15" s="628">
        <v>3945</v>
      </c>
      <c r="I15" s="626">
        <v>76</v>
      </c>
      <c r="J15" s="292">
        <f>I15/I21*100</f>
        <v>6.8161434977578468</v>
      </c>
      <c r="K15" s="292">
        <f t="shared" si="3"/>
        <v>6.1413452914798201</v>
      </c>
      <c r="L15" s="624">
        <f t="shared" si="4"/>
        <v>16.563228699551569</v>
      </c>
    </row>
    <row r="16" spans="1:13" s="29" customFormat="1" ht="15.75">
      <c r="A16" s="79">
        <v>14</v>
      </c>
      <c r="B16" s="274" t="s">
        <v>205</v>
      </c>
      <c r="C16" s="78">
        <f>'Sum , MPA'!AF31</f>
        <v>127653612</v>
      </c>
      <c r="D16" s="78">
        <f t="shared" si="0"/>
        <v>12.765361199999999</v>
      </c>
      <c r="E16" s="78">
        <f t="shared" si="1"/>
        <v>49274294.232000001</v>
      </c>
      <c r="F16" s="78">
        <f t="shared" si="2"/>
        <v>4.9274294232000004</v>
      </c>
      <c r="G16" s="291">
        <f>H16/H21*E21*100/1000000000</f>
        <v>4.594509921410773</v>
      </c>
      <c r="H16" s="628">
        <v>6577</v>
      </c>
      <c r="I16" s="626">
        <v>82</v>
      </c>
      <c r="J16" s="292">
        <f>I16/I21*100</f>
        <v>7.3542600896860986</v>
      </c>
      <c r="K16" s="292">
        <f t="shared" si="3"/>
        <v>6.6261883408071744</v>
      </c>
      <c r="L16" s="624">
        <f t="shared" si="4"/>
        <v>17.870852017937221</v>
      </c>
    </row>
    <row r="17" spans="1:39" s="29" customFormat="1" ht="15.75">
      <c r="A17" s="79">
        <v>15</v>
      </c>
      <c r="B17" s="274" t="s">
        <v>206</v>
      </c>
      <c r="C17" s="78">
        <f>'Sum , MPA'!AH31</f>
        <v>143092336</v>
      </c>
      <c r="D17" s="78">
        <f t="shared" si="0"/>
        <v>14.309233600000001</v>
      </c>
      <c r="E17" s="78">
        <f t="shared" si="1"/>
        <v>55233641.696000002</v>
      </c>
      <c r="F17" s="278">
        <f t="shared" si="2"/>
        <v>5.5233641696000007</v>
      </c>
      <c r="G17" s="607">
        <f>H17/H21*E21*100/1000000000</f>
        <v>8.0545384512492344</v>
      </c>
      <c r="H17" s="630">
        <v>11530</v>
      </c>
      <c r="I17" s="626">
        <v>93</v>
      </c>
      <c r="J17" s="292">
        <f>I17/I21*100</f>
        <v>8.3408071748878925</v>
      </c>
      <c r="K17" s="292">
        <f t="shared" si="3"/>
        <v>7.5150672645739904</v>
      </c>
      <c r="L17" s="624">
        <f t="shared" si="4"/>
        <v>20.268161434977578</v>
      </c>
    </row>
    <row r="18" spans="1:39" s="266" customFormat="1" ht="15.75">
      <c r="A18" s="79">
        <v>16</v>
      </c>
      <c r="B18" s="274" t="s">
        <v>207</v>
      </c>
      <c r="C18" s="78">
        <f>'Sum , MPA'!AJ31</f>
        <v>166227730</v>
      </c>
      <c r="D18" s="78">
        <f t="shared" si="0"/>
        <v>16.622772999999999</v>
      </c>
      <c r="E18" s="78">
        <f t="shared" si="1"/>
        <v>64163903.780000001</v>
      </c>
      <c r="F18" s="278">
        <f t="shared" si="2"/>
        <v>6.416390378</v>
      </c>
      <c r="G18" s="607">
        <f>H18/H21*E21*100/1000000000</f>
        <v>2.2473070422956454</v>
      </c>
      <c r="H18" s="628">
        <v>3217</v>
      </c>
      <c r="I18" s="626">
        <v>147</v>
      </c>
      <c r="J18" s="292">
        <f>I18/I21*100</f>
        <v>13.183856502242152</v>
      </c>
      <c r="K18" s="292">
        <f t="shared" si="3"/>
        <v>11.878654708520179</v>
      </c>
      <c r="L18" s="624">
        <f t="shared" si="4"/>
        <v>32.036771300448429</v>
      </c>
    </row>
    <row r="19" spans="1:39" s="29" customFormat="1" ht="15.75">
      <c r="A19" s="79">
        <v>17</v>
      </c>
      <c r="B19" s="274" t="s">
        <v>208</v>
      </c>
      <c r="C19" s="78">
        <f>'Sum , MPA'!AL31</f>
        <v>156695768</v>
      </c>
      <c r="D19" s="78">
        <f t="shared" si="0"/>
        <v>15.6695768</v>
      </c>
      <c r="E19" s="78">
        <f t="shared" si="1"/>
        <v>60484566.447999999</v>
      </c>
      <c r="F19" s="278">
        <f t="shared" si="2"/>
        <v>6.0484566447999999</v>
      </c>
      <c r="G19" s="607">
        <f>H19/H21*E21*100/1000000000</f>
        <v>12.47091243987002</v>
      </c>
      <c r="H19" s="630">
        <v>17852</v>
      </c>
      <c r="I19" s="626">
        <v>54</v>
      </c>
      <c r="J19" s="292">
        <f>I19/I21*100</f>
        <v>4.8430493273542607</v>
      </c>
      <c r="K19" s="292">
        <f t="shared" si="3"/>
        <v>4.3635874439461881</v>
      </c>
      <c r="L19" s="624">
        <f t="shared" si="4"/>
        <v>11.768609865470854</v>
      </c>
    </row>
    <row r="20" spans="1:39" s="29" customFormat="1" ht="15.75">
      <c r="A20" s="79">
        <v>18</v>
      </c>
      <c r="B20" s="275" t="s">
        <v>209</v>
      </c>
      <c r="C20" s="78">
        <f>'Sum , MPA'!AN31</f>
        <v>110114000</v>
      </c>
      <c r="D20" s="78">
        <f t="shared" si="0"/>
        <v>11.0114</v>
      </c>
      <c r="E20" s="78">
        <f t="shared" si="1"/>
        <v>42504004</v>
      </c>
      <c r="F20" s="78">
        <f t="shared" si="2"/>
        <v>4.2504004000000002</v>
      </c>
      <c r="G20" s="291"/>
      <c r="H20" s="629"/>
      <c r="I20" s="626"/>
      <c r="J20" s="292"/>
      <c r="K20" s="292">
        <f>90*J20/100</f>
        <v>0</v>
      </c>
      <c r="L20" s="624">
        <f t="shared" si="4"/>
        <v>0</v>
      </c>
    </row>
    <row r="21" spans="1:39" s="62" customFormat="1" ht="15.75">
      <c r="A21" s="276"/>
      <c r="B21" s="277" t="s">
        <v>37</v>
      </c>
      <c r="C21" s="241">
        <f>SUM(C3:C20)</f>
        <v>2430723892</v>
      </c>
      <c r="D21" s="78">
        <f t="shared" si="0"/>
        <v>243.0723892</v>
      </c>
      <c r="E21" s="241">
        <f t="shared" ref="E21:L21" si="5">SUM(E3:E20)</f>
        <v>938259422.31199992</v>
      </c>
      <c r="F21" s="78">
        <f t="shared" si="2"/>
        <v>93.825942231199988</v>
      </c>
      <c r="G21" s="241">
        <f t="shared" si="5"/>
        <v>93.825942231200003</v>
      </c>
      <c r="H21" s="631">
        <f>SUM(H3:H19)</f>
        <v>134311</v>
      </c>
      <c r="I21" s="627">
        <f t="shared" si="5"/>
        <v>1115</v>
      </c>
      <c r="J21" s="241">
        <f t="shared" si="5"/>
        <v>100</v>
      </c>
      <c r="K21" s="241">
        <f t="shared" si="5"/>
        <v>90.09999999999998</v>
      </c>
      <c r="L21" s="241">
        <f t="shared" si="5"/>
        <v>243.00000000000003</v>
      </c>
    </row>
    <row r="27" spans="1:39" ht="0.75" customHeight="1">
      <c r="G27" s="166"/>
      <c r="I27" s="166"/>
      <c r="J27" s="166"/>
      <c r="K27" s="166"/>
      <c r="L27" s="166"/>
      <c r="N27" s="166"/>
      <c r="P27" s="166"/>
      <c r="R27" s="166"/>
      <c r="T27" s="166"/>
      <c r="V27" s="166"/>
      <c r="X27" s="166"/>
      <c r="Z27" s="166"/>
      <c r="AB27" s="166"/>
      <c r="AD27" s="166"/>
      <c r="AF27" s="166"/>
      <c r="AH27" s="166"/>
      <c r="AJ27" s="166"/>
      <c r="AL27" s="166"/>
    </row>
    <row r="28" spans="1:39" ht="15.75" hidden="1">
      <c r="C28" s="166">
        <v>48</v>
      </c>
      <c r="D28" s="166"/>
      <c r="E28" s="166"/>
      <c r="F28" s="166"/>
      <c r="G28" s="166"/>
      <c r="H28" s="166">
        <v>80</v>
      </c>
      <c r="I28" s="166"/>
      <c r="J28" s="166"/>
      <c r="K28" s="166"/>
      <c r="L28" s="166"/>
      <c r="M28" s="166">
        <v>105</v>
      </c>
      <c r="N28" s="166"/>
      <c r="O28" s="166">
        <v>43</v>
      </c>
      <c r="P28" s="166"/>
      <c r="Q28" s="166">
        <v>75</v>
      </c>
      <c r="R28" s="166"/>
      <c r="S28" s="166">
        <v>41</v>
      </c>
      <c r="T28" s="166"/>
      <c r="U28" s="166">
        <v>101</v>
      </c>
      <c r="V28" s="166"/>
      <c r="W28" s="166">
        <v>8</v>
      </c>
      <c r="X28" s="166"/>
      <c r="Y28" s="166">
        <v>33</v>
      </c>
      <c r="Z28" s="166"/>
      <c r="AA28" s="166">
        <v>53</v>
      </c>
      <c r="AB28" s="166"/>
      <c r="AC28" s="166">
        <v>52</v>
      </c>
      <c r="AD28" s="166"/>
      <c r="AE28" s="166">
        <v>76</v>
      </c>
      <c r="AF28" s="166"/>
      <c r="AG28" s="166">
        <v>82</v>
      </c>
      <c r="AH28" s="166"/>
      <c r="AI28" s="166">
        <v>104</v>
      </c>
      <c r="AJ28" s="166"/>
      <c r="AK28" s="166">
        <v>147</v>
      </c>
      <c r="AL28" s="166"/>
      <c r="AM28" s="166">
        <v>54</v>
      </c>
    </row>
    <row r="29" spans="1:39" ht="15.75" hidden="1">
      <c r="G29" s="190">
        <f>G28/1125*100</f>
        <v>0</v>
      </c>
      <c r="I29" s="190">
        <f>I28/1125*100</f>
        <v>0</v>
      </c>
      <c r="J29" s="190"/>
      <c r="K29" s="190"/>
      <c r="L29" s="190"/>
      <c r="N29" s="190">
        <f>N28/1125*100</f>
        <v>0</v>
      </c>
      <c r="P29" s="190">
        <f>P28/1125*100</f>
        <v>0</v>
      </c>
      <c r="R29" s="190">
        <f>R28/1125*100</f>
        <v>0</v>
      </c>
      <c r="T29" s="190">
        <f>T28/1125*100</f>
        <v>0</v>
      </c>
      <c r="V29" s="190">
        <f>V28/1125*100</f>
        <v>0</v>
      </c>
      <c r="X29" s="190">
        <f>X28/1125*100</f>
        <v>0</v>
      </c>
      <c r="Z29" s="190">
        <f>Z28/1125*100</f>
        <v>0</v>
      </c>
      <c r="AB29" s="190">
        <f>AB28/1125*100</f>
        <v>0</v>
      </c>
      <c r="AD29" s="190">
        <f>AD28/1125*100</f>
        <v>0</v>
      </c>
      <c r="AF29" s="190">
        <f>AF28/1125*100</f>
        <v>0</v>
      </c>
      <c r="AH29" s="190">
        <f>AH28/1125*100</f>
        <v>0</v>
      </c>
      <c r="AJ29" s="190">
        <f>AJ28/1125*100</f>
        <v>0</v>
      </c>
      <c r="AL29" s="190">
        <f>AL28/1125*100</f>
        <v>0</v>
      </c>
    </row>
  </sheetData>
  <mergeCells count="1">
    <mergeCell ref="A1:H1"/>
  </mergeCells>
  <pageMargins left="0.7" right="0.7" top="0.75" bottom="0.75" header="0.3" footer="0.3"/>
  <pageSetup scale="85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rgb="FF00B0F0"/>
    <pageSetUpPr fitToPage="1"/>
  </sheetPr>
  <dimension ref="A1:BV71"/>
  <sheetViews>
    <sheetView topLeftCell="A2" zoomScale="70" zoomScaleNormal="70" workbookViewId="0">
      <pane xSplit="7" ySplit="7" topLeftCell="AZ24" activePane="bottomRight" state="frozen"/>
      <selection activeCell="B7" sqref="B7"/>
      <selection pane="topRight" activeCell="H7" sqref="H7"/>
      <selection pane="bottomLeft" activeCell="B9" sqref="B9"/>
      <selection pane="bottomRight" activeCell="BK10" sqref="BK10"/>
    </sheetView>
  </sheetViews>
  <sheetFormatPr defaultColWidth="9.140625" defaultRowHeight="24" customHeight="1"/>
  <cols>
    <col min="1" max="1" width="6" style="31" customWidth="1"/>
    <col min="2" max="2" width="10.85546875" style="166" customWidth="1"/>
    <col min="3" max="3" width="46.7109375" style="31" customWidth="1"/>
    <col min="4" max="4" width="9.85546875" style="31" customWidth="1"/>
    <col min="5" max="5" width="15.7109375" style="166" customWidth="1"/>
    <col min="6" max="6" width="12.7109375" style="166" customWidth="1"/>
    <col min="7" max="7" width="17.42578125" style="54" customWidth="1"/>
    <col min="8" max="8" width="14.28515625" style="54" customWidth="1"/>
    <col min="9" max="9" width="14.85546875" style="54" customWidth="1"/>
    <col min="10" max="10" width="11.7109375" style="54" customWidth="1"/>
    <col min="11" max="11" width="15.140625" style="54" customWidth="1"/>
    <col min="12" max="12" width="12.5703125" style="54" customWidth="1"/>
    <col min="13" max="13" width="11.7109375" style="54" customWidth="1"/>
    <col min="14" max="14" width="5.7109375" style="54" customWidth="1"/>
    <col min="15" max="15" width="7.42578125" style="31" customWidth="1"/>
    <col min="16" max="16" width="12.28515625" style="31" customWidth="1"/>
    <col min="17" max="17" width="8.42578125" style="31" customWidth="1"/>
    <col min="18" max="21" width="9.85546875" style="31" customWidth="1"/>
    <col min="22" max="22" width="16.5703125" style="31" customWidth="1"/>
    <col min="23" max="23" width="16" style="31" customWidth="1"/>
    <col min="24" max="24" width="18.140625" style="31" customWidth="1"/>
    <col min="25" max="25" width="17.140625" style="31" customWidth="1"/>
    <col min="26" max="26" width="12.28515625" style="31" customWidth="1"/>
    <col min="27" max="27" width="16.7109375" style="54" customWidth="1"/>
    <col min="28" max="28" width="8.28515625" style="31" customWidth="1"/>
    <col min="29" max="29" width="14.28515625" style="31" customWidth="1"/>
    <col min="30" max="30" width="8.5703125" style="31" customWidth="1"/>
    <col min="31" max="31" width="15.5703125" style="31" customWidth="1"/>
    <col min="32" max="32" width="12" style="31" customWidth="1"/>
    <col min="33" max="33" width="14" style="31" customWidth="1"/>
    <col min="34" max="34" width="7.85546875" style="31" customWidth="1"/>
    <col min="35" max="35" width="15.5703125" style="31" customWidth="1"/>
    <col min="36" max="36" width="11.85546875" style="31" customWidth="1"/>
    <col min="37" max="37" width="15.28515625" style="31" customWidth="1"/>
    <col min="38" max="38" width="8.42578125" style="31" customWidth="1"/>
    <col min="39" max="39" width="15.5703125" style="31" customWidth="1"/>
    <col min="40" max="40" width="10.28515625" style="31" customWidth="1"/>
    <col min="41" max="41" width="14.7109375" style="31" customWidth="1"/>
    <col min="42" max="42" width="7.42578125" style="31" customWidth="1"/>
    <col min="43" max="43" width="14.28515625" style="31" customWidth="1"/>
    <col min="44" max="44" width="9" style="31" customWidth="1"/>
    <col min="45" max="45" width="13.85546875" style="31" customWidth="1"/>
    <col min="46" max="46" width="9.5703125" style="31" customWidth="1"/>
    <col min="47" max="47" width="14.7109375" style="31" customWidth="1"/>
    <col min="48" max="48" width="7.7109375" style="31" customWidth="1"/>
    <col min="49" max="49" width="17.28515625" style="31" customWidth="1"/>
    <col min="50" max="50" width="9.140625" style="31" customWidth="1"/>
    <col min="51" max="51" width="15.5703125" style="31" customWidth="1"/>
    <col min="52" max="52" width="9.28515625" style="31" customWidth="1"/>
    <col min="53" max="53" width="14.42578125" style="31" customWidth="1"/>
    <col min="54" max="54" width="9.5703125" style="31" customWidth="1"/>
    <col min="55" max="55" width="15.5703125" style="31" customWidth="1"/>
    <col min="56" max="56" width="9.7109375" style="31" customWidth="1"/>
    <col min="57" max="57" width="16.5703125" style="31" customWidth="1"/>
    <col min="58" max="58" width="10.42578125" style="31" customWidth="1"/>
    <col min="59" max="59" width="15.5703125" style="31" customWidth="1"/>
    <col min="60" max="60" width="11.42578125" style="31" customWidth="1"/>
    <col min="61" max="61" width="16.7109375" style="31" customWidth="1"/>
    <col min="62" max="62" width="15" style="31" customWidth="1"/>
    <col min="63" max="63" width="17.28515625" style="31" customWidth="1"/>
    <col min="64" max="64" width="18.42578125" style="48" customWidth="1"/>
    <col min="65" max="65" width="0.140625" style="31" hidden="1" customWidth="1"/>
    <col min="66" max="66" width="6.7109375" style="31" bestFit="1" customWidth="1"/>
    <col min="67" max="67" width="14.28515625" style="31" customWidth="1"/>
    <col min="68" max="68" width="19.85546875" style="31" bestFit="1" customWidth="1"/>
    <col min="69" max="69" width="9.85546875" style="31" customWidth="1"/>
    <col min="70" max="70" width="16.5703125" style="31" customWidth="1"/>
    <col min="71" max="71" width="13.140625" style="31" customWidth="1"/>
    <col min="72" max="72" width="13.85546875" style="31" customWidth="1"/>
    <col min="73" max="73" width="19" style="31" customWidth="1"/>
    <col min="74" max="74" width="18.140625" style="31" customWidth="1"/>
    <col min="75" max="77" width="9.140625" style="31" customWidth="1"/>
    <col min="78" max="16384" width="9.140625" style="31"/>
  </cols>
  <sheetData>
    <row r="1" spans="1:74" ht="18.75" hidden="1" customHeight="1">
      <c r="A1" s="758"/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</row>
    <row r="2" spans="1:74" ht="44.25" hidden="1" customHeight="1">
      <c r="A2" s="747" t="s">
        <v>169</v>
      </c>
      <c r="B2" s="747"/>
      <c r="C2" s="757" t="s">
        <v>163</v>
      </c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48"/>
      <c r="S2" s="48"/>
      <c r="T2" s="48"/>
      <c r="U2" s="48"/>
      <c r="V2" s="48"/>
      <c r="W2" s="48"/>
      <c r="X2" s="48"/>
      <c r="Y2" s="48"/>
      <c r="Z2" s="166" t="s">
        <v>398</v>
      </c>
      <c r="AA2" s="166">
        <v>8.34</v>
      </c>
      <c r="AB2" s="166"/>
      <c r="AC2" s="166">
        <v>2.85</v>
      </c>
      <c r="AD2" s="166"/>
      <c r="AE2" s="166">
        <v>8.3800000000000008</v>
      </c>
      <c r="AF2" s="166"/>
      <c r="AG2" s="166">
        <v>7.49</v>
      </c>
      <c r="AH2" s="166"/>
      <c r="AI2" s="166">
        <v>3.33</v>
      </c>
      <c r="AJ2" s="166"/>
      <c r="AK2" s="166">
        <v>6.64</v>
      </c>
      <c r="AL2" s="166"/>
      <c r="AM2" s="166">
        <v>3.67</v>
      </c>
      <c r="AN2" s="166"/>
      <c r="AO2" s="166">
        <v>5.0599999999999996</v>
      </c>
      <c r="AP2" s="166"/>
      <c r="AQ2" s="166">
        <v>5.94</v>
      </c>
      <c r="AR2" s="166"/>
      <c r="AS2" s="166">
        <v>6.85</v>
      </c>
      <c r="AT2" s="166"/>
      <c r="AU2" s="166">
        <v>7.45</v>
      </c>
      <c r="AV2" s="166"/>
      <c r="AW2" s="166">
        <v>5.13</v>
      </c>
      <c r="AX2" s="166"/>
      <c r="AY2" s="166">
        <v>4.8600000000000003</v>
      </c>
      <c r="AZ2" s="166"/>
      <c r="BA2" s="166">
        <v>5.79</v>
      </c>
      <c r="BB2" s="166"/>
      <c r="BC2" s="166">
        <v>5.3</v>
      </c>
      <c r="BD2" s="166"/>
      <c r="BE2" s="166">
        <v>3.47</v>
      </c>
      <c r="BF2" s="166"/>
      <c r="BG2" s="166">
        <v>9.42</v>
      </c>
      <c r="BH2" s="166"/>
      <c r="BI2" s="166"/>
      <c r="BJ2" s="166"/>
      <c r="BK2" s="166"/>
    </row>
    <row r="3" spans="1:74" ht="20.100000000000001" hidden="1" customHeight="1">
      <c r="A3" s="747" t="s">
        <v>165</v>
      </c>
      <c r="B3" s="747"/>
      <c r="C3" s="757" t="s">
        <v>164</v>
      </c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48"/>
      <c r="S3" s="48"/>
      <c r="T3" s="48"/>
      <c r="U3" s="48"/>
      <c r="V3" s="48"/>
      <c r="W3" s="48"/>
      <c r="X3" s="48"/>
      <c r="Y3" s="48"/>
      <c r="Z3" s="166" t="s">
        <v>396</v>
      </c>
      <c r="AA3" s="166">
        <v>48</v>
      </c>
      <c r="AB3" s="166"/>
      <c r="AC3" s="166">
        <v>23</v>
      </c>
      <c r="AD3" s="166"/>
      <c r="AE3" s="166">
        <v>80</v>
      </c>
      <c r="AF3" s="166"/>
      <c r="AG3" s="166">
        <v>105</v>
      </c>
      <c r="AH3" s="166"/>
      <c r="AI3" s="166">
        <v>43</v>
      </c>
      <c r="AJ3" s="166"/>
      <c r="AK3" s="166">
        <v>75</v>
      </c>
      <c r="AL3" s="166"/>
      <c r="AM3" s="166">
        <v>41</v>
      </c>
      <c r="AN3" s="166"/>
      <c r="AO3" s="166">
        <v>101</v>
      </c>
      <c r="AP3" s="166"/>
      <c r="AQ3" s="166">
        <v>8</v>
      </c>
      <c r="AR3" s="166"/>
      <c r="AS3" s="166">
        <v>33</v>
      </c>
      <c r="AT3" s="166"/>
      <c r="AU3" s="166">
        <v>53</v>
      </c>
      <c r="AV3" s="166"/>
      <c r="AW3" s="166">
        <v>52</v>
      </c>
      <c r="AX3" s="166"/>
      <c r="AY3" s="166">
        <v>76</v>
      </c>
      <c r="AZ3" s="166"/>
      <c r="BA3" s="166">
        <v>82</v>
      </c>
      <c r="BB3" s="166"/>
      <c r="BC3" s="166">
        <v>104</v>
      </c>
      <c r="BD3" s="166"/>
      <c r="BE3" s="166">
        <v>147</v>
      </c>
      <c r="BF3" s="166"/>
      <c r="BG3" s="166">
        <v>54</v>
      </c>
      <c r="BH3" s="166"/>
      <c r="BI3" s="166"/>
      <c r="BJ3" s="166"/>
      <c r="BK3" s="166"/>
    </row>
    <row r="4" spans="1:74" ht="24.75" hidden="1" customHeight="1">
      <c r="A4" s="747" t="s">
        <v>166</v>
      </c>
      <c r="B4" s="747"/>
      <c r="C4" s="757" t="s">
        <v>386</v>
      </c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48"/>
      <c r="S4" s="48"/>
      <c r="T4" s="48"/>
      <c r="U4" s="48"/>
      <c r="V4" s="48"/>
      <c r="W4" s="48"/>
      <c r="X4" s="48"/>
      <c r="Y4" s="48"/>
      <c r="Z4" s="166" t="s">
        <v>397</v>
      </c>
      <c r="AA4" s="190">
        <f>AA3/1125*100</f>
        <v>4.2666666666666666</v>
      </c>
      <c r="AB4" s="190">
        <f t="shared" ref="AB4:BG4" si="0">AB3/1125*100</f>
        <v>0</v>
      </c>
      <c r="AC4" s="190">
        <f t="shared" si="0"/>
        <v>2.0444444444444447</v>
      </c>
      <c r="AD4" s="190">
        <f t="shared" si="0"/>
        <v>0</v>
      </c>
      <c r="AE4" s="190">
        <f t="shared" si="0"/>
        <v>7.1111111111111107</v>
      </c>
      <c r="AF4" s="190">
        <f t="shared" si="0"/>
        <v>0</v>
      </c>
      <c r="AG4" s="190">
        <f t="shared" si="0"/>
        <v>9.3333333333333339</v>
      </c>
      <c r="AH4" s="190">
        <f t="shared" si="0"/>
        <v>0</v>
      </c>
      <c r="AI4" s="190">
        <f t="shared" si="0"/>
        <v>3.822222222222222</v>
      </c>
      <c r="AJ4" s="190">
        <f t="shared" si="0"/>
        <v>0</v>
      </c>
      <c r="AK4" s="190">
        <f t="shared" si="0"/>
        <v>6.666666666666667</v>
      </c>
      <c r="AL4" s="190">
        <f t="shared" si="0"/>
        <v>0</v>
      </c>
      <c r="AM4" s="190">
        <f t="shared" si="0"/>
        <v>3.6444444444444448</v>
      </c>
      <c r="AN4" s="190">
        <f t="shared" si="0"/>
        <v>0</v>
      </c>
      <c r="AO4" s="190">
        <f t="shared" si="0"/>
        <v>8.9777777777777779</v>
      </c>
      <c r="AP4" s="190">
        <f t="shared" si="0"/>
        <v>0</v>
      </c>
      <c r="AQ4" s="190">
        <f t="shared" si="0"/>
        <v>0.71111111111111114</v>
      </c>
      <c r="AR4" s="190">
        <f t="shared" si="0"/>
        <v>0</v>
      </c>
      <c r="AS4" s="190">
        <f t="shared" si="0"/>
        <v>2.9333333333333331</v>
      </c>
      <c r="AT4" s="190">
        <f t="shared" si="0"/>
        <v>0</v>
      </c>
      <c r="AU4" s="190">
        <f t="shared" si="0"/>
        <v>4.7111111111111112</v>
      </c>
      <c r="AV4" s="190">
        <f t="shared" si="0"/>
        <v>0</v>
      </c>
      <c r="AW4" s="190">
        <f t="shared" si="0"/>
        <v>4.6222222222222218</v>
      </c>
      <c r="AX4" s="190">
        <f t="shared" si="0"/>
        <v>0</v>
      </c>
      <c r="AY4" s="190">
        <f t="shared" si="0"/>
        <v>6.7555555555555546</v>
      </c>
      <c r="AZ4" s="190">
        <f t="shared" si="0"/>
        <v>0</v>
      </c>
      <c r="BA4" s="190">
        <f t="shared" si="0"/>
        <v>7.2888888888888896</v>
      </c>
      <c r="BB4" s="190">
        <f t="shared" si="0"/>
        <v>0</v>
      </c>
      <c r="BC4" s="190">
        <f t="shared" si="0"/>
        <v>9.2444444444444436</v>
      </c>
      <c r="BD4" s="190">
        <f t="shared" si="0"/>
        <v>0</v>
      </c>
      <c r="BE4" s="190">
        <f t="shared" si="0"/>
        <v>13.066666666666665</v>
      </c>
      <c r="BF4" s="190">
        <f t="shared" si="0"/>
        <v>0</v>
      </c>
      <c r="BG4" s="190">
        <f t="shared" si="0"/>
        <v>4.8</v>
      </c>
      <c r="BH4" s="166"/>
      <c r="BI4" s="166"/>
      <c r="BJ4" s="166"/>
      <c r="BK4" s="166"/>
    </row>
    <row r="5" spans="1:74" ht="24.6" hidden="1" customHeight="1">
      <c r="A5" s="747" t="s">
        <v>167</v>
      </c>
      <c r="B5" s="747"/>
      <c r="C5" s="757" t="s">
        <v>0</v>
      </c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48"/>
      <c r="S5" s="48"/>
      <c r="T5" s="48"/>
      <c r="U5" s="48"/>
      <c r="V5" s="48"/>
      <c r="W5" s="48"/>
      <c r="X5" s="48"/>
      <c r="Y5" s="48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</row>
    <row r="6" spans="1:74" ht="21.6" hidden="1" customHeight="1">
      <c r="A6" s="747" t="s">
        <v>168</v>
      </c>
      <c r="B6" s="747"/>
      <c r="C6" s="757" t="s">
        <v>63</v>
      </c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48"/>
      <c r="S6" s="48"/>
      <c r="T6" s="48"/>
      <c r="U6" s="48"/>
      <c r="V6" s="48"/>
      <c r="W6" s="48"/>
      <c r="X6" s="48"/>
      <c r="Y6" s="48"/>
    </row>
    <row r="7" spans="1:74" s="64" customFormat="1" ht="33.75" customHeight="1">
      <c r="A7" s="752"/>
      <c r="B7" s="753"/>
      <c r="C7" s="753"/>
      <c r="D7" s="753"/>
      <c r="E7" s="754"/>
      <c r="F7" s="741" t="s">
        <v>11</v>
      </c>
      <c r="G7" s="742"/>
      <c r="H7" s="752" t="s">
        <v>162</v>
      </c>
      <c r="I7" s="753"/>
      <c r="J7" s="753"/>
      <c r="K7" s="753"/>
      <c r="L7" s="753"/>
      <c r="M7" s="753"/>
      <c r="N7" s="753"/>
      <c r="O7" s="753"/>
      <c r="P7" s="753"/>
      <c r="Q7" s="754"/>
      <c r="R7" s="752" t="s">
        <v>60</v>
      </c>
      <c r="S7" s="753"/>
      <c r="T7" s="753"/>
      <c r="U7" s="754"/>
      <c r="V7" s="752" t="s">
        <v>6</v>
      </c>
      <c r="W7" s="753"/>
      <c r="X7" s="753"/>
      <c r="Y7" s="754"/>
      <c r="Z7" s="731" t="s">
        <v>192</v>
      </c>
      <c r="AA7" s="732"/>
      <c r="AB7" s="750" t="s">
        <v>193</v>
      </c>
      <c r="AC7" s="751"/>
      <c r="AD7" s="731" t="s">
        <v>194</v>
      </c>
      <c r="AE7" s="732"/>
      <c r="AF7" s="750" t="s">
        <v>195</v>
      </c>
      <c r="AG7" s="751"/>
      <c r="AH7" s="750" t="s">
        <v>196</v>
      </c>
      <c r="AI7" s="751"/>
      <c r="AJ7" s="750" t="s">
        <v>197</v>
      </c>
      <c r="AK7" s="751"/>
      <c r="AL7" s="750" t="s">
        <v>198</v>
      </c>
      <c r="AM7" s="751"/>
      <c r="AN7" s="750" t="s">
        <v>199</v>
      </c>
      <c r="AO7" s="751"/>
      <c r="AP7" s="750" t="s">
        <v>200</v>
      </c>
      <c r="AQ7" s="751"/>
      <c r="AR7" s="731" t="s">
        <v>201</v>
      </c>
      <c r="AS7" s="732"/>
      <c r="AT7" s="750" t="s">
        <v>202</v>
      </c>
      <c r="AU7" s="751"/>
      <c r="AV7" s="750" t="s">
        <v>203</v>
      </c>
      <c r="AW7" s="751"/>
      <c r="AX7" s="750" t="s">
        <v>204</v>
      </c>
      <c r="AY7" s="751"/>
      <c r="AZ7" s="750" t="s">
        <v>205</v>
      </c>
      <c r="BA7" s="751"/>
      <c r="BB7" s="750" t="s">
        <v>206</v>
      </c>
      <c r="BC7" s="751"/>
      <c r="BD7" s="750" t="s">
        <v>207</v>
      </c>
      <c r="BE7" s="751"/>
      <c r="BF7" s="748" t="s">
        <v>208</v>
      </c>
      <c r="BG7" s="748"/>
      <c r="BH7" s="749" t="s">
        <v>209</v>
      </c>
      <c r="BI7" s="749"/>
      <c r="BJ7" s="749" t="s">
        <v>17</v>
      </c>
      <c r="BK7" s="749"/>
      <c r="BL7" s="152" t="s">
        <v>231</v>
      </c>
      <c r="BN7" s="755" t="s">
        <v>242</v>
      </c>
      <c r="BO7" s="755"/>
      <c r="BP7" s="755"/>
      <c r="BQ7" s="755"/>
      <c r="BR7" s="755"/>
      <c r="BS7" s="755" t="s">
        <v>243</v>
      </c>
      <c r="BT7" s="755"/>
      <c r="BU7" s="755"/>
      <c r="BV7" s="756" t="s">
        <v>17</v>
      </c>
    </row>
    <row r="8" spans="1:74" ht="30.95" customHeight="1">
      <c r="A8" s="238" t="s">
        <v>41</v>
      </c>
      <c r="B8" s="239" t="s">
        <v>20</v>
      </c>
      <c r="C8" s="168" t="s">
        <v>12</v>
      </c>
      <c r="D8" s="168" t="s">
        <v>14</v>
      </c>
      <c r="E8" s="239" t="s">
        <v>18</v>
      </c>
      <c r="F8" s="239" t="s">
        <v>19</v>
      </c>
      <c r="G8" s="238" t="s">
        <v>15</v>
      </c>
      <c r="H8" s="418" t="s">
        <v>212</v>
      </c>
      <c r="I8" s="418" t="s">
        <v>213</v>
      </c>
      <c r="J8" s="418" t="s">
        <v>214</v>
      </c>
      <c r="K8" s="418" t="s">
        <v>215</v>
      </c>
      <c r="L8" s="418" t="s">
        <v>216</v>
      </c>
      <c r="M8" s="418" t="s">
        <v>217</v>
      </c>
      <c r="N8" s="418" t="s">
        <v>218</v>
      </c>
      <c r="O8" s="418" t="s">
        <v>219</v>
      </c>
      <c r="P8" s="418" t="s">
        <v>220</v>
      </c>
      <c r="Q8" s="418" t="s">
        <v>221</v>
      </c>
      <c r="R8" s="302" t="s">
        <v>7</v>
      </c>
      <c r="S8" s="302" t="s">
        <v>8</v>
      </c>
      <c r="T8" s="302" t="s">
        <v>9</v>
      </c>
      <c r="U8" s="302" t="s">
        <v>10</v>
      </c>
      <c r="V8" s="168" t="s">
        <v>7</v>
      </c>
      <c r="W8" s="168" t="s">
        <v>8</v>
      </c>
      <c r="X8" s="168" t="s">
        <v>9</v>
      </c>
      <c r="Y8" s="168" t="s">
        <v>10</v>
      </c>
      <c r="Z8" s="168" t="s">
        <v>14</v>
      </c>
      <c r="AA8" s="168" t="s">
        <v>15</v>
      </c>
      <c r="AB8" s="168" t="s">
        <v>14</v>
      </c>
      <c r="AC8" s="168" t="s">
        <v>15</v>
      </c>
      <c r="AD8" s="168" t="s">
        <v>14</v>
      </c>
      <c r="AE8" s="168" t="s">
        <v>15</v>
      </c>
      <c r="AF8" s="168" t="s">
        <v>14</v>
      </c>
      <c r="AG8" s="168" t="s">
        <v>15</v>
      </c>
      <c r="AH8" s="168" t="s">
        <v>14</v>
      </c>
      <c r="AI8" s="168" t="s">
        <v>15</v>
      </c>
      <c r="AJ8" s="168" t="s">
        <v>14</v>
      </c>
      <c r="AK8" s="168" t="s">
        <v>15</v>
      </c>
      <c r="AL8" s="168" t="s">
        <v>14</v>
      </c>
      <c r="AM8" s="168" t="s">
        <v>15</v>
      </c>
      <c r="AN8" s="168" t="s">
        <v>14</v>
      </c>
      <c r="AO8" s="168" t="s">
        <v>15</v>
      </c>
      <c r="AP8" s="168" t="s">
        <v>14</v>
      </c>
      <c r="AQ8" s="168" t="s">
        <v>15</v>
      </c>
      <c r="AR8" s="168" t="s">
        <v>14</v>
      </c>
      <c r="AS8" s="168" t="s">
        <v>15</v>
      </c>
      <c r="AT8" s="168" t="s">
        <v>14</v>
      </c>
      <c r="AU8" s="168" t="s">
        <v>15</v>
      </c>
      <c r="AV8" s="168" t="s">
        <v>14</v>
      </c>
      <c r="AW8" s="168" t="s">
        <v>15</v>
      </c>
      <c r="AX8" s="168" t="s">
        <v>14</v>
      </c>
      <c r="AY8" s="168" t="s">
        <v>15</v>
      </c>
      <c r="AZ8" s="168" t="s">
        <v>14</v>
      </c>
      <c r="BA8" s="168" t="s">
        <v>15</v>
      </c>
      <c r="BB8" s="168" t="s">
        <v>14</v>
      </c>
      <c r="BC8" s="168" t="s">
        <v>15</v>
      </c>
      <c r="BD8" s="168" t="s">
        <v>14</v>
      </c>
      <c r="BE8" s="168" t="s">
        <v>15</v>
      </c>
      <c r="BF8" s="168" t="s">
        <v>14</v>
      </c>
      <c r="BG8" s="168" t="s">
        <v>15</v>
      </c>
      <c r="BH8" s="168" t="s">
        <v>14</v>
      </c>
      <c r="BI8" s="168" t="s">
        <v>15</v>
      </c>
      <c r="BJ8" s="168" t="s">
        <v>14</v>
      </c>
      <c r="BK8" s="168" t="s">
        <v>15</v>
      </c>
      <c r="BL8" s="419"/>
      <c r="BN8" s="72" t="s">
        <v>233</v>
      </c>
      <c r="BO8" s="171" t="s">
        <v>234</v>
      </c>
      <c r="BP8" s="171" t="s">
        <v>235</v>
      </c>
      <c r="BQ8" s="612" t="s">
        <v>236</v>
      </c>
      <c r="BR8" s="173" t="s">
        <v>237</v>
      </c>
      <c r="BS8" s="171" t="s">
        <v>238</v>
      </c>
      <c r="BT8" s="171" t="s">
        <v>239</v>
      </c>
      <c r="BU8" s="173" t="s">
        <v>240</v>
      </c>
      <c r="BV8" s="756"/>
    </row>
    <row r="9" spans="1:74" s="90" customFormat="1" ht="30.75" customHeight="1">
      <c r="A9" s="744" t="s">
        <v>59</v>
      </c>
      <c r="B9" s="322"/>
      <c r="C9" s="420" t="s">
        <v>451</v>
      </c>
      <c r="D9" s="362"/>
      <c r="E9" s="362"/>
      <c r="F9" s="308"/>
      <c r="G9" s="9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242"/>
      <c r="S9" s="242"/>
      <c r="T9" s="242"/>
      <c r="U9" s="242"/>
      <c r="V9" s="242"/>
      <c r="W9" s="242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362"/>
      <c r="BN9" s="98"/>
      <c r="BO9" s="98"/>
      <c r="BP9" s="98"/>
      <c r="BQ9" s="98"/>
      <c r="BR9" s="98"/>
      <c r="BS9" s="98"/>
      <c r="BT9" s="98"/>
      <c r="BU9" s="98"/>
      <c r="BV9" s="99">
        <f>BR9+BU9</f>
        <v>0</v>
      </c>
    </row>
    <row r="10" spans="1:74" s="556" customFormat="1" ht="25.35" customHeight="1">
      <c r="A10" s="745"/>
      <c r="B10" s="552"/>
      <c r="C10" s="422" t="s">
        <v>658</v>
      </c>
      <c r="D10" s="439" t="s">
        <v>64</v>
      </c>
      <c r="E10" s="549">
        <v>6300000</v>
      </c>
      <c r="F10" s="550">
        <f>BJ10</f>
        <v>17</v>
      </c>
      <c r="G10" s="553">
        <f>BK10</f>
        <v>110100000</v>
      </c>
      <c r="H10" s="553">
        <f>G10*0.5</f>
        <v>55050000</v>
      </c>
      <c r="I10" s="553">
        <f>G10*0.5</f>
        <v>55050000</v>
      </c>
      <c r="J10" s="553"/>
      <c r="K10" s="553"/>
      <c r="L10" s="553"/>
      <c r="M10" s="553"/>
      <c r="N10" s="553"/>
      <c r="O10" s="553"/>
      <c r="P10" s="553"/>
      <c r="Q10" s="553"/>
      <c r="R10" s="553">
        <f>F10*0.25</f>
        <v>4.25</v>
      </c>
      <c r="S10" s="553">
        <f>F10*0.25</f>
        <v>4.25</v>
      </c>
      <c r="T10" s="553">
        <f>F10*0.25</f>
        <v>4.25</v>
      </c>
      <c r="U10" s="553">
        <f>F10*0.25</f>
        <v>4.25</v>
      </c>
      <c r="V10" s="553">
        <f>R10*E10</f>
        <v>26775000</v>
      </c>
      <c r="W10" s="553">
        <f>S10*E10</f>
        <v>26775000</v>
      </c>
      <c r="X10" s="553">
        <f>T10*E10</f>
        <v>26775000</v>
      </c>
      <c r="Y10" s="553">
        <f>U10*E10</f>
        <v>26775000</v>
      </c>
      <c r="Z10" s="553">
        <v>1</v>
      </c>
      <c r="AA10" s="553">
        <f>Z10*E10</f>
        <v>6300000</v>
      </c>
      <c r="AB10" s="553">
        <v>1</v>
      </c>
      <c r="AC10" s="553">
        <f>AB10*E10</f>
        <v>6300000</v>
      </c>
      <c r="AD10" s="553">
        <v>1</v>
      </c>
      <c r="AE10" s="553">
        <f>AD10*E10</f>
        <v>6300000</v>
      </c>
      <c r="AF10" s="553">
        <v>1</v>
      </c>
      <c r="AG10" s="553">
        <f>AF10*E10</f>
        <v>6300000</v>
      </c>
      <c r="AH10" s="553">
        <v>1</v>
      </c>
      <c r="AI10" s="553">
        <f>AH10*E10</f>
        <v>6300000</v>
      </c>
      <c r="AJ10" s="553">
        <v>1</v>
      </c>
      <c r="AK10" s="553">
        <f>AJ10*E10</f>
        <v>6300000</v>
      </c>
      <c r="AL10" s="553">
        <v>1</v>
      </c>
      <c r="AM10" s="553">
        <f>AL10*E10</f>
        <v>6300000</v>
      </c>
      <c r="AN10" s="553">
        <v>1</v>
      </c>
      <c r="AO10" s="553">
        <f>AN10*E10</f>
        <v>6300000</v>
      </c>
      <c r="AP10" s="553">
        <v>1</v>
      </c>
      <c r="AQ10" s="553">
        <f>AP10*E10</f>
        <v>6300000</v>
      </c>
      <c r="AR10" s="553">
        <v>1</v>
      </c>
      <c r="AS10" s="553">
        <f>AR10*E10</f>
        <v>6300000</v>
      </c>
      <c r="AT10" s="553">
        <v>1</v>
      </c>
      <c r="AU10" s="553">
        <f>AT10*E10</f>
        <v>6300000</v>
      </c>
      <c r="AV10" s="553">
        <v>1</v>
      </c>
      <c r="AW10" s="553">
        <f>AV10*E10</f>
        <v>6300000</v>
      </c>
      <c r="AX10" s="553">
        <v>1</v>
      </c>
      <c r="AY10" s="553">
        <f>AX10*E10</f>
        <v>6300000</v>
      </c>
      <c r="AZ10" s="553">
        <v>1</v>
      </c>
      <c r="BA10" s="553">
        <f>AZ10*E10</f>
        <v>6300000</v>
      </c>
      <c r="BB10" s="553">
        <v>1</v>
      </c>
      <c r="BC10" s="553">
        <f>BB10*E10</f>
        <v>6300000</v>
      </c>
      <c r="BD10" s="553">
        <v>1</v>
      </c>
      <c r="BE10" s="943">
        <f>BD10*E10+3000000</f>
        <v>9300000</v>
      </c>
      <c r="BF10" s="553">
        <v>1</v>
      </c>
      <c r="BG10" s="553">
        <f>BF10*E10</f>
        <v>6300000</v>
      </c>
      <c r="BH10" s="554"/>
      <c r="BI10" s="553">
        <f>BH10*E10</f>
        <v>0</v>
      </c>
      <c r="BJ10" s="555">
        <f>Z10+AB10+AD10+AF10+AH10+AJ10+AL10+AN10+AP10+AR10+AT10+AV10+AX10+AZ10+BB10+BD10+BF10+BH10</f>
        <v>17</v>
      </c>
      <c r="BK10" s="555">
        <f>AA10+AC10+AE10+AG10+AI10+AK10+AM10+AO10+AQ10+AS10+AU10+AW10+AY10+BA10+BC10+BE10+BG10+BI10</f>
        <v>110100000</v>
      </c>
      <c r="BL10" s="551" t="s">
        <v>226</v>
      </c>
      <c r="BN10" s="557"/>
      <c r="BO10" s="557"/>
      <c r="BP10" s="404">
        <f>G10</f>
        <v>110100000</v>
      </c>
      <c r="BQ10" s="404"/>
      <c r="BR10" s="404">
        <f>BN10+BO10+BP10+BQ10</f>
        <v>110100000</v>
      </c>
      <c r="BS10" s="404"/>
      <c r="BT10" s="404"/>
      <c r="BU10" s="404">
        <f>BS10+BT10</f>
        <v>0</v>
      </c>
      <c r="BV10" s="405">
        <f t="shared" ref="BV10:BV28" si="1">BR10+BU10</f>
        <v>110100000</v>
      </c>
    </row>
    <row r="11" spans="1:74" s="226" customFormat="1" ht="15.75">
      <c r="A11" s="745"/>
      <c r="B11" s="322"/>
      <c r="C11" s="420" t="s">
        <v>659</v>
      </c>
      <c r="D11" s="362"/>
      <c r="E11" s="362"/>
      <c r="F11" s="308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362"/>
      <c r="BN11" s="417"/>
      <c r="BO11" s="417"/>
      <c r="BP11" s="417"/>
      <c r="BQ11" s="417"/>
      <c r="BR11" s="417"/>
      <c r="BS11" s="417"/>
      <c r="BT11" s="417"/>
      <c r="BU11" s="417"/>
      <c r="BV11" s="417"/>
    </row>
    <row r="12" spans="1:74" s="90" customFormat="1" ht="32.25" customHeight="1">
      <c r="A12" s="745"/>
      <c r="B12" s="412"/>
      <c r="C12" s="421" t="s">
        <v>660</v>
      </c>
      <c r="D12" s="362" t="s">
        <v>66</v>
      </c>
      <c r="E12" s="312">
        <v>3000</v>
      </c>
      <c r="F12" s="548">
        <f>BJ12</f>
        <v>120</v>
      </c>
      <c r="G12" s="96">
        <f>F12*E12</f>
        <v>360000</v>
      </c>
      <c r="H12" s="96">
        <f>G12*0.2</f>
        <v>72000</v>
      </c>
      <c r="I12" s="96">
        <f>G12*0.8</f>
        <v>288000</v>
      </c>
      <c r="J12" s="96"/>
      <c r="K12" s="96"/>
      <c r="L12" s="96"/>
      <c r="M12" s="96"/>
      <c r="N12" s="96"/>
      <c r="O12" s="242"/>
      <c r="P12" s="242"/>
      <c r="Q12" s="242"/>
      <c r="R12" s="96">
        <f>F12*0.25</f>
        <v>30</v>
      </c>
      <c r="S12" s="96">
        <f>F12*0.25</f>
        <v>30</v>
      </c>
      <c r="T12" s="96">
        <f>F12*0.25</f>
        <v>30</v>
      </c>
      <c r="U12" s="96">
        <f>F12*0.25</f>
        <v>30</v>
      </c>
      <c r="V12" s="96">
        <f>R12*E12</f>
        <v>90000</v>
      </c>
      <c r="W12" s="96">
        <f>S12*E12</f>
        <v>90000</v>
      </c>
      <c r="X12" s="95">
        <f>T12*E12</f>
        <v>90000</v>
      </c>
      <c r="Y12" s="95">
        <f>U12*E12</f>
        <v>90000</v>
      </c>
      <c r="Z12" s="96">
        <f>SUM(Z11)</f>
        <v>0</v>
      </c>
      <c r="AA12" s="96">
        <f>Z12*E12</f>
        <v>0</v>
      </c>
      <c r="AB12" s="96"/>
      <c r="AC12" s="96">
        <f>AB12*E12</f>
        <v>0</v>
      </c>
      <c r="AD12" s="96"/>
      <c r="AE12" s="96">
        <f>AD12*E12</f>
        <v>0</v>
      </c>
      <c r="AF12" s="96"/>
      <c r="AG12" s="96">
        <f>AF12*E12</f>
        <v>0</v>
      </c>
      <c r="AH12" s="96"/>
      <c r="AI12" s="96">
        <f>AH12*E12</f>
        <v>0</v>
      </c>
      <c r="AJ12" s="96"/>
      <c r="AK12" s="96">
        <f>AJ12*E12</f>
        <v>0</v>
      </c>
      <c r="AL12" s="96"/>
      <c r="AM12" s="96">
        <f>AL12*E12</f>
        <v>0</v>
      </c>
      <c r="AN12" s="96"/>
      <c r="AO12" s="96">
        <f>AN12*E12</f>
        <v>0</v>
      </c>
      <c r="AP12" s="96"/>
      <c r="AQ12" s="96">
        <f>AP12*E12</f>
        <v>0</v>
      </c>
      <c r="AR12" s="96"/>
      <c r="AS12" s="96">
        <f>AR12*E12</f>
        <v>0</v>
      </c>
      <c r="AT12" s="96"/>
      <c r="AU12" s="96">
        <f>AT12*E12</f>
        <v>0</v>
      </c>
      <c r="AV12" s="96"/>
      <c r="AW12" s="96">
        <f>AV12*E12</f>
        <v>0</v>
      </c>
      <c r="AX12" s="96"/>
      <c r="AY12" s="96">
        <f>AX12*E12</f>
        <v>0</v>
      </c>
      <c r="AZ12" s="96"/>
      <c r="BA12" s="96">
        <f>AZ12*E12</f>
        <v>0</v>
      </c>
      <c r="BB12" s="96"/>
      <c r="BC12" s="96">
        <f>BB12*E12</f>
        <v>0</v>
      </c>
      <c r="BD12" s="96"/>
      <c r="BE12" s="96">
        <f>BD12*E12</f>
        <v>0</v>
      </c>
      <c r="BF12" s="96"/>
      <c r="BG12" s="96">
        <f>BF12*E12</f>
        <v>0</v>
      </c>
      <c r="BH12" s="97">
        <v>120</v>
      </c>
      <c r="BI12" s="96">
        <f t="shared" ref="BI12:BI39" si="2">BH12*E12</f>
        <v>360000</v>
      </c>
      <c r="BJ12" s="96">
        <f t="shared" ref="BJ12:BK14" si="3">Z12+AB12+AD12+AF12+AH12+AJ12+AL12+AN12+AP12+AR12+AT12+AV12+AX12+AZ12+BB12+BD12+BF12+BH12</f>
        <v>120</v>
      </c>
      <c r="BK12" s="96">
        <f t="shared" si="3"/>
        <v>360000</v>
      </c>
      <c r="BL12" s="362" t="s">
        <v>224</v>
      </c>
      <c r="BN12" s="98"/>
      <c r="BO12" s="98">
        <f>BK12</f>
        <v>360000</v>
      </c>
      <c r="BP12" s="98"/>
      <c r="BQ12" s="98"/>
      <c r="BR12" s="98">
        <f>BN12+BO12+BP12+BQ12</f>
        <v>360000</v>
      </c>
      <c r="BS12" s="98"/>
      <c r="BT12" s="98"/>
      <c r="BU12" s="98"/>
      <c r="BV12" s="99">
        <f t="shared" si="1"/>
        <v>360000</v>
      </c>
    </row>
    <row r="13" spans="1:74" s="90" customFormat="1" ht="48" customHeight="1">
      <c r="A13" s="745"/>
      <c r="B13" s="94"/>
      <c r="C13" s="421" t="s">
        <v>661</v>
      </c>
      <c r="D13" s="362" t="s">
        <v>66</v>
      </c>
      <c r="E13" s="312">
        <v>700</v>
      </c>
      <c r="F13" s="548">
        <f>BJ13</f>
        <v>40</v>
      </c>
      <c r="G13" s="96">
        <f>F13*E13</f>
        <v>28000</v>
      </c>
      <c r="H13" s="96">
        <f>G13*0.2</f>
        <v>5600</v>
      </c>
      <c r="I13" s="96">
        <f>G13*0.8</f>
        <v>22400</v>
      </c>
      <c r="J13" s="96"/>
      <c r="K13" s="96"/>
      <c r="L13" s="96"/>
      <c r="M13" s="96"/>
      <c r="N13" s="96"/>
      <c r="O13" s="96"/>
      <c r="P13" s="96"/>
      <c r="Q13" s="96"/>
      <c r="R13" s="96">
        <f>F13*0.25</f>
        <v>10</v>
      </c>
      <c r="S13" s="97">
        <f>F13*0.25</f>
        <v>10</v>
      </c>
      <c r="T13" s="97">
        <f>F13*0.25</f>
        <v>10</v>
      </c>
      <c r="U13" s="97">
        <f>F13*0.25</f>
        <v>10</v>
      </c>
      <c r="V13" s="96">
        <f>R13*E13</f>
        <v>7000</v>
      </c>
      <c r="W13" s="96">
        <f>S13*E13</f>
        <v>7000</v>
      </c>
      <c r="X13" s="96">
        <f>T13*E13</f>
        <v>7000</v>
      </c>
      <c r="Y13" s="96">
        <f>U13*E13</f>
        <v>7000</v>
      </c>
      <c r="Z13" s="96">
        <f>SUM(Z12)</f>
        <v>0</v>
      </c>
      <c r="AA13" s="96">
        <f>Z13*E13</f>
        <v>0</v>
      </c>
      <c r="AB13" s="96"/>
      <c r="AC13" s="96">
        <f>AB13*E13</f>
        <v>0</v>
      </c>
      <c r="AD13" s="96"/>
      <c r="AE13" s="96">
        <f>AD13*E13</f>
        <v>0</v>
      </c>
      <c r="AF13" s="96"/>
      <c r="AG13" s="96">
        <f>AF13*E13</f>
        <v>0</v>
      </c>
      <c r="AH13" s="96"/>
      <c r="AI13" s="96">
        <f>AH13*E13</f>
        <v>0</v>
      </c>
      <c r="AJ13" s="96"/>
      <c r="AK13" s="96">
        <f>AJ13*E13</f>
        <v>0</v>
      </c>
      <c r="AL13" s="96"/>
      <c r="AM13" s="96">
        <f>AL13*E13</f>
        <v>0</v>
      </c>
      <c r="AN13" s="96"/>
      <c r="AO13" s="96">
        <f>AN13*E13</f>
        <v>0</v>
      </c>
      <c r="AP13" s="96"/>
      <c r="AQ13" s="96">
        <f>AP13*E13</f>
        <v>0</v>
      </c>
      <c r="AR13" s="96"/>
      <c r="AS13" s="96">
        <f>AR13*E13</f>
        <v>0</v>
      </c>
      <c r="AT13" s="96"/>
      <c r="AU13" s="96">
        <f>AT13*E13</f>
        <v>0</v>
      </c>
      <c r="AV13" s="96"/>
      <c r="AW13" s="96">
        <f>AV13*E13</f>
        <v>0</v>
      </c>
      <c r="AX13" s="96"/>
      <c r="AY13" s="96">
        <f>AX13*E13</f>
        <v>0</v>
      </c>
      <c r="AZ13" s="96"/>
      <c r="BA13" s="96">
        <f>AZ13*E13</f>
        <v>0</v>
      </c>
      <c r="BB13" s="96"/>
      <c r="BC13" s="96">
        <f>BB13*E13</f>
        <v>0</v>
      </c>
      <c r="BD13" s="96"/>
      <c r="BE13" s="96">
        <f>BD13*E13</f>
        <v>0</v>
      </c>
      <c r="BF13" s="96"/>
      <c r="BG13" s="96">
        <f>BF13*E13</f>
        <v>0</v>
      </c>
      <c r="BH13" s="97">
        <v>40</v>
      </c>
      <c r="BI13" s="96">
        <f t="shared" si="2"/>
        <v>28000</v>
      </c>
      <c r="BJ13" s="96">
        <f t="shared" si="3"/>
        <v>40</v>
      </c>
      <c r="BK13" s="96">
        <f t="shared" si="3"/>
        <v>28000</v>
      </c>
      <c r="BL13" s="362" t="s">
        <v>682</v>
      </c>
      <c r="BN13" s="98"/>
      <c r="BO13" s="98">
        <f>BK13</f>
        <v>28000</v>
      </c>
      <c r="BP13" s="98"/>
      <c r="BQ13" s="98"/>
      <c r="BR13" s="98">
        <f>BN13+BO13+BP13+BQ13</f>
        <v>28000</v>
      </c>
      <c r="BS13" s="98"/>
      <c r="BT13" s="98"/>
      <c r="BU13" s="98">
        <f>BS13+BT13</f>
        <v>0</v>
      </c>
      <c r="BV13" s="99">
        <f t="shared" si="1"/>
        <v>28000</v>
      </c>
    </row>
    <row r="14" spans="1:74" s="90" customFormat="1" ht="48" customHeight="1">
      <c r="A14" s="745"/>
      <c r="B14" s="94"/>
      <c r="C14" s="421" t="s">
        <v>662</v>
      </c>
      <c r="D14" s="362" t="s">
        <v>66</v>
      </c>
      <c r="E14" s="312">
        <v>500</v>
      </c>
      <c r="F14" s="548">
        <f>BJ14</f>
        <v>600</v>
      </c>
      <c r="G14" s="96">
        <f>F14*E14</f>
        <v>300000</v>
      </c>
      <c r="H14" s="96">
        <f>G14*0.2</f>
        <v>60000</v>
      </c>
      <c r="I14" s="96">
        <f>G14*0.8</f>
        <v>240000</v>
      </c>
      <c r="J14" s="96"/>
      <c r="K14" s="96"/>
      <c r="L14" s="96"/>
      <c r="M14" s="96"/>
      <c r="N14" s="96"/>
      <c r="O14" s="96"/>
      <c r="P14" s="96"/>
      <c r="Q14" s="96"/>
      <c r="R14" s="96">
        <f>F14*0.25</f>
        <v>150</v>
      </c>
      <c r="S14" s="97">
        <f>F14*0.25</f>
        <v>150</v>
      </c>
      <c r="T14" s="97">
        <f>F14*0.25</f>
        <v>150</v>
      </c>
      <c r="U14" s="97">
        <f>F14*0.25</f>
        <v>150</v>
      </c>
      <c r="V14" s="96">
        <f>R14*E14</f>
        <v>75000</v>
      </c>
      <c r="W14" s="96">
        <f>S14*E14</f>
        <v>75000</v>
      </c>
      <c r="X14" s="96">
        <f>T14*E14</f>
        <v>75000</v>
      </c>
      <c r="Y14" s="96">
        <f>U14*E14</f>
        <v>75000</v>
      </c>
      <c r="Z14" s="96">
        <f>SUM(Z13)</f>
        <v>0</v>
      </c>
      <c r="AA14" s="96">
        <f>Z14*E14</f>
        <v>0</v>
      </c>
      <c r="AB14" s="96"/>
      <c r="AC14" s="96">
        <f>AB14*E14</f>
        <v>0</v>
      </c>
      <c r="AD14" s="96"/>
      <c r="AE14" s="96">
        <f>AD14*E14</f>
        <v>0</v>
      </c>
      <c r="AF14" s="96"/>
      <c r="AG14" s="96">
        <f>AF14*E14</f>
        <v>0</v>
      </c>
      <c r="AH14" s="96"/>
      <c r="AI14" s="96">
        <f>AH14*E14</f>
        <v>0</v>
      </c>
      <c r="AJ14" s="96"/>
      <c r="AK14" s="96">
        <f>AJ14*E14</f>
        <v>0</v>
      </c>
      <c r="AL14" s="96"/>
      <c r="AM14" s="96">
        <f>AL14*E14</f>
        <v>0</v>
      </c>
      <c r="AN14" s="96"/>
      <c r="AO14" s="96">
        <f>AN14*E14</f>
        <v>0</v>
      </c>
      <c r="AP14" s="96"/>
      <c r="AQ14" s="96">
        <f>AP14*E14</f>
        <v>0</v>
      </c>
      <c r="AR14" s="96"/>
      <c r="AS14" s="96">
        <f>AR14*E14</f>
        <v>0</v>
      </c>
      <c r="AT14" s="96"/>
      <c r="AU14" s="96">
        <f>AT14*E14</f>
        <v>0</v>
      </c>
      <c r="AV14" s="96"/>
      <c r="AW14" s="96">
        <f>AV14*E14</f>
        <v>0</v>
      </c>
      <c r="AX14" s="96"/>
      <c r="AY14" s="96">
        <f>AX14*E14</f>
        <v>0</v>
      </c>
      <c r="AZ14" s="96"/>
      <c r="BA14" s="96">
        <f>AZ14*E14</f>
        <v>0</v>
      </c>
      <c r="BB14" s="96"/>
      <c r="BC14" s="96">
        <f>BB14*E14</f>
        <v>0</v>
      </c>
      <c r="BD14" s="96"/>
      <c r="BE14" s="96">
        <f>BD14*E14</f>
        <v>0</v>
      </c>
      <c r="BF14" s="96"/>
      <c r="BG14" s="96">
        <f>BF14*E14</f>
        <v>0</v>
      </c>
      <c r="BH14" s="97">
        <v>600</v>
      </c>
      <c r="BI14" s="96">
        <f t="shared" si="2"/>
        <v>300000</v>
      </c>
      <c r="BJ14" s="96">
        <f t="shared" si="3"/>
        <v>600</v>
      </c>
      <c r="BK14" s="96">
        <f t="shared" si="3"/>
        <v>300000</v>
      </c>
      <c r="BL14" s="362" t="s">
        <v>682</v>
      </c>
      <c r="BN14" s="98"/>
      <c r="BO14" s="98">
        <f>BK14</f>
        <v>300000</v>
      </c>
      <c r="BP14" s="98"/>
      <c r="BQ14" s="98"/>
      <c r="BR14" s="98">
        <f>BN14+BO14+BP14+BQ14</f>
        <v>300000</v>
      </c>
      <c r="BS14" s="98"/>
      <c r="BT14" s="98"/>
      <c r="BU14" s="98"/>
      <c r="BV14" s="99">
        <f t="shared" si="1"/>
        <v>300000</v>
      </c>
    </row>
    <row r="15" spans="1:74" s="558" customFormat="1" ht="15.75">
      <c r="A15" s="745"/>
      <c r="B15" s="552"/>
      <c r="C15" s="422" t="s">
        <v>663</v>
      </c>
      <c r="D15" s="439" t="s">
        <v>121</v>
      </c>
      <c r="E15" s="440" t="s">
        <v>121</v>
      </c>
      <c r="F15" s="553">
        <f t="shared" ref="F15:Y15" si="4">SUM(F12:F14)</f>
        <v>760</v>
      </c>
      <c r="G15" s="553">
        <f t="shared" si="4"/>
        <v>688000</v>
      </c>
      <c r="H15" s="553">
        <f t="shared" si="4"/>
        <v>137600</v>
      </c>
      <c r="I15" s="553">
        <f t="shared" si="4"/>
        <v>550400</v>
      </c>
      <c r="J15" s="553">
        <f t="shared" si="4"/>
        <v>0</v>
      </c>
      <c r="K15" s="553">
        <f t="shared" si="4"/>
        <v>0</v>
      </c>
      <c r="L15" s="553">
        <f t="shared" si="4"/>
        <v>0</v>
      </c>
      <c r="M15" s="553">
        <f t="shared" si="4"/>
        <v>0</v>
      </c>
      <c r="N15" s="553">
        <f t="shared" si="4"/>
        <v>0</v>
      </c>
      <c r="O15" s="553">
        <f t="shared" si="4"/>
        <v>0</v>
      </c>
      <c r="P15" s="553">
        <f t="shared" si="4"/>
        <v>0</v>
      </c>
      <c r="Q15" s="553">
        <f t="shared" si="4"/>
        <v>0</v>
      </c>
      <c r="R15" s="553">
        <f t="shared" si="4"/>
        <v>190</v>
      </c>
      <c r="S15" s="553">
        <f t="shared" si="4"/>
        <v>190</v>
      </c>
      <c r="T15" s="553">
        <f t="shared" si="4"/>
        <v>190</v>
      </c>
      <c r="U15" s="553">
        <f t="shared" si="4"/>
        <v>190</v>
      </c>
      <c r="V15" s="553">
        <f t="shared" si="4"/>
        <v>172000</v>
      </c>
      <c r="W15" s="553">
        <f t="shared" si="4"/>
        <v>172000</v>
      </c>
      <c r="X15" s="553">
        <f t="shared" si="4"/>
        <v>172000</v>
      </c>
      <c r="Y15" s="553">
        <f t="shared" si="4"/>
        <v>172000</v>
      </c>
      <c r="Z15" s="553">
        <f>SUM(Z12:Z14)</f>
        <v>0</v>
      </c>
      <c r="AA15" s="553">
        <f t="shared" ref="AA15:BV15" si="5">SUM(AA12:AA14)</f>
        <v>0</v>
      </c>
      <c r="AB15" s="553">
        <f t="shared" si="5"/>
        <v>0</v>
      </c>
      <c r="AC15" s="553">
        <f t="shared" si="5"/>
        <v>0</v>
      </c>
      <c r="AD15" s="553">
        <f t="shared" si="5"/>
        <v>0</v>
      </c>
      <c r="AE15" s="553">
        <f t="shared" si="5"/>
        <v>0</v>
      </c>
      <c r="AF15" s="553">
        <f t="shared" si="5"/>
        <v>0</v>
      </c>
      <c r="AG15" s="553">
        <f t="shared" si="5"/>
        <v>0</v>
      </c>
      <c r="AH15" s="553">
        <f t="shared" si="5"/>
        <v>0</v>
      </c>
      <c r="AI15" s="553">
        <f t="shared" si="5"/>
        <v>0</v>
      </c>
      <c r="AJ15" s="553">
        <f t="shared" si="5"/>
        <v>0</v>
      </c>
      <c r="AK15" s="553">
        <f t="shared" si="5"/>
        <v>0</v>
      </c>
      <c r="AL15" s="553">
        <f t="shared" si="5"/>
        <v>0</v>
      </c>
      <c r="AM15" s="553">
        <f t="shared" si="5"/>
        <v>0</v>
      </c>
      <c r="AN15" s="553">
        <f t="shared" si="5"/>
        <v>0</v>
      </c>
      <c r="AO15" s="553">
        <f t="shared" si="5"/>
        <v>0</v>
      </c>
      <c r="AP15" s="553">
        <f t="shared" si="5"/>
        <v>0</v>
      </c>
      <c r="AQ15" s="553">
        <f t="shared" si="5"/>
        <v>0</v>
      </c>
      <c r="AR15" s="553">
        <f t="shared" si="5"/>
        <v>0</v>
      </c>
      <c r="AS15" s="553">
        <f t="shared" si="5"/>
        <v>0</v>
      </c>
      <c r="AT15" s="553">
        <f t="shared" si="5"/>
        <v>0</v>
      </c>
      <c r="AU15" s="553">
        <f t="shared" si="5"/>
        <v>0</v>
      </c>
      <c r="AV15" s="553">
        <f t="shared" si="5"/>
        <v>0</v>
      </c>
      <c r="AW15" s="553">
        <f t="shared" si="5"/>
        <v>0</v>
      </c>
      <c r="AX15" s="553">
        <f t="shared" si="5"/>
        <v>0</v>
      </c>
      <c r="AY15" s="553">
        <f t="shared" si="5"/>
        <v>0</v>
      </c>
      <c r="AZ15" s="553">
        <f t="shared" si="5"/>
        <v>0</v>
      </c>
      <c r="BA15" s="553">
        <f t="shared" si="5"/>
        <v>0</v>
      </c>
      <c r="BB15" s="553">
        <f t="shared" si="5"/>
        <v>0</v>
      </c>
      <c r="BC15" s="553">
        <f t="shared" si="5"/>
        <v>0</v>
      </c>
      <c r="BD15" s="553">
        <f t="shared" si="5"/>
        <v>0</v>
      </c>
      <c r="BE15" s="553">
        <f t="shared" si="5"/>
        <v>0</v>
      </c>
      <c r="BF15" s="553">
        <f t="shared" si="5"/>
        <v>0</v>
      </c>
      <c r="BG15" s="553">
        <f t="shared" si="5"/>
        <v>0</v>
      </c>
      <c r="BH15" s="553">
        <f t="shared" si="5"/>
        <v>760</v>
      </c>
      <c r="BI15" s="553">
        <f t="shared" si="5"/>
        <v>688000</v>
      </c>
      <c r="BJ15" s="553">
        <f t="shared" si="5"/>
        <v>760</v>
      </c>
      <c r="BK15" s="553">
        <f t="shared" si="5"/>
        <v>688000</v>
      </c>
      <c r="BL15" s="553">
        <f t="shared" si="5"/>
        <v>0</v>
      </c>
      <c r="BM15" s="553">
        <f t="shared" si="5"/>
        <v>0</v>
      </c>
      <c r="BN15" s="553">
        <f t="shared" si="5"/>
        <v>0</v>
      </c>
      <c r="BO15" s="553">
        <f t="shared" si="5"/>
        <v>688000</v>
      </c>
      <c r="BP15" s="553">
        <f t="shared" si="5"/>
        <v>0</v>
      </c>
      <c r="BQ15" s="553">
        <f t="shared" si="5"/>
        <v>0</v>
      </c>
      <c r="BR15" s="553">
        <f t="shared" si="5"/>
        <v>688000</v>
      </c>
      <c r="BS15" s="553">
        <f t="shared" si="5"/>
        <v>0</v>
      </c>
      <c r="BT15" s="553">
        <f t="shared" si="5"/>
        <v>0</v>
      </c>
      <c r="BU15" s="553">
        <f t="shared" si="5"/>
        <v>0</v>
      </c>
      <c r="BV15" s="553">
        <f t="shared" si="5"/>
        <v>688000</v>
      </c>
    </row>
    <row r="16" spans="1:74" s="226" customFormat="1" ht="22.35" customHeight="1">
      <c r="A16" s="745"/>
      <c r="B16" s="322"/>
      <c r="C16" s="420" t="s">
        <v>664</v>
      </c>
      <c r="D16" s="362"/>
      <c r="E16" s="362"/>
      <c r="F16" s="308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356"/>
      <c r="S16" s="356"/>
      <c r="T16" s="356"/>
      <c r="U16" s="356"/>
      <c r="V16" s="242"/>
      <c r="W16" s="242"/>
      <c r="X16" s="242"/>
      <c r="Y16" s="242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7"/>
      <c r="BI16" s="96"/>
      <c r="BJ16" s="96"/>
      <c r="BK16" s="96"/>
      <c r="BL16" s="362"/>
      <c r="BN16" s="241"/>
      <c r="BO16" s="241"/>
      <c r="BP16" s="241"/>
      <c r="BQ16" s="241"/>
      <c r="BR16" s="241"/>
      <c r="BS16" s="241"/>
      <c r="BT16" s="241"/>
      <c r="BU16" s="241"/>
      <c r="BV16" s="241"/>
    </row>
    <row r="17" spans="1:74" s="90" customFormat="1" ht="32.25" customHeight="1">
      <c r="A17" s="745"/>
      <c r="B17" s="94"/>
      <c r="C17" s="421" t="s">
        <v>709</v>
      </c>
      <c r="D17" s="362" t="s">
        <v>66</v>
      </c>
      <c r="E17" s="312">
        <v>700</v>
      </c>
      <c r="F17" s="548">
        <f>BJ17</f>
        <v>510</v>
      </c>
      <c r="G17" s="96">
        <f>F17*E17</f>
        <v>357000</v>
      </c>
      <c r="H17" s="96">
        <f>G17*0.2</f>
        <v>71400</v>
      </c>
      <c r="I17" s="96">
        <f>G17*0.8</f>
        <v>285600</v>
      </c>
      <c r="J17" s="96"/>
      <c r="K17" s="96"/>
      <c r="L17" s="96"/>
      <c r="M17" s="96"/>
      <c r="N17" s="96"/>
      <c r="O17" s="96"/>
      <c r="P17" s="96"/>
      <c r="Q17" s="96"/>
      <c r="R17" s="96">
        <f>F17*0.25</f>
        <v>127.5</v>
      </c>
      <c r="S17" s="96">
        <f>F17*0.25</f>
        <v>127.5</v>
      </c>
      <c r="T17" s="96">
        <f>F17*0.25</f>
        <v>127.5</v>
      </c>
      <c r="U17" s="96">
        <f>F17*0.25</f>
        <v>127.5</v>
      </c>
      <c r="V17" s="96">
        <f>R17*E17</f>
        <v>89250</v>
      </c>
      <c r="W17" s="96">
        <f>S17*E17</f>
        <v>89250</v>
      </c>
      <c r="X17" s="95">
        <f>T17*E17</f>
        <v>89250</v>
      </c>
      <c r="Y17" s="95">
        <f>U17*E17</f>
        <v>89250</v>
      </c>
      <c r="Z17" s="96">
        <v>30</v>
      </c>
      <c r="AA17" s="96">
        <f>Z17*E17</f>
        <v>21000</v>
      </c>
      <c r="AB17" s="96">
        <v>30</v>
      </c>
      <c r="AC17" s="96">
        <f>AB17*E17</f>
        <v>21000</v>
      </c>
      <c r="AD17" s="96">
        <v>30</v>
      </c>
      <c r="AE17" s="96">
        <f>AD17*E17</f>
        <v>21000</v>
      </c>
      <c r="AF17" s="96">
        <v>30</v>
      </c>
      <c r="AG17" s="96">
        <f>AF17*E17</f>
        <v>21000</v>
      </c>
      <c r="AH17" s="96">
        <v>30</v>
      </c>
      <c r="AI17" s="96">
        <f>AH17*E17</f>
        <v>21000</v>
      </c>
      <c r="AJ17" s="96">
        <v>30</v>
      </c>
      <c r="AK17" s="96">
        <f>AJ17*E17</f>
        <v>21000</v>
      </c>
      <c r="AL17" s="96">
        <v>30</v>
      </c>
      <c r="AM17" s="96">
        <f>AL17*E17</f>
        <v>21000</v>
      </c>
      <c r="AN17" s="96">
        <v>30</v>
      </c>
      <c r="AO17" s="96">
        <f>AN17*E17</f>
        <v>21000</v>
      </c>
      <c r="AP17" s="96">
        <v>30</v>
      </c>
      <c r="AQ17" s="96">
        <f>AP17*E17</f>
        <v>21000</v>
      </c>
      <c r="AR17" s="96">
        <v>30</v>
      </c>
      <c r="AS17" s="96">
        <f>AR17*E17</f>
        <v>21000</v>
      </c>
      <c r="AT17" s="96">
        <v>30</v>
      </c>
      <c r="AU17" s="96">
        <f>AT17*E17</f>
        <v>21000</v>
      </c>
      <c r="AV17" s="96">
        <v>30</v>
      </c>
      <c r="AW17" s="96">
        <f>AV17*E17</f>
        <v>21000</v>
      </c>
      <c r="AX17" s="96">
        <v>30</v>
      </c>
      <c r="AY17" s="96">
        <f>AX17*E17</f>
        <v>21000</v>
      </c>
      <c r="AZ17" s="96">
        <v>30</v>
      </c>
      <c r="BA17" s="96">
        <f>AZ17*E17</f>
        <v>21000</v>
      </c>
      <c r="BB17" s="96">
        <v>30</v>
      </c>
      <c r="BC17" s="96">
        <f>BB17*E17</f>
        <v>21000</v>
      </c>
      <c r="BD17" s="96">
        <v>30</v>
      </c>
      <c r="BE17" s="96">
        <f>BD17*E17</f>
        <v>21000</v>
      </c>
      <c r="BF17" s="96">
        <v>30</v>
      </c>
      <c r="BG17" s="96">
        <f>BF17*E17</f>
        <v>21000</v>
      </c>
      <c r="BH17" s="97"/>
      <c r="BI17" s="96">
        <f t="shared" si="2"/>
        <v>0</v>
      </c>
      <c r="BJ17" s="96">
        <f>Z17+AB17+AD17+AF17+AH17+AJ17+AL17+AN17+AP17+AR17+AT17+AV17+AX17+AZ17+BB17+BD17+BF17+BH17</f>
        <v>510</v>
      </c>
      <c r="BK17" s="96">
        <f>AA17+AC17+AE17+AG17+AI17+AK17+AM17+AO17+AQ17+AS17+AU17+AW17+AY17+BA17+BC17+BE17+BG17+BI17</f>
        <v>357000</v>
      </c>
      <c r="BL17" s="362" t="s">
        <v>224</v>
      </c>
      <c r="BN17" s="98"/>
      <c r="BO17" s="98">
        <f>BK17</f>
        <v>357000</v>
      </c>
      <c r="BP17" s="98"/>
      <c r="BQ17" s="98"/>
      <c r="BR17" s="98">
        <f>BN17+BO17+BP17+BQ17</f>
        <v>357000</v>
      </c>
      <c r="BS17" s="98"/>
      <c r="BT17" s="98"/>
      <c r="BU17" s="98"/>
      <c r="BV17" s="99">
        <f t="shared" si="1"/>
        <v>357000</v>
      </c>
    </row>
    <row r="18" spans="1:74" s="90" customFormat="1" ht="15.75">
      <c r="A18" s="745"/>
      <c r="B18" s="94"/>
      <c r="C18" s="420" t="s">
        <v>665</v>
      </c>
      <c r="D18" s="362"/>
      <c r="E18" s="362"/>
      <c r="F18" s="548"/>
      <c r="G18" s="96"/>
      <c r="H18" s="96">
        <f>G18*0.2</f>
        <v>0</v>
      </c>
      <c r="I18" s="96">
        <f>G18*0.8</f>
        <v>0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6"/>
      <c r="W18" s="96"/>
      <c r="X18" s="96"/>
      <c r="Y18" s="96"/>
      <c r="Z18" s="96"/>
      <c r="AA18" s="96">
        <f>Z18*E18</f>
        <v>0</v>
      </c>
      <c r="AB18" s="96"/>
      <c r="AC18" s="96">
        <f>AB18*E18</f>
        <v>0</v>
      </c>
      <c r="AD18" s="96"/>
      <c r="AE18" s="96">
        <f>AD18*E18</f>
        <v>0</v>
      </c>
      <c r="AF18" s="96"/>
      <c r="AG18" s="96">
        <f>AF18*E18</f>
        <v>0</v>
      </c>
      <c r="AH18" s="96"/>
      <c r="AI18" s="96">
        <f>AH18*E18</f>
        <v>0</v>
      </c>
      <c r="AJ18" s="96"/>
      <c r="AK18" s="96">
        <f>AJ18*E18</f>
        <v>0</v>
      </c>
      <c r="AL18" s="96"/>
      <c r="AM18" s="96">
        <f>AL18*E18</f>
        <v>0</v>
      </c>
      <c r="AN18" s="96"/>
      <c r="AO18" s="96">
        <f>AN18*E18</f>
        <v>0</v>
      </c>
      <c r="AP18" s="96"/>
      <c r="AQ18" s="96">
        <f>AP18*E18</f>
        <v>0</v>
      </c>
      <c r="AR18" s="96"/>
      <c r="AS18" s="96">
        <f>AR18*E18</f>
        <v>0</v>
      </c>
      <c r="AT18" s="96"/>
      <c r="AU18" s="96">
        <f>AT18*E18</f>
        <v>0</v>
      </c>
      <c r="AV18" s="96"/>
      <c r="AW18" s="96">
        <f>AV18*E18</f>
        <v>0</v>
      </c>
      <c r="AX18" s="96"/>
      <c r="AY18" s="96">
        <f>AX18*E18</f>
        <v>0</v>
      </c>
      <c r="AZ18" s="96"/>
      <c r="BA18" s="96">
        <f>AZ18*E18</f>
        <v>0</v>
      </c>
      <c r="BB18" s="96"/>
      <c r="BC18" s="96">
        <f>BB18*E18</f>
        <v>0</v>
      </c>
      <c r="BD18" s="96"/>
      <c r="BE18" s="96">
        <f>BD18*E18</f>
        <v>0</v>
      </c>
      <c r="BF18" s="96"/>
      <c r="BG18" s="96">
        <f>BF18*E18</f>
        <v>0</v>
      </c>
      <c r="BH18" s="97"/>
      <c r="BI18" s="96">
        <f t="shared" si="2"/>
        <v>0</v>
      </c>
      <c r="BJ18" s="96">
        <f>Z18+AB18+AD18+AF18+AH18+AJ18+AL18+AN18+AP18+AR18+AT18+AV18+AX18+AZ18+BB18+BD18+BF18+BH18</f>
        <v>0</v>
      </c>
      <c r="BK18" s="96"/>
      <c r="BL18" s="362"/>
      <c r="BN18" s="98"/>
      <c r="BO18" s="98"/>
      <c r="BP18" s="98"/>
      <c r="BQ18" s="98"/>
      <c r="BR18" s="98"/>
      <c r="BS18" s="98"/>
      <c r="BT18" s="98"/>
      <c r="BU18" s="98"/>
      <c r="BV18" s="99"/>
    </row>
    <row r="19" spans="1:74" s="90" customFormat="1" ht="32.25" customHeight="1">
      <c r="A19" s="745"/>
      <c r="B19" s="296"/>
      <c r="C19" s="421" t="s">
        <v>666</v>
      </c>
      <c r="D19" s="362" t="s">
        <v>67</v>
      </c>
      <c r="E19" s="312">
        <v>100</v>
      </c>
      <c r="F19" s="548">
        <f>BJ19</f>
        <v>1112</v>
      </c>
      <c r="G19" s="96">
        <f>F19*E19</f>
        <v>111200</v>
      </c>
      <c r="H19" s="96">
        <f>G19*0.2</f>
        <v>22240</v>
      </c>
      <c r="I19" s="96">
        <f>G19*0.8</f>
        <v>88960</v>
      </c>
      <c r="J19" s="96"/>
      <c r="K19" s="96"/>
      <c r="L19" s="96"/>
      <c r="M19" s="96"/>
      <c r="N19" s="96"/>
      <c r="O19" s="96"/>
      <c r="P19" s="96"/>
      <c r="Q19" s="96"/>
      <c r="R19" s="97">
        <f>F19*0.25</f>
        <v>278</v>
      </c>
      <c r="S19" s="97">
        <f>F19*0.25</f>
        <v>278</v>
      </c>
      <c r="T19" s="97">
        <f>F19*0.25</f>
        <v>278</v>
      </c>
      <c r="U19" s="97">
        <f>F19*0.25</f>
        <v>278</v>
      </c>
      <c r="V19" s="96">
        <f>R19*E19</f>
        <v>27800</v>
      </c>
      <c r="W19" s="96">
        <f>S19*E19</f>
        <v>27800</v>
      </c>
      <c r="X19" s="96">
        <f>T19*E19</f>
        <v>27800</v>
      </c>
      <c r="Y19" s="96">
        <f>U19*E19</f>
        <v>27800</v>
      </c>
      <c r="Z19" s="96">
        <v>60</v>
      </c>
      <c r="AA19" s="96">
        <f>Z19*E19</f>
        <v>6000</v>
      </c>
      <c r="AB19" s="96">
        <v>60</v>
      </c>
      <c r="AC19" s="96">
        <f>AB19*E19</f>
        <v>6000</v>
      </c>
      <c r="AD19" s="96">
        <v>60</v>
      </c>
      <c r="AE19" s="96">
        <f>AD19*E19</f>
        <v>6000</v>
      </c>
      <c r="AF19" s="96">
        <v>102</v>
      </c>
      <c r="AG19" s="96">
        <f>AF19*E19</f>
        <v>10200</v>
      </c>
      <c r="AH19" s="96">
        <v>60</v>
      </c>
      <c r="AI19" s="96">
        <f>AH19*E19</f>
        <v>6000</v>
      </c>
      <c r="AJ19" s="96">
        <v>60</v>
      </c>
      <c r="AK19" s="96">
        <f>AJ19*E19</f>
        <v>6000</v>
      </c>
      <c r="AL19" s="96">
        <v>60</v>
      </c>
      <c r="AM19" s="96">
        <f>AL19*E19</f>
        <v>6000</v>
      </c>
      <c r="AN19" s="96">
        <v>80</v>
      </c>
      <c r="AO19" s="96">
        <f>AN19*E19</f>
        <v>8000</v>
      </c>
      <c r="AP19" s="96">
        <v>20</v>
      </c>
      <c r="AQ19" s="96">
        <f>AP19*E19</f>
        <v>2000</v>
      </c>
      <c r="AR19" s="96">
        <v>60</v>
      </c>
      <c r="AS19" s="96">
        <f>AR19*E19</f>
        <v>6000</v>
      </c>
      <c r="AT19" s="96">
        <v>60</v>
      </c>
      <c r="AU19" s="96">
        <f>AT19*E19</f>
        <v>6000</v>
      </c>
      <c r="AV19" s="96">
        <v>60</v>
      </c>
      <c r="AW19" s="96">
        <f>AV19*E19</f>
        <v>6000</v>
      </c>
      <c r="AX19" s="96">
        <v>60</v>
      </c>
      <c r="AY19" s="96">
        <f>AX19*E19</f>
        <v>6000</v>
      </c>
      <c r="AZ19" s="96">
        <v>60</v>
      </c>
      <c r="BA19" s="96">
        <f>AZ19*E19</f>
        <v>6000</v>
      </c>
      <c r="BB19" s="96">
        <v>70</v>
      </c>
      <c r="BC19" s="96">
        <f>BB19*E19</f>
        <v>7000</v>
      </c>
      <c r="BD19" s="96">
        <v>120</v>
      </c>
      <c r="BE19" s="96">
        <f>BD19*E19</f>
        <v>12000</v>
      </c>
      <c r="BF19" s="96">
        <v>60</v>
      </c>
      <c r="BG19" s="96">
        <f>BF19*E19</f>
        <v>6000</v>
      </c>
      <c r="BH19" s="97"/>
      <c r="BI19" s="96">
        <f t="shared" si="2"/>
        <v>0</v>
      </c>
      <c r="BJ19" s="96">
        <f>Z19+AB19+AD19+AF19+AH19+AJ19+AL19+AN19+AP19+AR19+AT19+AV19+AX19+AZ19+BB19+BD19+BF19+BH19</f>
        <v>1112</v>
      </c>
      <c r="BK19" s="96">
        <f>AA19+AC19+AE19+AG19+AI19+AK19+AM19+AO19+AQ19+AS19+AU19+AW19+AY19+BA19+BC19+BE19+BG19+BI19</f>
        <v>111200</v>
      </c>
      <c r="BL19" s="362" t="s">
        <v>224</v>
      </c>
      <c r="BN19" s="78">
        <f t="shared" ref="BN19:BU19" si="6">SUM(BN18:BN18)</f>
        <v>0</v>
      </c>
      <c r="BO19" s="98">
        <f>BK19</f>
        <v>111200</v>
      </c>
      <c r="BP19" s="78">
        <f t="shared" si="6"/>
        <v>0</v>
      </c>
      <c r="BQ19" s="78">
        <f t="shared" si="6"/>
        <v>0</v>
      </c>
      <c r="BR19" s="98">
        <f>BN19+BO19+BP19+BQ19</f>
        <v>111200</v>
      </c>
      <c r="BS19" s="78">
        <f t="shared" si="6"/>
        <v>0</v>
      </c>
      <c r="BT19" s="78">
        <f t="shared" si="6"/>
        <v>0</v>
      </c>
      <c r="BU19" s="78">
        <f t="shared" si="6"/>
        <v>0</v>
      </c>
      <c r="BV19" s="78">
        <f t="shared" si="1"/>
        <v>111200</v>
      </c>
    </row>
    <row r="20" spans="1:74" s="90" customFormat="1" ht="32.25" customHeight="1">
      <c r="A20" s="745"/>
      <c r="B20" s="94"/>
      <c r="C20" s="421" t="s">
        <v>667</v>
      </c>
      <c r="D20" s="362" t="s">
        <v>71</v>
      </c>
      <c r="E20" s="312">
        <v>100</v>
      </c>
      <c r="F20" s="548">
        <f>BJ20</f>
        <v>1112</v>
      </c>
      <c r="G20" s="96">
        <f>F20*E20</f>
        <v>111200</v>
      </c>
      <c r="H20" s="96">
        <f>G20*0.2</f>
        <v>22240</v>
      </c>
      <c r="I20" s="96">
        <f>G20*0.8</f>
        <v>88960</v>
      </c>
      <c r="J20" s="96"/>
      <c r="K20" s="96"/>
      <c r="L20" s="96"/>
      <c r="M20" s="96"/>
      <c r="N20" s="96"/>
      <c r="O20" s="96"/>
      <c r="P20" s="96"/>
      <c r="Q20" s="96"/>
      <c r="R20" s="96">
        <f>F20*0.25</f>
        <v>278</v>
      </c>
      <c r="S20" s="96">
        <f>F20*0.25</f>
        <v>278</v>
      </c>
      <c r="T20" s="96">
        <f>F20*0.25</f>
        <v>278</v>
      </c>
      <c r="U20" s="96">
        <f>F20*0.25</f>
        <v>278</v>
      </c>
      <c r="V20" s="96">
        <f>R20*E20</f>
        <v>27800</v>
      </c>
      <c r="W20" s="96">
        <f>S20*E20</f>
        <v>27800</v>
      </c>
      <c r="X20" s="95">
        <f>T20*E20</f>
        <v>27800</v>
      </c>
      <c r="Y20" s="95">
        <f>U20*E20</f>
        <v>27800</v>
      </c>
      <c r="Z20" s="96">
        <v>60</v>
      </c>
      <c r="AA20" s="96">
        <f>Z20*E20</f>
        <v>6000</v>
      </c>
      <c r="AB20" s="96">
        <v>60</v>
      </c>
      <c r="AC20" s="96">
        <f>AB20*E20</f>
        <v>6000</v>
      </c>
      <c r="AD20" s="96">
        <v>60</v>
      </c>
      <c r="AE20" s="96">
        <f>AD20*E20</f>
        <v>6000</v>
      </c>
      <c r="AF20" s="96">
        <v>102</v>
      </c>
      <c r="AG20" s="96">
        <f>AF20*E20</f>
        <v>10200</v>
      </c>
      <c r="AH20" s="96">
        <v>60</v>
      </c>
      <c r="AI20" s="96">
        <f>AH20*E20</f>
        <v>6000</v>
      </c>
      <c r="AJ20" s="96">
        <v>60</v>
      </c>
      <c r="AK20" s="96">
        <f>AJ20*E20</f>
        <v>6000</v>
      </c>
      <c r="AL20" s="96">
        <v>60</v>
      </c>
      <c r="AM20" s="96">
        <f>AL20*E20</f>
        <v>6000</v>
      </c>
      <c r="AN20" s="96">
        <v>80</v>
      </c>
      <c r="AO20" s="96">
        <f>AN20*E20</f>
        <v>8000</v>
      </c>
      <c r="AP20" s="96">
        <v>20</v>
      </c>
      <c r="AQ20" s="96">
        <f>AP20*E20</f>
        <v>2000</v>
      </c>
      <c r="AR20" s="96">
        <v>60</v>
      </c>
      <c r="AS20" s="96">
        <f>AR20*E20</f>
        <v>6000</v>
      </c>
      <c r="AT20" s="96">
        <v>60</v>
      </c>
      <c r="AU20" s="96">
        <f>AT20*E20</f>
        <v>6000</v>
      </c>
      <c r="AV20" s="96">
        <v>60</v>
      </c>
      <c r="AW20" s="96">
        <f>AV20*E20</f>
        <v>6000</v>
      </c>
      <c r="AX20" s="96">
        <v>60</v>
      </c>
      <c r="AY20" s="96">
        <f>AX20*E20</f>
        <v>6000</v>
      </c>
      <c r="AZ20" s="96">
        <v>60</v>
      </c>
      <c r="BA20" s="96">
        <f>AZ20*E20</f>
        <v>6000</v>
      </c>
      <c r="BB20" s="96">
        <v>70</v>
      </c>
      <c r="BC20" s="96">
        <f>BB20*E20</f>
        <v>7000</v>
      </c>
      <c r="BD20" s="96">
        <v>120</v>
      </c>
      <c r="BE20" s="96">
        <f>BD20*E20</f>
        <v>12000</v>
      </c>
      <c r="BF20" s="96">
        <v>60</v>
      </c>
      <c r="BG20" s="96">
        <f>BF20*E20</f>
        <v>6000</v>
      </c>
      <c r="BH20" s="97"/>
      <c r="BI20" s="96">
        <f t="shared" si="2"/>
        <v>0</v>
      </c>
      <c r="BJ20" s="96">
        <f>Z20+AB20+AD20+AF20+AH20+AJ20+AL20+AN20+AP20+AR20+AT20+AV20+AX20+AZ20+BB20+BD20+BF20+BH20</f>
        <v>1112</v>
      </c>
      <c r="BK20" s="96">
        <f>AA20+AC20+AE20+AG20+AI20+AK20+AM20+AO20+AQ20+AS20+AU20+AW20+AY20+BA20+BC20+BE20+BG20+BI20</f>
        <v>111200</v>
      </c>
      <c r="BL20" s="362" t="s">
        <v>224</v>
      </c>
      <c r="BN20" s="98"/>
      <c r="BO20" s="98">
        <f>BK20</f>
        <v>111200</v>
      </c>
      <c r="BP20" s="98"/>
      <c r="BQ20" s="98"/>
      <c r="BR20" s="98">
        <f>BN20+BO20+BP20+BQ20</f>
        <v>111200</v>
      </c>
      <c r="BS20" s="98"/>
      <c r="BT20" s="98"/>
      <c r="BU20" s="98"/>
      <c r="BV20" s="99">
        <f t="shared" si="1"/>
        <v>111200</v>
      </c>
    </row>
    <row r="21" spans="1:74" s="558" customFormat="1" ht="32.25" customHeight="1">
      <c r="A21" s="745"/>
      <c r="B21" s="552"/>
      <c r="C21" s="422" t="s">
        <v>668</v>
      </c>
      <c r="D21" s="439" t="s">
        <v>121</v>
      </c>
      <c r="E21" s="440" t="s">
        <v>121</v>
      </c>
      <c r="F21" s="553">
        <f t="shared" ref="F21:Y21" si="7">SUM(F17:F20)</f>
        <v>2734</v>
      </c>
      <c r="G21" s="553">
        <f t="shared" si="7"/>
        <v>579400</v>
      </c>
      <c r="H21" s="553">
        <f t="shared" si="7"/>
        <v>115880</v>
      </c>
      <c r="I21" s="553">
        <f t="shared" si="7"/>
        <v>463520</v>
      </c>
      <c r="J21" s="553">
        <f t="shared" si="7"/>
        <v>0</v>
      </c>
      <c r="K21" s="553">
        <f t="shared" si="7"/>
        <v>0</v>
      </c>
      <c r="L21" s="553">
        <f t="shared" si="7"/>
        <v>0</v>
      </c>
      <c r="M21" s="553">
        <f t="shared" si="7"/>
        <v>0</v>
      </c>
      <c r="N21" s="553">
        <f t="shared" si="7"/>
        <v>0</v>
      </c>
      <c r="O21" s="553">
        <f t="shared" si="7"/>
        <v>0</v>
      </c>
      <c r="P21" s="553">
        <f t="shared" si="7"/>
        <v>0</v>
      </c>
      <c r="Q21" s="553">
        <f t="shared" si="7"/>
        <v>0</v>
      </c>
      <c r="R21" s="553">
        <f t="shared" si="7"/>
        <v>683.5</v>
      </c>
      <c r="S21" s="553">
        <f t="shared" si="7"/>
        <v>683.5</v>
      </c>
      <c r="T21" s="553">
        <f t="shared" si="7"/>
        <v>683.5</v>
      </c>
      <c r="U21" s="553">
        <f t="shared" si="7"/>
        <v>683.5</v>
      </c>
      <c r="V21" s="553">
        <f t="shared" si="7"/>
        <v>144850</v>
      </c>
      <c r="W21" s="553">
        <f t="shared" si="7"/>
        <v>144850</v>
      </c>
      <c r="X21" s="553">
        <f t="shared" si="7"/>
        <v>144850</v>
      </c>
      <c r="Y21" s="553">
        <f t="shared" si="7"/>
        <v>144850</v>
      </c>
      <c r="Z21" s="553">
        <f>SUM(Z17:Z20)</f>
        <v>150</v>
      </c>
      <c r="AA21" s="553">
        <f t="shared" ref="AA21:BV21" si="8">SUM(AA17:AA20)</f>
        <v>33000</v>
      </c>
      <c r="AB21" s="553">
        <f t="shared" si="8"/>
        <v>150</v>
      </c>
      <c r="AC21" s="553">
        <f t="shared" si="8"/>
        <v>33000</v>
      </c>
      <c r="AD21" s="553">
        <f t="shared" si="8"/>
        <v>150</v>
      </c>
      <c r="AE21" s="553">
        <f t="shared" si="8"/>
        <v>33000</v>
      </c>
      <c r="AF21" s="553">
        <f t="shared" si="8"/>
        <v>234</v>
      </c>
      <c r="AG21" s="553">
        <f t="shared" si="8"/>
        <v>41400</v>
      </c>
      <c r="AH21" s="553">
        <f t="shared" si="8"/>
        <v>150</v>
      </c>
      <c r="AI21" s="553">
        <f t="shared" si="8"/>
        <v>33000</v>
      </c>
      <c r="AJ21" s="553">
        <f t="shared" si="8"/>
        <v>150</v>
      </c>
      <c r="AK21" s="553">
        <f t="shared" si="8"/>
        <v>33000</v>
      </c>
      <c r="AL21" s="553">
        <f t="shared" si="8"/>
        <v>150</v>
      </c>
      <c r="AM21" s="553">
        <f t="shared" si="8"/>
        <v>33000</v>
      </c>
      <c r="AN21" s="553">
        <f t="shared" si="8"/>
        <v>190</v>
      </c>
      <c r="AO21" s="553">
        <f t="shared" si="8"/>
        <v>37000</v>
      </c>
      <c r="AP21" s="553">
        <f t="shared" si="8"/>
        <v>70</v>
      </c>
      <c r="AQ21" s="553">
        <f t="shared" si="8"/>
        <v>25000</v>
      </c>
      <c r="AR21" s="553">
        <f t="shared" si="8"/>
        <v>150</v>
      </c>
      <c r="AS21" s="553">
        <f t="shared" si="8"/>
        <v>33000</v>
      </c>
      <c r="AT21" s="553">
        <f t="shared" si="8"/>
        <v>150</v>
      </c>
      <c r="AU21" s="553">
        <f t="shared" si="8"/>
        <v>33000</v>
      </c>
      <c r="AV21" s="553">
        <f t="shared" si="8"/>
        <v>150</v>
      </c>
      <c r="AW21" s="553">
        <f t="shared" si="8"/>
        <v>33000</v>
      </c>
      <c r="AX21" s="553">
        <f t="shared" si="8"/>
        <v>150</v>
      </c>
      <c r="AY21" s="553">
        <f t="shared" si="8"/>
        <v>33000</v>
      </c>
      <c r="AZ21" s="553">
        <f t="shared" si="8"/>
        <v>150</v>
      </c>
      <c r="BA21" s="553">
        <f t="shared" si="8"/>
        <v>33000</v>
      </c>
      <c r="BB21" s="553">
        <f t="shared" si="8"/>
        <v>170</v>
      </c>
      <c r="BC21" s="553">
        <f t="shared" si="8"/>
        <v>35000</v>
      </c>
      <c r="BD21" s="553">
        <f t="shared" si="8"/>
        <v>270</v>
      </c>
      <c r="BE21" s="553">
        <f t="shared" si="8"/>
        <v>45000</v>
      </c>
      <c r="BF21" s="553">
        <f t="shared" si="8"/>
        <v>150</v>
      </c>
      <c r="BG21" s="553">
        <f t="shared" si="8"/>
        <v>33000</v>
      </c>
      <c r="BH21" s="553">
        <f t="shared" si="8"/>
        <v>0</v>
      </c>
      <c r="BI21" s="553">
        <f t="shared" si="8"/>
        <v>0</v>
      </c>
      <c r="BJ21" s="553">
        <f t="shared" si="8"/>
        <v>2734</v>
      </c>
      <c r="BK21" s="553">
        <f t="shared" si="8"/>
        <v>579400</v>
      </c>
      <c r="BL21" s="553"/>
      <c r="BM21" s="553">
        <f t="shared" si="8"/>
        <v>0</v>
      </c>
      <c r="BN21" s="553">
        <f t="shared" si="8"/>
        <v>0</v>
      </c>
      <c r="BO21" s="553">
        <f t="shared" si="8"/>
        <v>579400</v>
      </c>
      <c r="BP21" s="553">
        <f t="shared" si="8"/>
        <v>0</v>
      </c>
      <c r="BQ21" s="553">
        <f t="shared" si="8"/>
        <v>0</v>
      </c>
      <c r="BR21" s="553">
        <f t="shared" si="8"/>
        <v>579400</v>
      </c>
      <c r="BS21" s="553">
        <f t="shared" si="8"/>
        <v>0</v>
      </c>
      <c r="BT21" s="553">
        <f t="shared" si="8"/>
        <v>0</v>
      </c>
      <c r="BU21" s="553">
        <f t="shared" si="8"/>
        <v>0</v>
      </c>
      <c r="BV21" s="553">
        <f t="shared" si="8"/>
        <v>579400</v>
      </c>
    </row>
    <row r="22" spans="1:74" s="90" customFormat="1" ht="32.25" customHeight="1">
      <c r="A22" s="745"/>
      <c r="B22" s="94"/>
      <c r="C22" s="420" t="s">
        <v>669</v>
      </c>
      <c r="D22" s="362"/>
      <c r="E22" s="362"/>
      <c r="F22" s="308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97"/>
      <c r="T22" s="97"/>
      <c r="U22" s="79"/>
      <c r="V22" s="242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7"/>
      <c r="BI22" s="96"/>
      <c r="BJ22" s="96"/>
      <c r="BK22" s="96"/>
      <c r="BL22" s="362"/>
      <c r="BN22" s="98"/>
      <c r="BO22" s="98">
        <f t="shared" ref="BO22:BO28" si="9">G22</f>
        <v>0</v>
      </c>
      <c r="BP22" s="98"/>
      <c r="BQ22" s="98"/>
      <c r="BR22" s="98">
        <f t="shared" ref="BR22:BR28" si="10">BN22+BO22+BP22+BQ22</f>
        <v>0</v>
      </c>
      <c r="BS22" s="98"/>
      <c r="BT22" s="98"/>
      <c r="BU22" s="98">
        <f>BS22+BT22</f>
        <v>0</v>
      </c>
      <c r="BV22" s="99">
        <f t="shared" si="1"/>
        <v>0</v>
      </c>
    </row>
    <row r="23" spans="1:74" s="90" customFormat="1" ht="32.25" customHeight="1">
      <c r="A23" s="745"/>
      <c r="B23" s="94"/>
      <c r="C23" s="420" t="s">
        <v>670</v>
      </c>
      <c r="D23" s="362"/>
      <c r="E23" s="362"/>
      <c r="F23" s="308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7"/>
      <c r="T23" s="97"/>
      <c r="U23" s="79"/>
      <c r="V23" s="242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7"/>
      <c r="BI23" s="96"/>
      <c r="BJ23" s="96"/>
      <c r="BK23" s="96"/>
      <c r="BL23" s="362"/>
      <c r="BN23" s="98"/>
      <c r="BO23" s="98">
        <f t="shared" si="9"/>
        <v>0</v>
      </c>
      <c r="BP23" s="98"/>
      <c r="BQ23" s="98"/>
      <c r="BR23" s="98">
        <f t="shared" si="10"/>
        <v>0</v>
      </c>
      <c r="BS23" s="98"/>
      <c r="BT23" s="98"/>
      <c r="BU23" s="98">
        <f>BS23+BT23</f>
        <v>0</v>
      </c>
      <c r="BV23" s="99">
        <f t="shared" si="1"/>
        <v>0</v>
      </c>
    </row>
    <row r="24" spans="1:74" s="90" customFormat="1" ht="32.25" customHeight="1">
      <c r="A24" s="745"/>
      <c r="B24" s="94"/>
      <c r="C24" s="421" t="s">
        <v>671</v>
      </c>
      <c r="D24" s="362" t="s">
        <v>66</v>
      </c>
      <c r="E24" s="312">
        <v>6000000</v>
      </c>
      <c r="F24" s="78">
        <f>BJ24</f>
        <v>1</v>
      </c>
      <c r="G24" s="96">
        <f>F24*E24</f>
        <v>6000000</v>
      </c>
      <c r="H24" s="96">
        <f>G24*0.2</f>
        <v>1200000</v>
      </c>
      <c r="I24" s="96">
        <f>G24*0.8</f>
        <v>4800000</v>
      </c>
      <c r="J24" s="96"/>
      <c r="K24" s="96"/>
      <c r="L24" s="96"/>
      <c r="M24" s="96"/>
      <c r="N24" s="96"/>
      <c r="O24" s="96"/>
      <c r="P24" s="96"/>
      <c r="Q24" s="96"/>
      <c r="R24" s="96">
        <f>F24*0.25</f>
        <v>0.25</v>
      </c>
      <c r="S24" s="97">
        <f>F24*0.25</f>
        <v>0.25</v>
      </c>
      <c r="T24" s="79">
        <f>F24*0.25</f>
        <v>0.25</v>
      </c>
      <c r="U24" s="97">
        <f>F24*0.25</f>
        <v>0.25</v>
      </c>
      <c r="V24" s="96">
        <f>R24*E24</f>
        <v>1500000</v>
      </c>
      <c r="W24" s="96">
        <f>S24*E24</f>
        <v>1500000</v>
      </c>
      <c r="X24" s="96">
        <f>T24*E24</f>
        <v>1500000</v>
      </c>
      <c r="Y24" s="96">
        <f>U24*E24</f>
        <v>1500000</v>
      </c>
      <c r="Z24" s="96">
        <v>0</v>
      </c>
      <c r="AA24" s="96">
        <f>Z24*E24</f>
        <v>0</v>
      </c>
      <c r="AB24" s="96"/>
      <c r="AC24" s="96">
        <f>AB24*E24</f>
        <v>0</v>
      </c>
      <c r="AD24" s="96"/>
      <c r="AE24" s="96">
        <f>AD24*E24</f>
        <v>0</v>
      </c>
      <c r="AF24" s="96"/>
      <c r="AG24" s="96">
        <f>AF24*E24</f>
        <v>0</v>
      </c>
      <c r="AH24" s="96"/>
      <c r="AI24" s="96">
        <f>AH24*E24</f>
        <v>0</v>
      </c>
      <c r="AJ24" s="96"/>
      <c r="AK24" s="96">
        <f>AJ24*E24</f>
        <v>0</v>
      </c>
      <c r="AL24" s="96"/>
      <c r="AM24" s="96">
        <f>AL24*E24</f>
        <v>0</v>
      </c>
      <c r="AN24" s="96"/>
      <c r="AO24" s="96">
        <f>AN24*E24</f>
        <v>0</v>
      </c>
      <c r="AP24" s="96"/>
      <c r="AQ24" s="96">
        <f>AP24*E24</f>
        <v>0</v>
      </c>
      <c r="AR24" s="96"/>
      <c r="AS24" s="96">
        <f>AR24*E24</f>
        <v>0</v>
      </c>
      <c r="AT24" s="96"/>
      <c r="AU24" s="96">
        <f>AT24*E24</f>
        <v>0</v>
      </c>
      <c r="AV24" s="96"/>
      <c r="AW24" s="96">
        <f>AV24*E24</f>
        <v>0</v>
      </c>
      <c r="AX24" s="96"/>
      <c r="AY24" s="96">
        <f>AX24*E24</f>
        <v>0</v>
      </c>
      <c r="AZ24" s="96"/>
      <c r="BA24" s="96">
        <f>AZ24*E24</f>
        <v>0</v>
      </c>
      <c r="BB24" s="96"/>
      <c r="BC24" s="96">
        <f>BB24*E24</f>
        <v>0</v>
      </c>
      <c r="BD24" s="96"/>
      <c r="BE24" s="96">
        <f>BD24*E24</f>
        <v>0</v>
      </c>
      <c r="BF24" s="96"/>
      <c r="BG24" s="96">
        <f>BF24*E24</f>
        <v>0</v>
      </c>
      <c r="BH24" s="97">
        <v>1</v>
      </c>
      <c r="BI24" s="96">
        <f t="shared" si="2"/>
        <v>6000000</v>
      </c>
      <c r="BJ24" s="96">
        <f t="shared" ref="BJ24:BK26" si="11">Z24+AB24+AD24+AF24+AH24+AJ24+AL24+AN24+AP24+AR24+AT24+AV24+AX24+AZ24+BB24+BD24+BF24+BH24</f>
        <v>1</v>
      </c>
      <c r="BK24" s="96">
        <f t="shared" si="11"/>
        <v>6000000</v>
      </c>
      <c r="BL24" s="362" t="s">
        <v>224</v>
      </c>
      <c r="BN24" s="98"/>
      <c r="BO24" s="98"/>
      <c r="BP24" s="98">
        <f>BK24</f>
        <v>6000000</v>
      </c>
      <c r="BQ24" s="98"/>
      <c r="BR24" s="98">
        <f t="shared" si="10"/>
        <v>6000000</v>
      </c>
      <c r="BS24" s="98"/>
      <c r="BT24" s="98"/>
      <c r="BU24" s="98"/>
      <c r="BV24" s="99">
        <f t="shared" si="1"/>
        <v>6000000</v>
      </c>
    </row>
    <row r="25" spans="1:74" s="90" customFormat="1" ht="32.25" customHeight="1">
      <c r="A25" s="745"/>
      <c r="B25" s="94"/>
      <c r="C25" s="421" t="s">
        <v>672</v>
      </c>
      <c r="D25" s="362" t="s">
        <v>66</v>
      </c>
      <c r="E25" s="312">
        <v>3500000</v>
      </c>
      <c r="F25" s="78">
        <f>BJ25</f>
        <v>1</v>
      </c>
      <c r="G25" s="96">
        <f>F25*E25</f>
        <v>3500000</v>
      </c>
      <c r="H25" s="96">
        <f>G25*0.2</f>
        <v>700000</v>
      </c>
      <c r="I25" s="96">
        <f>G25*0.8</f>
        <v>2800000</v>
      </c>
      <c r="J25" s="96"/>
      <c r="K25" s="96"/>
      <c r="L25" s="96"/>
      <c r="M25" s="96"/>
      <c r="N25" s="96"/>
      <c r="O25" s="96"/>
      <c r="P25" s="96"/>
      <c r="Q25" s="96"/>
      <c r="R25" s="96">
        <f>F25*0.25</f>
        <v>0.25</v>
      </c>
      <c r="S25" s="97">
        <f>F25*0.25</f>
        <v>0.25</v>
      </c>
      <c r="T25" s="97">
        <f>F25*0.25</f>
        <v>0.25</v>
      </c>
      <c r="U25" s="97">
        <f>F25*0.25</f>
        <v>0.25</v>
      </c>
      <c r="V25" s="96">
        <f>R25*E25</f>
        <v>875000</v>
      </c>
      <c r="W25" s="96">
        <f>S25*E25</f>
        <v>875000</v>
      </c>
      <c r="X25" s="96">
        <f>T25*E25</f>
        <v>875000</v>
      </c>
      <c r="Y25" s="96">
        <f>U25*E25</f>
        <v>875000</v>
      </c>
      <c r="Z25" s="96">
        <f>SUM(Z22)</f>
        <v>0</v>
      </c>
      <c r="AA25" s="96">
        <f>Z25*E25</f>
        <v>0</v>
      </c>
      <c r="AB25" s="96"/>
      <c r="AC25" s="96">
        <f>AB25*E25</f>
        <v>0</v>
      </c>
      <c r="AD25" s="96"/>
      <c r="AE25" s="96">
        <f>AD25*E25</f>
        <v>0</v>
      </c>
      <c r="AF25" s="96"/>
      <c r="AG25" s="96">
        <f>AF25*E25</f>
        <v>0</v>
      </c>
      <c r="AH25" s="96"/>
      <c r="AI25" s="96">
        <f>AH25*E25</f>
        <v>0</v>
      </c>
      <c r="AJ25" s="96"/>
      <c r="AK25" s="96">
        <f>AJ25*E25</f>
        <v>0</v>
      </c>
      <c r="AL25" s="96"/>
      <c r="AM25" s="96">
        <f>AL25*E25</f>
        <v>0</v>
      </c>
      <c r="AN25" s="96"/>
      <c r="AO25" s="96">
        <f>AN25*E25</f>
        <v>0</v>
      </c>
      <c r="AP25" s="96"/>
      <c r="AQ25" s="96">
        <f>AP25*E25</f>
        <v>0</v>
      </c>
      <c r="AR25" s="96"/>
      <c r="AS25" s="96">
        <f>AR25*E25</f>
        <v>0</v>
      </c>
      <c r="AT25" s="96"/>
      <c r="AU25" s="96">
        <f>AT25*E25</f>
        <v>0</v>
      </c>
      <c r="AV25" s="96"/>
      <c r="AW25" s="96">
        <f>AV25*E25</f>
        <v>0</v>
      </c>
      <c r="AX25" s="96"/>
      <c r="AY25" s="96">
        <f>AX25*E25</f>
        <v>0</v>
      </c>
      <c r="AZ25" s="96"/>
      <c r="BA25" s="96">
        <f>AZ25*E25</f>
        <v>0</v>
      </c>
      <c r="BB25" s="96"/>
      <c r="BC25" s="96">
        <f>BB25*E25</f>
        <v>0</v>
      </c>
      <c r="BD25" s="96"/>
      <c r="BE25" s="96">
        <f>BD25*E25</f>
        <v>0</v>
      </c>
      <c r="BF25" s="96"/>
      <c r="BG25" s="96">
        <f>BF25*E25</f>
        <v>0</v>
      </c>
      <c r="BH25" s="97">
        <v>1</v>
      </c>
      <c r="BI25" s="96">
        <f t="shared" si="2"/>
        <v>3500000</v>
      </c>
      <c r="BJ25" s="96">
        <f t="shared" si="11"/>
        <v>1</v>
      </c>
      <c r="BK25" s="96">
        <f t="shared" si="11"/>
        <v>3500000</v>
      </c>
      <c r="BL25" s="362" t="s">
        <v>224</v>
      </c>
      <c r="BN25" s="98"/>
      <c r="BO25" s="98"/>
      <c r="BP25" s="98">
        <f>BK25</f>
        <v>3500000</v>
      </c>
      <c r="BQ25" s="98"/>
      <c r="BR25" s="98">
        <f t="shared" si="10"/>
        <v>3500000</v>
      </c>
      <c r="BS25" s="98"/>
      <c r="BT25" s="98"/>
      <c r="BU25" s="98"/>
      <c r="BV25" s="99">
        <f t="shared" si="1"/>
        <v>3500000</v>
      </c>
    </row>
    <row r="26" spans="1:74" s="90" customFormat="1" ht="32.25" customHeight="1">
      <c r="A26" s="745"/>
      <c r="B26" s="94"/>
      <c r="C26" s="421" t="s">
        <v>673</v>
      </c>
      <c r="D26" s="362" t="s">
        <v>66</v>
      </c>
      <c r="E26" s="312" t="s">
        <v>439</v>
      </c>
      <c r="F26" s="78">
        <f>BJ26</f>
        <v>1</v>
      </c>
      <c r="G26" s="96">
        <f>F26*E26</f>
        <v>300000</v>
      </c>
      <c r="H26" s="96">
        <f>G26*0.2</f>
        <v>60000</v>
      </c>
      <c r="I26" s="96">
        <f>G26*0.8</f>
        <v>240000</v>
      </c>
      <c r="J26" s="96"/>
      <c r="K26" s="96"/>
      <c r="L26" s="96"/>
      <c r="M26" s="96"/>
      <c r="N26" s="96"/>
      <c r="O26" s="96"/>
      <c r="P26" s="96"/>
      <c r="Q26" s="96"/>
      <c r="R26" s="96">
        <f>F26*0.25</f>
        <v>0.25</v>
      </c>
      <c r="S26" s="97">
        <f>F26*0.25</f>
        <v>0.25</v>
      </c>
      <c r="T26" s="97">
        <f>F26*0.25</f>
        <v>0.25</v>
      </c>
      <c r="U26" s="97">
        <f>F26*0.25</f>
        <v>0.25</v>
      </c>
      <c r="V26" s="96">
        <f>R26*E26</f>
        <v>75000</v>
      </c>
      <c r="W26" s="96">
        <f>S26*E26</f>
        <v>75000</v>
      </c>
      <c r="X26" s="96">
        <f>T26*E26</f>
        <v>75000</v>
      </c>
      <c r="Y26" s="96">
        <f>U26*E26</f>
        <v>75000</v>
      </c>
      <c r="Z26" s="96">
        <f>SUM(Z23)</f>
        <v>0</v>
      </c>
      <c r="AA26" s="96">
        <f>Z26*E26</f>
        <v>0</v>
      </c>
      <c r="AB26" s="96"/>
      <c r="AC26" s="96">
        <f>AB26*E26</f>
        <v>0</v>
      </c>
      <c r="AD26" s="96"/>
      <c r="AE26" s="96">
        <f>AD26*E26</f>
        <v>0</v>
      </c>
      <c r="AF26" s="96"/>
      <c r="AG26" s="96">
        <f>AF26*E26</f>
        <v>0</v>
      </c>
      <c r="AH26" s="96"/>
      <c r="AI26" s="96">
        <f>AH26*E26</f>
        <v>0</v>
      </c>
      <c r="AJ26" s="96"/>
      <c r="AK26" s="96">
        <f>AJ26*E26</f>
        <v>0</v>
      </c>
      <c r="AL26" s="96"/>
      <c r="AM26" s="96">
        <f>AL26*E26</f>
        <v>0</v>
      </c>
      <c r="AN26" s="96"/>
      <c r="AO26" s="96">
        <f>AN26*E26</f>
        <v>0</v>
      </c>
      <c r="AP26" s="96"/>
      <c r="AQ26" s="96">
        <f>AP26*E26</f>
        <v>0</v>
      </c>
      <c r="AR26" s="96"/>
      <c r="AS26" s="96">
        <f>AR26*E26</f>
        <v>0</v>
      </c>
      <c r="AT26" s="96"/>
      <c r="AU26" s="96">
        <f>AT26*E26</f>
        <v>0</v>
      </c>
      <c r="AV26" s="96"/>
      <c r="AW26" s="96">
        <f>AV26*E26</f>
        <v>0</v>
      </c>
      <c r="AX26" s="96"/>
      <c r="AY26" s="96">
        <f>AX26*E26</f>
        <v>0</v>
      </c>
      <c r="AZ26" s="96"/>
      <c r="BA26" s="96">
        <f>AZ26*E26</f>
        <v>0</v>
      </c>
      <c r="BB26" s="96"/>
      <c r="BC26" s="96">
        <f>BB26*E26</f>
        <v>0</v>
      </c>
      <c r="BD26" s="96"/>
      <c r="BE26" s="96">
        <f>BD26*E26</f>
        <v>0</v>
      </c>
      <c r="BF26" s="96"/>
      <c r="BG26" s="96">
        <f>BF26*E26</f>
        <v>0</v>
      </c>
      <c r="BH26" s="97">
        <v>1</v>
      </c>
      <c r="BI26" s="96">
        <f t="shared" si="2"/>
        <v>300000</v>
      </c>
      <c r="BJ26" s="96">
        <f t="shared" si="11"/>
        <v>1</v>
      </c>
      <c r="BK26" s="96">
        <f t="shared" si="11"/>
        <v>300000</v>
      </c>
      <c r="BL26" s="362" t="s">
        <v>224</v>
      </c>
      <c r="BN26" s="98"/>
      <c r="BO26" s="98">
        <f t="shared" si="9"/>
        <v>300000</v>
      </c>
      <c r="BP26" s="98"/>
      <c r="BQ26" s="98"/>
      <c r="BR26" s="98">
        <f t="shared" si="10"/>
        <v>300000</v>
      </c>
      <c r="BS26" s="98"/>
      <c r="BT26" s="98"/>
      <c r="BU26" s="98"/>
      <c r="BV26" s="99">
        <f t="shared" si="1"/>
        <v>300000</v>
      </c>
    </row>
    <row r="27" spans="1:74" s="558" customFormat="1" ht="32.25" customHeight="1">
      <c r="A27" s="745"/>
      <c r="B27" s="552"/>
      <c r="C27" s="422" t="s">
        <v>674</v>
      </c>
      <c r="D27" s="439" t="s">
        <v>121</v>
      </c>
      <c r="E27" s="440" t="s">
        <v>121</v>
      </c>
      <c r="F27" s="553">
        <f t="shared" ref="F27:Y27" si="12">SUM(F24:F26)</f>
        <v>3</v>
      </c>
      <c r="G27" s="553">
        <f t="shared" si="12"/>
        <v>9800000</v>
      </c>
      <c r="H27" s="553">
        <f t="shared" si="12"/>
        <v>1960000</v>
      </c>
      <c r="I27" s="553">
        <f t="shared" si="12"/>
        <v>7840000</v>
      </c>
      <c r="J27" s="553">
        <f t="shared" si="12"/>
        <v>0</v>
      </c>
      <c r="K27" s="553">
        <f t="shared" si="12"/>
        <v>0</v>
      </c>
      <c r="L27" s="553">
        <f t="shared" si="12"/>
        <v>0</v>
      </c>
      <c r="M27" s="553">
        <f t="shared" si="12"/>
        <v>0</v>
      </c>
      <c r="N27" s="553">
        <f t="shared" si="12"/>
        <v>0</v>
      </c>
      <c r="O27" s="553">
        <f t="shared" si="12"/>
        <v>0</v>
      </c>
      <c r="P27" s="553">
        <f t="shared" si="12"/>
        <v>0</v>
      </c>
      <c r="Q27" s="553">
        <f t="shared" si="12"/>
        <v>0</v>
      </c>
      <c r="R27" s="553">
        <f t="shared" si="12"/>
        <v>0.75</v>
      </c>
      <c r="S27" s="553">
        <f t="shared" si="12"/>
        <v>0.75</v>
      </c>
      <c r="T27" s="553">
        <f t="shared" si="12"/>
        <v>0.75</v>
      </c>
      <c r="U27" s="553">
        <f t="shared" si="12"/>
        <v>0.75</v>
      </c>
      <c r="V27" s="553">
        <f t="shared" si="12"/>
        <v>2450000</v>
      </c>
      <c r="W27" s="553">
        <f t="shared" si="12"/>
        <v>2450000</v>
      </c>
      <c r="X27" s="553">
        <f t="shared" si="12"/>
        <v>2450000</v>
      </c>
      <c r="Y27" s="553">
        <f t="shared" si="12"/>
        <v>2450000</v>
      </c>
      <c r="Z27" s="553">
        <f>SUM(Z24:Z26)</f>
        <v>0</v>
      </c>
      <c r="AA27" s="553">
        <f t="shared" ref="AA27:BV27" si="13">SUM(AA24:AA26)</f>
        <v>0</v>
      </c>
      <c r="AB27" s="553">
        <f t="shared" si="13"/>
        <v>0</v>
      </c>
      <c r="AC27" s="553">
        <f t="shared" si="13"/>
        <v>0</v>
      </c>
      <c r="AD27" s="553">
        <f t="shared" si="13"/>
        <v>0</v>
      </c>
      <c r="AE27" s="553">
        <f t="shared" si="13"/>
        <v>0</v>
      </c>
      <c r="AF27" s="553">
        <f t="shared" si="13"/>
        <v>0</v>
      </c>
      <c r="AG27" s="553">
        <f t="shared" si="13"/>
        <v>0</v>
      </c>
      <c r="AH27" s="553">
        <f t="shared" si="13"/>
        <v>0</v>
      </c>
      <c r="AI27" s="553">
        <f t="shared" si="13"/>
        <v>0</v>
      </c>
      <c r="AJ27" s="553">
        <f t="shared" si="13"/>
        <v>0</v>
      </c>
      <c r="AK27" s="553">
        <f t="shared" si="13"/>
        <v>0</v>
      </c>
      <c r="AL27" s="553">
        <f t="shared" si="13"/>
        <v>0</v>
      </c>
      <c r="AM27" s="553">
        <f t="shared" si="13"/>
        <v>0</v>
      </c>
      <c r="AN27" s="553">
        <f t="shared" si="13"/>
        <v>0</v>
      </c>
      <c r="AO27" s="553">
        <f t="shared" si="13"/>
        <v>0</v>
      </c>
      <c r="AP27" s="553">
        <f t="shared" si="13"/>
        <v>0</v>
      </c>
      <c r="AQ27" s="553">
        <f t="shared" si="13"/>
        <v>0</v>
      </c>
      <c r="AR27" s="553">
        <f t="shared" si="13"/>
        <v>0</v>
      </c>
      <c r="AS27" s="553">
        <f t="shared" si="13"/>
        <v>0</v>
      </c>
      <c r="AT27" s="553">
        <f t="shared" si="13"/>
        <v>0</v>
      </c>
      <c r="AU27" s="553">
        <f t="shared" si="13"/>
        <v>0</v>
      </c>
      <c r="AV27" s="553">
        <f t="shared" si="13"/>
        <v>0</v>
      </c>
      <c r="AW27" s="553">
        <f t="shared" si="13"/>
        <v>0</v>
      </c>
      <c r="AX27" s="553">
        <f t="shared" si="13"/>
        <v>0</v>
      </c>
      <c r="AY27" s="553">
        <f t="shared" si="13"/>
        <v>0</v>
      </c>
      <c r="AZ27" s="553">
        <f t="shared" si="13"/>
        <v>0</v>
      </c>
      <c r="BA27" s="553">
        <f t="shared" si="13"/>
        <v>0</v>
      </c>
      <c r="BB27" s="553">
        <f t="shared" si="13"/>
        <v>0</v>
      </c>
      <c r="BC27" s="553">
        <f t="shared" si="13"/>
        <v>0</v>
      </c>
      <c r="BD27" s="553">
        <f t="shared" si="13"/>
        <v>0</v>
      </c>
      <c r="BE27" s="553">
        <f t="shared" si="13"/>
        <v>0</v>
      </c>
      <c r="BF27" s="553">
        <f t="shared" si="13"/>
        <v>0</v>
      </c>
      <c r="BG27" s="553">
        <f t="shared" si="13"/>
        <v>0</v>
      </c>
      <c r="BH27" s="553">
        <f t="shared" si="13"/>
        <v>3</v>
      </c>
      <c r="BI27" s="553">
        <f t="shared" si="13"/>
        <v>9800000</v>
      </c>
      <c r="BJ27" s="553">
        <f t="shared" si="13"/>
        <v>3</v>
      </c>
      <c r="BK27" s="553">
        <f t="shared" si="13"/>
        <v>9800000</v>
      </c>
      <c r="BL27" s="553"/>
      <c r="BM27" s="553">
        <f t="shared" si="13"/>
        <v>0</v>
      </c>
      <c r="BN27" s="553">
        <f t="shared" si="13"/>
        <v>0</v>
      </c>
      <c r="BO27" s="553">
        <f t="shared" si="13"/>
        <v>300000</v>
      </c>
      <c r="BP27" s="553">
        <f t="shared" si="13"/>
        <v>9500000</v>
      </c>
      <c r="BQ27" s="553">
        <f t="shared" si="13"/>
        <v>0</v>
      </c>
      <c r="BR27" s="553">
        <f t="shared" si="13"/>
        <v>9800000</v>
      </c>
      <c r="BS27" s="553">
        <f t="shared" si="13"/>
        <v>0</v>
      </c>
      <c r="BT27" s="553">
        <f t="shared" si="13"/>
        <v>0</v>
      </c>
      <c r="BU27" s="553">
        <f t="shared" si="13"/>
        <v>0</v>
      </c>
      <c r="BV27" s="553">
        <f t="shared" si="13"/>
        <v>9800000</v>
      </c>
    </row>
    <row r="28" spans="1:74" s="90" customFormat="1" ht="32.25" customHeight="1">
      <c r="A28" s="745"/>
      <c r="B28" s="94"/>
      <c r="C28" s="420" t="s">
        <v>675</v>
      </c>
      <c r="D28" s="362"/>
      <c r="E28" s="362"/>
      <c r="F28" s="308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97"/>
      <c r="U28" s="97"/>
      <c r="V28" s="242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7"/>
      <c r="BI28" s="96"/>
      <c r="BJ28" s="96"/>
      <c r="BK28" s="96"/>
      <c r="BL28" s="362"/>
      <c r="BN28" s="98"/>
      <c r="BO28" s="98">
        <f t="shared" si="9"/>
        <v>0</v>
      </c>
      <c r="BP28" s="98"/>
      <c r="BQ28" s="98"/>
      <c r="BR28" s="98">
        <f t="shared" si="10"/>
        <v>0</v>
      </c>
      <c r="BS28" s="98"/>
      <c r="BT28" s="98"/>
      <c r="BU28" s="98"/>
      <c r="BV28" s="99">
        <f t="shared" si="1"/>
        <v>0</v>
      </c>
    </row>
    <row r="29" spans="1:74" s="90" customFormat="1" ht="32.25" customHeight="1">
      <c r="A29" s="745"/>
      <c r="B29" s="296"/>
      <c r="C29" s="421" t="s">
        <v>232</v>
      </c>
      <c r="D29" s="362" t="s">
        <v>715</v>
      </c>
      <c r="E29" s="312" t="s">
        <v>476</v>
      </c>
      <c r="F29" s="548">
        <f t="shared" ref="F29:F34" si="14">BJ29</f>
        <v>12156</v>
      </c>
      <c r="G29" s="96">
        <f t="shared" ref="G29:G34" si="15">F29*E29</f>
        <v>18234000</v>
      </c>
      <c r="H29" s="96">
        <f t="shared" ref="H29:H34" si="16">G29*0.2</f>
        <v>3646800</v>
      </c>
      <c r="I29" s="96">
        <f t="shared" ref="I29:I34" si="17">G29*0.8</f>
        <v>14587200</v>
      </c>
      <c r="J29" s="96"/>
      <c r="K29" s="96"/>
      <c r="L29" s="96"/>
      <c r="M29" s="96"/>
      <c r="N29" s="96"/>
      <c r="O29" s="96"/>
      <c r="P29" s="96"/>
      <c r="Q29" s="96"/>
      <c r="R29" s="97">
        <f t="shared" ref="R29:R34" si="18">F29*0.25</f>
        <v>3039</v>
      </c>
      <c r="S29" s="97">
        <f t="shared" ref="S29:S34" si="19">F29*0.25</f>
        <v>3039</v>
      </c>
      <c r="T29" s="97">
        <f t="shared" ref="T29:T34" si="20">F29*0.25</f>
        <v>3039</v>
      </c>
      <c r="U29" s="97">
        <f t="shared" ref="U29:U34" si="21">F29*0.25</f>
        <v>3039</v>
      </c>
      <c r="V29" s="96">
        <f t="shared" ref="V29:V34" si="22">R29*E29</f>
        <v>4558500</v>
      </c>
      <c r="W29" s="96">
        <f t="shared" ref="W29:W34" si="23">S29*E29</f>
        <v>4558500</v>
      </c>
      <c r="X29" s="96">
        <f t="shared" ref="X29:X34" si="24">T29*E29</f>
        <v>4558500</v>
      </c>
      <c r="Y29" s="96">
        <f t="shared" ref="Y29:Y34" si="25">U29*E29</f>
        <v>4558500</v>
      </c>
      <c r="Z29" s="96">
        <f>48*12</f>
        <v>576</v>
      </c>
      <c r="AA29" s="96">
        <f>Z29*1500</f>
        <v>864000</v>
      </c>
      <c r="AB29" s="96">
        <f>23*12</f>
        <v>276</v>
      </c>
      <c r="AC29" s="96">
        <f>AB29*1500</f>
        <v>414000</v>
      </c>
      <c r="AD29" s="96">
        <f>58*12</f>
        <v>696</v>
      </c>
      <c r="AE29" s="96">
        <f>AD29*1500</f>
        <v>1044000</v>
      </c>
      <c r="AF29" s="96">
        <f>89*12</f>
        <v>1068</v>
      </c>
      <c r="AG29" s="96">
        <f>AF29*1500</f>
        <v>1602000</v>
      </c>
      <c r="AH29" s="96">
        <f>38*12</f>
        <v>456</v>
      </c>
      <c r="AI29" s="96">
        <f>AH29*1500</f>
        <v>684000</v>
      </c>
      <c r="AJ29" s="96">
        <f>71*12</f>
        <v>852</v>
      </c>
      <c r="AK29" s="96">
        <f>AJ29*1500</f>
        <v>1278000</v>
      </c>
      <c r="AL29" s="96">
        <f>34*12</f>
        <v>408</v>
      </c>
      <c r="AM29" s="96">
        <f>AL29*1500</f>
        <v>612000</v>
      </c>
      <c r="AN29" s="96">
        <f>101*12</f>
        <v>1212</v>
      </c>
      <c r="AO29" s="96">
        <f>AN29*1500</f>
        <v>1818000</v>
      </c>
      <c r="AP29" s="96">
        <f>8*12</f>
        <v>96</v>
      </c>
      <c r="AQ29" s="96">
        <f>AP29*1500</f>
        <v>144000</v>
      </c>
      <c r="AR29" s="96">
        <f>32*12</f>
        <v>384</v>
      </c>
      <c r="AS29" s="96">
        <f>AR29*1500</f>
        <v>576000</v>
      </c>
      <c r="AT29" s="96">
        <f>50*12</f>
        <v>600</v>
      </c>
      <c r="AU29" s="96">
        <f>AT29*1500</f>
        <v>900000</v>
      </c>
      <c r="AV29" s="96">
        <f>50*12</f>
        <v>600</v>
      </c>
      <c r="AW29" s="96">
        <f>AV29*1500</f>
        <v>900000</v>
      </c>
      <c r="AX29" s="96">
        <f>72*12</f>
        <v>864</v>
      </c>
      <c r="AY29" s="96">
        <f>AX29*1500</f>
        <v>1296000</v>
      </c>
      <c r="AZ29" s="97">
        <f>75*12</f>
        <v>900</v>
      </c>
      <c r="BA29" s="96">
        <f>AZ29*1500</f>
        <v>1350000</v>
      </c>
      <c r="BB29" s="96">
        <f>73*12</f>
        <v>876</v>
      </c>
      <c r="BC29" s="96">
        <f>BB29*1500</f>
        <v>1314000</v>
      </c>
      <c r="BD29" s="96">
        <f>137*12</f>
        <v>1644</v>
      </c>
      <c r="BE29" s="96">
        <f>BD29*1500</f>
        <v>2466000</v>
      </c>
      <c r="BF29" s="96">
        <f>54*12</f>
        <v>648</v>
      </c>
      <c r="BG29" s="96">
        <f>BF29*1500</f>
        <v>972000</v>
      </c>
      <c r="BH29" s="97">
        <v>0</v>
      </c>
      <c r="BI29" s="96">
        <f t="shared" si="2"/>
        <v>0</v>
      </c>
      <c r="BJ29" s="96">
        <f t="shared" ref="BJ29:BK34" si="26">Z29+AB29+AD29+AF29+AH29+AJ29+AL29+AN29+AP29+AR29+AT29+AV29+AX29+AZ29+BB29+BD29+BF29+BH29</f>
        <v>12156</v>
      </c>
      <c r="BK29" s="96">
        <f t="shared" si="26"/>
        <v>18234000</v>
      </c>
      <c r="BL29" s="362" t="s">
        <v>224</v>
      </c>
      <c r="BN29" s="78">
        <f>SUM(BN21:BN23)</f>
        <v>0</v>
      </c>
      <c r="BO29" s="78">
        <f t="shared" ref="BO29:BO34" si="27">BK29</f>
        <v>18234000</v>
      </c>
      <c r="BP29" s="78"/>
      <c r="BQ29" s="78">
        <f>SUM(BQ21:BQ28)</f>
        <v>0</v>
      </c>
      <c r="BR29" s="78">
        <f t="shared" ref="BR29:BR34" si="28">BQ29+BP29+BO29+BN29</f>
        <v>18234000</v>
      </c>
      <c r="BS29" s="78">
        <f>SUM(BS21:BS28)</f>
        <v>0</v>
      </c>
      <c r="BT29" s="78">
        <f>SUM(BT21:BT28)</f>
        <v>0</v>
      </c>
      <c r="BU29" s="78">
        <f>SUM(BU21:BU28)</f>
        <v>0</v>
      </c>
      <c r="BV29" s="78">
        <f t="shared" ref="BV29:BV34" si="29">BU29+BR29</f>
        <v>18234000</v>
      </c>
    </row>
    <row r="30" spans="1:74" s="90" customFormat="1" ht="32.25" customHeight="1">
      <c r="A30" s="745"/>
      <c r="B30" s="94"/>
      <c r="C30" s="421" t="s">
        <v>676</v>
      </c>
      <c r="D30" s="362" t="s">
        <v>715</v>
      </c>
      <c r="E30" s="312" t="s">
        <v>540</v>
      </c>
      <c r="F30" s="548">
        <f t="shared" si="14"/>
        <v>1011</v>
      </c>
      <c r="G30" s="96">
        <f t="shared" si="15"/>
        <v>3033000</v>
      </c>
      <c r="H30" s="96">
        <f t="shared" si="16"/>
        <v>606600</v>
      </c>
      <c r="I30" s="96">
        <f t="shared" si="17"/>
        <v>2426400</v>
      </c>
      <c r="J30" s="96"/>
      <c r="K30" s="96"/>
      <c r="L30" s="96"/>
      <c r="M30" s="96"/>
      <c r="N30" s="96"/>
      <c r="O30" s="96"/>
      <c r="P30" s="96"/>
      <c r="Q30" s="96"/>
      <c r="R30" s="96">
        <f t="shared" si="18"/>
        <v>252.75</v>
      </c>
      <c r="S30" s="96">
        <f t="shared" si="19"/>
        <v>252.75</v>
      </c>
      <c r="T30" s="96">
        <f t="shared" si="20"/>
        <v>252.75</v>
      </c>
      <c r="U30" s="96">
        <f t="shared" si="21"/>
        <v>252.75</v>
      </c>
      <c r="V30" s="96">
        <f t="shared" si="22"/>
        <v>758250</v>
      </c>
      <c r="W30" s="96">
        <f t="shared" si="23"/>
        <v>758250</v>
      </c>
      <c r="X30" s="95">
        <f t="shared" si="24"/>
        <v>758250</v>
      </c>
      <c r="Y30" s="95">
        <f t="shared" si="25"/>
        <v>758250</v>
      </c>
      <c r="Z30" s="96">
        <v>48</v>
      </c>
      <c r="AA30" s="96">
        <f>Z30*E30</f>
        <v>144000</v>
      </c>
      <c r="AB30" s="96">
        <v>23</v>
      </c>
      <c r="AC30" s="96">
        <f>AB30*E30</f>
        <v>69000</v>
      </c>
      <c r="AD30" s="96">
        <v>58</v>
      </c>
      <c r="AE30" s="96">
        <f>AD30*E30</f>
        <v>174000</v>
      </c>
      <c r="AF30" s="96">
        <v>89</v>
      </c>
      <c r="AG30" s="96">
        <f>AF30*E30</f>
        <v>267000</v>
      </c>
      <c r="AH30" s="96">
        <v>36</v>
      </c>
      <c r="AI30" s="96">
        <f>AH30*E30</f>
        <v>108000</v>
      </c>
      <c r="AJ30" s="96">
        <v>71</v>
      </c>
      <c r="AK30" s="96">
        <f>AJ30*E30</f>
        <v>213000</v>
      </c>
      <c r="AL30" s="96">
        <v>34</v>
      </c>
      <c r="AM30" s="96">
        <f>AL30*E30</f>
        <v>102000</v>
      </c>
      <c r="AN30" s="96">
        <v>101</v>
      </c>
      <c r="AO30" s="96">
        <f>AN30*E30</f>
        <v>303000</v>
      </c>
      <c r="AP30" s="96">
        <v>8</v>
      </c>
      <c r="AQ30" s="96">
        <f>AP30*E30</f>
        <v>24000</v>
      </c>
      <c r="AR30" s="96">
        <v>32</v>
      </c>
      <c r="AS30" s="96">
        <f>AR30*E30</f>
        <v>96000</v>
      </c>
      <c r="AT30" s="96">
        <v>50</v>
      </c>
      <c r="AU30" s="96">
        <f>AT30*E30</f>
        <v>150000</v>
      </c>
      <c r="AV30" s="96">
        <v>50</v>
      </c>
      <c r="AW30" s="96">
        <f>AV30*E30</f>
        <v>150000</v>
      </c>
      <c r="AX30" s="96">
        <v>72</v>
      </c>
      <c r="AY30" s="96">
        <f>AX30*E30</f>
        <v>216000</v>
      </c>
      <c r="AZ30" s="97">
        <v>75</v>
      </c>
      <c r="BA30" s="96">
        <f>AZ30*E30</f>
        <v>225000</v>
      </c>
      <c r="BB30" s="96">
        <v>73</v>
      </c>
      <c r="BC30" s="96">
        <f>BB30*E30</f>
        <v>219000</v>
      </c>
      <c r="BD30" s="96">
        <v>137</v>
      </c>
      <c r="BE30" s="96">
        <f>BD30*E30</f>
        <v>411000</v>
      </c>
      <c r="BF30" s="96">
        <v>54</v>
      </c>
      <c r="BG30" s="96">
        <f>BF30*E30</f>
        <v>162000</v>
      </c>
      <c r="BH30" s="97"/>
      <c r="BI30" s="96">
        <f t="shared" si="2"/>
        <v>0</v>
      </c>
      <c r="BJ30" s="96">
        <f t="shared" si="26"/>
        <v>1011</v>
      </c>
      <c r="BK30" s="96">
        <f t="shared" si="26"/>
        <v>3033000</v>
      </c>
      <c r="BL30" s="362" t="s">
        <v>224</v>
      </c>
      <c r="BN30" s="98"/>
      <c r="BO30" s="78">
        <f t="shared" si="27"/>
        <v>3033000</v>
      </c>
      <c r="BP30" s="98"/>
      <c r="BQ30" s="98"/>
      <c r="BR30" s="78">
        <f t="shared" si="28"/>
        <v>3033000</v>
      </c>
      <c r="BS30" s="98"/>
      <c r="BT30" s="98"/>
      <c r="BU30" s="98"/>
      <c r="BV30" s="78">
        <f t="shared" si="29"/>
        <v>3033000</v>
      </c>
    </row>
    <row r="31" spans="1:74" s="90" customFormat="1" ht="32.25" customHeight="1">
      <c r="A31" s="745"/>
      <c r="B31" s="94"/>
      <c r="C31" s="421" t="s">
        <v>677</v>
      </c>
      <c r="D31" s="655" t="s">
        <v>685</v>
      </c>
      <c r="E31" s="312">
        <v>100</v>
      </c>
      <c r="F31" s="548">
        <f t="shared" si="14"/>
        <v>576</v>
      </c>
      <c r="G31" s="96">
        <f t="shared" si="15"/>
        <v>57600</v>
      </c>
      <c r="H31" s="96">
        <f t="shared" si="16"/>
        <v>11520</v>
      </c>
      <c r="I31" s="96">
        <f t="shared" si="17"/>
        <v>46080</v>
      </c>
      <c r="J31" s="96"/>
      <c r="K31" s="96"/>
      <c r="L31" s="96"/>
      <c r="M31" s="96"/>
      <c r="N31" s="96"/>
      <c r="O31" s="96"/>
      <c r="P31" s="96"/>
      <c r="Q31" s="96"/>
      <c r="R31" s="96">
        <f t="shared" si="18"/>
        <v>144</v>
      </c>
      <c r="S31" s="96">
        <f t="shared" si="19"/>
        <v>144</v>
      </c>
      <c r="T31" s="96">
        <f t="shared" si="20"/>
        <v>144</v>
      </c>
      <c r="U31" s="96">
        <f t="shared" si="21"/>
        <v>144</v>
      </c>
      <c r="V31" s="96">
        <f t="shared" si="22"/>
        <v>14400</v>
      </c>
      <c r="W31" s="96">
        <f t="shared" si="23"/>
        <v>14400</v>
      </c>
      <c r="X31" s="95">
        <f t="shared" si="24"/>
        <v>14400</v>
      </c>
      <c r="Y31" s="95">
        <f t="shared" si="25"/>
        <v>14400</v>
      </c>
      <c r="Z31" s="96">
        <f>SUM(Z29)</f>
        <v>576</v>
      </c>
      <c r="AA31" s="96">
        <f>Z31*E31</f>
        <v>57600</v>
      </c>
      <c r="AB31" s="96"/>
      <c r="AC31" s="96">
        <f>AB31*E31</f>
        <v>0</v>
      </c>
      <c r="AD31" s="96"/>
      <c r="AE31" s="96">
        <f>AD31*E31</f>
        <v>0</v>
      </c>
      <c r="AF31" s="96"/>
      <c r="AG31" s="96">
        <f>AF31*E31</f>
        <v>0</v>
      </c>
      <c r="AH31" s="96"/>
      <c r="AI31" s="96">
        <f>AH31*E31</f>
        <v>0</v>
      </c>
      <c r="AJ31" s="96"/>
      <c r="AK31" s="96">
        <f>AJ31*E31</f>
        <v>0</v>
      </c>
      <c r="AL31" s="96"/>
      <c r="AM31" s="96">
        <f>AL31*E31</f>
        <v>0</v>
      </c>
      <c r="AN31" s="96"/>
      <c r="AO31" s="96">
        <f>AN31*E31</f>
        <v>0</v>
      </c>
      <c r="AP31" s="96"/>
      <c r="AQ31" s="96">
        <f>AP31*E31</f>
        <v>0</v>
      </c>
      <c r="AR31" s="96"/>
      <c r="AS31" s="96">
        <f>AR31*E31</f>
        <v>0</v>
      </c>
      <c r="AT31" s="96"/>
      <c r="AU31" s="96">
        <f>AT31*E31</f>
        <v>0</v>
      </c>
      <c r="AV31" s="96"/>
      <c r="AW31" s="96">
        <f>AV31*E31</f>
        <v>0</v>
      </c>
      <c r="AX31" s="96"/>
      <c r="AY31" s="96">
        <f>AX31*E31</f>
        <v>0</v>
      </c>
      <c r="AZ31" s="96"/>
      <c r="BA31" s="96">
        <f>AZ31*E31</f>
        <v>0</v>
      </c>
      <c r="BB31" s="96"/>
      <c r="BC31" s="96">
        <f>BB31*E31</f>
        <v>0</v>
      </c>
      <c r="BD31" s="96"/>
      <c r="BE31" s="96">
        <f>BD31*E31</f>
        <v>0</v>
      </c>
      <c r="BF31" s="96"/>
      <c r="BG31" s="96">
        <f>BF31*E31</f>
        <v>0</v>
      </c>
      <c r="BH31" s="97"/>
      <c r="BI31" s="96">
        <f t="shared" si="2"/>
        <v>0</v>
      </c>
      <c r="BJ31" s="96">
        <f t="shared" si="26"/>
        <v>576</v>
      </c>
      <c r="BK31" s="96">
        <f t="shared" si="26"/>
        <v>57600</v>
      </c>
      <c r="BL31" s="362" t="s">
        <v>224</v>
      </c>
      <c r="BN31" s="98"/>
      <c r="BO31" s="78">
        <f t="shared" si="27"/>
        <v>57600</v>
      </c>
      <c r="BP31" s="98"/>
      <c r="BQ31" s="98"/>
      <c r="BR31" s="78">
        <f t="shared" si="28"/>
        <v>57600</v>
      </c>
      <c r="BS31" s="98"/>
      <c r="BT31" s="98"/>
      <c r="BU31" s="98"/>
      <c r="BV31" s="78">
        <f t="shared" si="29"/>
        <v>57600</v>
      </c>
    </row>
    <row r="32" spans="1:74" s="90" customFormat="1" ht="32.25" customHeight="1">
      <c r="A32" s="745"/>
      <c r="B32" s="94">
        <v>0</v>
      </c>
      <c r="C32" s="421" t="s">
        <v>678</v>
      </c>
      <c r="D32" s="362" t="s">
        <v>32</v>
      </c>
      <c r="E32" s="312" t="s">
        <v>654</v>
      </c>
      <c r="F32" s="548">
        <f t="shared" si="14"/>
        <v>0</v>
      </c>
      <c r="G32" s="96">
        <f t="shared" si="15"/>
        <v>0</v>
      </c>
      <c r="H32" s="96">
        <f t="shared" si="16"/>
        <v>0</v>
      </c>
      <c r="I32" s="96">
        <f t="shared" si="17"/>
        <v>0</v>
      </c>
      <c r="J32" s="96"/>
      <c r="K32" s="96"/>
      <c r="L32" s="96"/>
      <c r="M32" s="96"/>
      <c r="N32" s="96"/>
      <c r="O32" s="96"/>
      <c r="P32" s="96"/>
      <c r="Q32" s="96"/>
      <c r="R32" s="96">
        <f t="shared" si="18"/>
        <v>0</v>
      </c>
      <c r="S32" s="96">
        <f t="shared" si="19"/>
        <v>0</v>
      </c>
      <c r="T32" s="96">
        <f t="shared" si="20"/>
        <v>0</v>
      </c>
      <c r="U32" s="96">
        <f t="shared" si="21"/>
        <v>0</v>
      </c>
      <c r="V32" s="96">
        <f t="shared" si="22"/>
        <v>0</v>
      </c>
      <c r="W32" s="96">
        <f t="shared" si="23"/>
        <v>0</v>
      </c>
      <c r="X32" s="95">
        <f t="shared" si="24"/>
        <v>0</v>
      </c>
      <c r="Y32" s="95">
        <f t="shared" si="25"/>
        <v>0</v>
      </c>
      <c r="Z32" s="96">
        <v>0</v>
      </c>
      <c r="AA32" s="96">
        <f>Z32*E32</f>
        <v>0</v>
      </c>
      <c r="AB32" s="96">
        <v>0</v>
      </c>
      <c r="AC32" s="96">
        <f>AB32*E32</f>
        <v>0</v>
      </c>
      <c r="AD32" s="96">
        <v>0</v>
      </c>
      <c r="AE32" s="96">
        <f>AD32*E32</f>
        <v>0</v>
      </c>
      <c r="AF32" s="96">
        <v>0</v>
      </c>
      <c r="AG32" s="96">
        <f>AF32*E32</f>
        <v>0</v>
      </c>
      <c r="AH32" s="96">
        <v>0</v>
      </c>
      <c r="AI32" s="96">
        <f>AH32*E32</f>
        <v>0</v>
      </c>
      <c r="AJ32" s="96">
        <v>0</v>
      </c>
      <c r="AK32" s="96">
        <f>AJ32*E32</f>
        <v>0</v>
      </c>
      <c r="AL32" s="96">
        <v>0</v>
      </c>
      <c r="AM32" s="96">
        <f>AL32*E32</f>
        <v>0</v>
      </c>
      <c r="AN32" s="96">
        <v>0</v>
      </c>
      <c r="AO32" s="96">
        <f>AN32*E32</f>
        <v>0</v>
      </c>
      <c r="AP32" s="96">
        <v>0</v>
      </c>
      <c r="AQ32" s="96">
        <f>AP32*E32</f>
        <v>0</v>
      </c>
      <c r="AR32" s="96">
        <v>0</v>
      </c>
      <c r="AS32" s="96">
        <f>AR32*E32</f>
        <v>0</v>
      </c>
      <c r="AT32" s="96">
        <v>0</v>
      </c>
      <c r="AU32" s="96">
        <f>AT32*E32</f>
        <v>0</v>
      </c>
      <c r="AV32" s="96">
        <v>0</v>
      </c>
      <c r="AW32" s="96">
        <f>AV32*E32</f>
        <v>0</v>
      </c>
      <c r="AX32" s="96">
        <v>0</v>
      </c>
      <c r="AY32" s="96">
        <f>AX32*E32</f>
        <v>0</v>
      </c>
      <c r="AZ32" s="97">
        <v>0</v>
      </c>
      <c r="BA32" s="96">
        <f>AZ32*E32</f>
        <v>0</v>
      </c>
      <c r="BB32" s="96">
        <v>0</v>
      </c>
      <c r="BC32" s="96">
        <f>BB32*E32</f>
        <v>0</v>
      </c>
      <c r="BD32" s="96">
        <v>0</v>
      </c>
      <c r="BE32" s="96">
        <f>BD32*E32</f>
        <v>0</v>
      </c>
      <c r="BF32" s="96">
        <v>0</v>
      </c>
      <c r="BG32" s="96">
        <f>BF32*E32</f>
        <v>0</v>
      </c>
      <c r="BH32" s="97"/>
      <c r="BI32" s="96">
        <f t="shared" si="2"/>
        <v>0</v>
      </c>
      <c r="BJ32" s="96">
        <f t="shared" si="26"/>
        <v>0</v>
      </c>
      <c r="BK32" s="96">
        <f t="shared" si="26"/>
        <v>0</v>
      </c>
      <c r="BL32" s="362" t="s">
        <v>224</v>
      </c>
      <c r="BN32" s="98"/>
      <c r="BO32" s="78">
        <f t="shared" si="27"/>
        <v>0</v>
      </c>
      <c r="BP32" s="98"/>
      <c r="BQ32" s="98"/>
      <c r="BR32" s="78">
        <f t="shared" si="28"/>
        <v>0</v>
      </c>
      <c r="BS32" s="98"/>
      <c r="BT32" s="98"/>
      <c r="BU32" s="98"/>
      <c r="BV32" s="78">
        <f t="shared" si="29"/>
        <v>0</v>
      </c>
    </row>
    <row r="33" spans="1:74" s="90" customFormat="1" ht="32.25" customHeight="1">
      <c r="A33" s="745"/>
      <c r="B33" s="296"/>
      <c r="C33" s="421" t="s">
        <v>430</v>
      </c>
      <c r="D33" s="362" t="s">
        <v>32</v>
      </c>
      <c r="E33" s="312" t="s">
        <v>656</v>
      </c>
      <c r="F33" s="548">
        <f t="shared" si="14"/>
        <v>82</v>
      </c>
      <c r="G33" s="96">
        <f t="shared" si="15"/>
        <v>164000</v>
      </c>
      <c r="H33" s="96">
        <f t="shared" si="16"/>
        <v>32800</v>
      </c>
      <c r="I33" s="96">
        <f t="shared" si="17"/>
        <v>131200</v>
      </c>
      <c r="J33" s="501"/>
      <c r="K33" s="96"/>
      <c r="L33" s="501"/>
      <c r="M33" s="96"/>
      <c r="N33" s="501"/>
      <c r="O33" s="96"/>
      <c r="P33" s="501"/>
      <c r="Q33" s="96"/>
      <c r="R33" s="547">
        <f t="shared" si="18"/>
        <v>20.5</v>
      </c>
      <c r="S33" s="76">
        <f t="shared" si="19"/>
        <v>20.5</v>
      </c>
      <c r="T33" s="547">
        <f t="shared" si="20"/>
        <v>20.5</v>
      </c>
      <c r="U33" s="76">
        <f t="shared" si="21"/>
        <v>20.5</v>
      </c>
      <c r="V33" s="547">
        <f t="shared" si="22"/>
        <v>41000</v>
      </c>
      <c r="W33" s="76">
        <f t="shared" si="23"/>
        <v>41000</v>
      </c>
      <c r="X33" s="547">
        <f t="shared" si="24"/>
        <v>41000</v>
      </c>
      <c r="Y33" s="76">
        <f t="shared" si="25"/>
        <v>41000</v>
      </c>
      <c r="Z33" s="501">
        <f>BZ33</f>
        <v>0</v>
      </c>
      <c r="AA33" s="96">
        <f>Z33*Y33</f>
        <v>0</v>
      </c>
      <c r="AB33" s="501">
        <f>CB33</f>
        <v>0</v>
      </c>
      <c r="AC33" s="96">
        <f>AB33*AA33</f>
        <v>0</v>
      </c>
      <c r="AD33" s="501">
        <f>CD33</f>
        <v>0</v>
      </c>
      <c r="AE33" s="96">
        <f>AD33*AC33</f>
        <v>0</v>
      </c>
      <c r="AF33" s="501">
        <f>CF33</f>
        <v>0</v>
      </c>
      <c r="AG33" s="96">
        <f>AF33*AE33</f>
        <v>0</v>
      </c>
      <c r="AH33" s="501">
        <f>CH33</f>
        <v>0</v>
      </c>
      <c r="AI33" s="96">
        <f>AH33*AG33</f>
        <v>0</v>
      </c>
      <c r="AJ33" s="501">
        <f>CJ33</f>
        <v>0</v>
      </c>
      <c r="AK33" s="96">
        <f>AJ33*E33</f>
        <v>0</v>
      </c>
      <c r="AL33" s="96">
        <v>0</v>
      </c>
      <c r="AM33" s="96">
        <f>AL33*E33</f>
        <v>0</v>
      </c>
      <c r="AN33" s="96">
        <v>26</v>
      </c>
      <c r="AO33" s="96">
        <f>AN33*E33</f>
        <v>52000</v>
      </c>
      <c r="AP33" s="96">
        <v>0</v>
      </c>
      <c r="AQ33" s="96">
        <f>AP33*E33</f>
        <v>0</v>
      </c>
      <c r="AR33" s="96">
        <v>0</v>
      </c>
      <c r="AS33" s="96">
        <f>AR33*E33</f>
        <v>0</v>
      </c>
      <c r="AT33" s="96">
        <v>0</v>
      </c>
      <c r="AU33" s="96">
        <f>AT33*E33</f>
        <v>0</v>
      </c>
      <c r="AV33" s="96">
        <v>0</v>
      </c>
      <c r="AW33" s="96">
        <f>AV33*E33</f>
        <v>0</v>
      </c>
      <c r="AX33" s="96">
        <v>0</v>
      </c>
      <c r="AY33" s="96">
        <f>AX33*E33</f>
        <v>0</v>
      </c>
      <c r="AZ33" s="97">
        <v>0</v>
      </c>
      <c r="BA33" s="96">
        <f>AZ33*E33</f>
        <v>0</v>
      </c>
      <c r="BB33" s="96">
        <v>0</v>
      </c>
      <c r="BC33" s="96">
        <f>BB33*E33</f>
        <v>0</v>
      </c>
      <c r="BD33" s="96">
        <v>56</v>
      </c>
      <c r="BE33" s="96">
        <f>BD33*E33</f>
        <v>112000</v>
      </c>
      <c r="BF33" s="96">
        <v>0</v>
      </c>
      <c r="BG33" s="96">
        <f>BF33*E33</f>
        <v>0</v>
      </c>
      <c r="BH33" s="97"/>
      <c r="BI33" s="96">
        <f t="shared" si="2"/>
        <v>0</v>
      </c>
      <c r="BJ33" s="96">
        <f t="shared" si="26"/>
        <v>82</v>
      </c>
      <c r="BK33" s="96">
        <f t="shared" si="26"/>
        <v>164000</v>
      </c>
      <c r="BL33" s="362" t="s">
        <v>224</v>
      </c>
      <c r="BM33" s="528"/>
      <c r="BN33" s="96"/>
      <c r="BO33" s="78">
        <f t="shared" si="27"/>
        <v>164000</v>
      </c>
      <c r="BP33" s="96"/>
      <c r="BQ33" s="96"/>
      <c r="BR33" s="78">
        <f t="shared" si="28"/>
        <v>164000</v>
      </c>
      <c r="BS33" s="96"/>
      <c r="BT33" s="96"/>
      <c r="BU33" s="96"/>
      <c r="BV33" s="78">
        <f t="shared" si="29"/>
        <v>164000</v>
      </c>
    </row>
    <row r="34" spans="1:74" s="90" customFormat="1" ht="32.25" customHeight="1">
      <c r="A34" s="745"/>
      <c r="B34" s="296"/>
      <c r="C34" s="534" t="s">
        <v>773</v>
      </c>
      <c r="D34" s="362" t="s">
        <v>774</v>
      </c>
      <c r="E34" s="312">
        <v>35000</v>
      </c>
      <c r="F34" s="548">
        <f t="shared" si="14"/>
        <v>82</v>
      </c>
      <c r="G34" s="96">
        <f t="shared" si="15"/>
        <v>2870000</v>
      </c>
      <c r="H34" s="96">
        <f t="shared" si="16"/>
        <v>574000</v>
      </c>
      <c r="I34" s="96">
        <f t="shared" si="17"/>
        <v>2296000</v>
      </c>
      <c r="J34" s="96"/>
      <c r="K34" s="96"/>
      <c r="L34" s="96"/>
      <c r="M34" s="96"/>
      <c r="N34" s="96"/>
      <c r="O34" s="96"/>
      <c r="P34" s="96"/>
      <c r="Q34" s="96"/>
      <c r="R34" s="96">
        <f t="shared" si="18"/>
        <v>20.5</v>
      </c>
      <c r="S34" s="96">
        <f t="shared" si="19"/>
        <v>20.5</v>
      </c>
      <c r="T34" s="96">
        <f t="shared" si="20"/>
        <v>20.5</v>
      </c>
      <c r="U34" s="96">
        <f t="shared" si="21"/>
        <v>20.5</v>
      </c>
      <c r="V34" s="96">
        <f t="shared" si="22"/>
        <v>717500</v>
      </c>
      <c r="W34" s="96">
        <f t="shared" si="23"/>
        <v>717500</v>
      </c>
      <c r="X34" s="96">
        <f t="shared" si="24"/>
        <v>717500</v>
      </c>
      <c r="Y34" s="96">
        <f t="shared" si="25"/>
        <v>717500</v>
      </c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>
        <v>26</v>
      </c>
      <c r="AO34" s="96">
        <f>AN34*E34</f>
        <v>910000</v>
      </c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7"/>
      <c r="BA34" s="96"/>
      <c r="BB34" s="96"/>
      <c r="BC34" s="96"/>
      <c r="BD34" s="293">
        <v>56</v>
      </c>
      <c r="BE34" s="96">
        <f>BD34*E34</f>
        <v>1960000</v>
      </c>
      <c r="BF34" s="96"/>
      <c r="BG34" s="96"/>
      <c r="BH34" s="97"/>
      <c r="BI34" s="96"/>
      <c r="BJ34" s="96">
        <f t="shared" si="26"/>
        <v>82</v>
      </c>
      <c r="BK34" s="96">
        <f t="shared" si="26"/>
        <v>2870000</v>
      </c>
      <c r="BL34" s="362" t="s">
        <v>224</v>
      </c>
      <c r="BM34" s="533"/>
      <c r="BN34" s="96"/>
      <c r="BO34" s="78">
        <f t="shared" si="27"/>
        <v>2870000</v>
      </c>
      <c r="BP34" s="96"/>
      <c r="BQ34" s="96"/>
      <c r="BR34" s="78">
        <f t="shared" si="28"/>
        <v>2870000</v>
      </c>
      <c r="BS34" s="96"/>
      <c r="BT34" s="96"/>
      <c r="BU34" s="96"/>
      <c r="BV34" s="78">
        <f t="shared" si="29"/>
        <v>2870000</v>
      </c>
    </row>
    <row r="35" spans="1:74" s="558" customFormat="1" ht="32.25" customHeight="1">
      <c r="A35" s="745"/>
      <c r="B35" s="559"/>
      <c r="C35" s="422" t="s">
        <v>679</v>
      </c>
      <c r="D35" s="439" t="s">
        <v>121</v>
      </c>
      <c r="E35" s="440" t="s">
        <v>121</v>
      </c>
      <c r="F35" s="553">
        <f t="shared" ref="F35:Y35" si="30">SUM(F29:F33)</f>
        <v>13825</v>
      </c>
      <c r="G35" s="553">
        <f t="shared" si="30"/>
        <v>21488600</v>
      </c>
      <c r="H35" s="553">
        <f t="shared" si="30"/>
        <v>4297720</v>
      </c>
      <c r="I35" s="553">
        <f t="shared" si="30"/>
        <v>17190880</v>
      </c>
      <c r="J35" s="553">
        <f t="shared" si="30"/>
        <v>0</v>
      </c>
      <c r="K35" s="553">
        <f t="shared" si="30"/>
        <v>0</v>
      </c>
      <c r="L35" s="553">
        <f t="shared" si="30"/>
        <v>0</v>
      </c>
      <c r="M35" s="553">
        <f t="shared" si="30"/>
        <v>0</v>
      </c>
      <c r="N35" s="553">
        <f t="shared" si="30"/>
        <v>0</v>
      </c>
      <c r="O35" s="553">
        <f t="shared" si="30"/>
        <v>0</v>
      </c>
      <c r="P35" s="553">
        <f t="shared" si="30"/>
        <v>0</v>
      </c>
      <c r="Q35" s="553">
        <f t="shared" si="30"/>
        <v>0</v>
      </c>
      <c r="R35" s="553">
        <f t="shared" si="30"/>
        <v>3456.25</v>
      </c>
      <c r="S35" s="553">
        <f t="shared" si="30"/>
        <v>3456.25</v>
      </c>
      <c r="T35" s="553">
        <f t="shared" si="30"/>
        <v>3456.25</v>
      </c>
      <c r="U35" s="553">
        <f t="shared" si="30"/>
        <v>3456.25</v>
      </c>
      <c r="V35" s="553">
        <f t="shared" si="30"/>
        <v>5372150</v>
      </c>
      <c r="W35" s="553">
        <f t="shared" si="30"/>
        <v>5372150</v>
      </c>
      <c r="X35" s="553">
        <f t="shared" si="30"/>
        <v>5372150</v>
      </c>
      <c r="Y35" s="553">
        <f t="shared" si="30"/>
        <v>5372150</v>
      </c>
      <c r="Z35" s="553">
        <f>SUM(Z29:Z33)</f>
        <v>1200</v>
      </c>
      <c r="AA35" s="553">
        <f t="shared" ref="AA35:BV35" si="31">SUM(AA29:AA33)</f>
        <v>1065600</v>
      </c>
      <c r="AB35" s="553">
        <f t="shared" si="31"/>
        <v>299</v>
      </c>
      <c r="AC35" s="553">
        <f t="shared" si="31"/>
        <v>483000</v>
      </c>
      <c r="AD35" s="553">
        <f t="shared" si="31"/>
        <v>754</v>
      </c>
      <c r="AE35" s="553">
        <f t="shared" si="31"/>
        <v>1218000</v>
      </c>
      <c r="AF35" s="553">
        <f t="shared" si="31"/>
        <v>1157</v>
      </c>
      <c r="AG35" s="553">
        <f t="shared" si="31"/>
        <v>1869000</v>
      </c>
      <c r="AH35" s="553">
        <f t="shared" si="31"/>
        <v>492</v>
      </c>
      <c r="AI35" s="553">
        <f t="shared" si="31"/>
        <v>792000</v>
      </c>
      <c r="AJ35" s="553">
        <f t="shared" si="31"/>
        <v>923</v>
      </c>
      <c r="AK35" s="553">
        <f t="shared" si="31"/>
        <v>1491000</v>
      </c>
      <c r="AL35" s="553">
        <f t="shared" si="31"/>
        <v>442</v>
      </c>
      <c r="AM35" s="553">
        <f t="shared" si="31"/>
        <v>714000</v>
      </c>
      <c r="AN35" s="553">
        <f>SUM(AN29:AN34)</f>
        <v>1365</v>
      </c>
      <c r="AO35" s="553">
        <f t="shared" si="31"/>
        <v>2173000</v>
      </c>
      <c r="AP35" s="553">
        <f t="shared" si="31"/>
        <v>104</v>
      </c>
      <c r="AQ35" s="553">
        <f t="shared" si="31"/>
        <v>168000</v>
      </c>
      <c r="AR35" s="553">
        <f t="shared" si="31"/>
        <v>416</v>
      </c>
      <c r="AS35" s="553">
        <f t="shared" si="31"/>
        <v>672000</v>
      </c>
      <c r="AT35" s="553">
        <f t="shared" si="31"/>
        <v>650</v>
      </c>
      <c r="AU35" s="553">
        <f t="shared" si="31"/>
        <v>1050000</v>
      </c>
      <c r="AV35" s="553">
        <f t="shared" si="31"/>
        <v>650</v>
      </c>
      <c r="AW35" s="553">
        <f t="shared" si="31"/>
        <v>1050000</v>
      </c>
      <c r="AX35" s="553">
        <f t="shared" si="31"/>
        <v>936</v>
      </c>
      <c r="AY35" s="553">
        <f t="shared" si="31"/>
        <v>1512000</v>
      </c>
      <c r="AZ35" s="553">
        <f t="shared" si="31"/>
        <v>975</v>
      </c>
      <c r="BA35" s="553">
        <f t="shared" si="31"/>
        <v>1575000</v>
      </c>
      <c r="BB35" s="553">
        <f t="shared" si="31"/>
        <v>949</v>
      </c>
      <c r="BC35" s="553">
        <f t="shared" si="31"/>
        <v>1533000</v>
      </c>
      <c r="BD35" s="553">
        <f>SUM(BD29:BD34)</f>
        <v>1893</v>
      </c>
      <c r="BE35" s="553">
        <f t="shared" si="31"/>
        <v>2989000</v>
      </c>
      <c r="BF35" s="553">
        <f t="shared" si="31"/>
        <v>702</v>
      </c>
      <c r="BG35" s="553">
        <f t="shared" si="31"/>
        <v>1134000</v>
      </c>
      <c r="BH35" s="553">
        <f t="shared" si="31"/>
        <v>0</v>
      </c>
      <c r="BI35" s="553">
        <f t="shared" si="31"/>
        <v>0</v>
      </c>
      <c r="BJ35" s="553">
        <f t="shared" si="31"/>
        <v>13825</v>
      </c>
      <c r="BK35" s="553">
        <f t="shared" si="31"/>
        <v>21488600</v>
      </c>
      <c r="BL35" s="553">
        <f t="shared" si="31"/>
        <v>0</v>
      </c>
      <c r="BM35" s="553">
        <f t="shared" si="31"/>
        <v>0</v>
      </c>
      <c r="BN35" s="553">
        <f t="shared" si="31"/>
        <v>0</v>
      </c>
      <c r="BO35" s="553">
        <f t="shared" si="31"/>
        <v>21488600</v>
      </c>
      <c r="BP35" s="553">
        <f t="shared" si="31"/>
        <v>0</v>
      </c>
      <c r="BQ35" s="553">
        <f t="shared" si="31"/>
        <v>0</v>
      </c>
      <c r="BR35" s="553">
        <f t="shared" si="31"/>
        <v>21488600</v>
      </c>
      <c r="BS35" s="553">
        <f t="shared" si="31"/>
        <v>0</v>
      </c>
      <c r="BT35" s="553">
        <f t="shared" si="31"/>
        <v>0</v>
      </c>
      <c r="BU35" s="553">
        <f t="shared" si="31"/>
        <v>0</v>
      </c>
      <c r="BV35" s="553">
        <f t="shared" si="31"/>
        <v>21488600</v>
      </c>
    </row>
    <row r="36" spans="1:74" s="90" customFormat="1" ht="32.25" customHeight="1">
      <c r="A36" s="745"/>
      <c r="B36" s="296"/>
      <c r="C36" s="420" t="s">
        <v>680</v>
      </c>
      <c r="D36" s="362"/>
      <c r="E36" s="362"/>
      <c r="F36" s="308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7"/>
      <c r="BI36" s="96"/>
      <c r="BJ36" s="96"/>
      <c r="BK36" s="96"/>
      <c r="BL36" s="362"/>
      <c r="BM36" s="297"/>
      <c r="BN36" s="96"/>
      <c r="BO36" s="96">
        <f>G36</f>
        <v>0</v>
      </c>
      <c r="BP36" s="96"/>
      <c r="BQ36" s="96"/>
      <c r="BR36" s="96">
        <f>BN36+BO36+BP36+BQ36</f>
        <v>0</v>
      </c>
      <c r="BS36" s="96"/>
      <c r="BT36" s="96"/>
      <c r="BU36" s="96"/>
      <c r="BV36" s="96"/>
    </row>
    <row r="37" spans="1:74" s="90" customFormat="1" ht="32.25" customHeight="1">
      <c r="A37" s="745"/>
      <c r="B37" s="296"/>
      <c r="C37" s="421" t="s">
        <v>699</v>
      </c>
      <c r="D37" s="362" t="s">
        <v>32</v>
      </c>
      <c r="E37" s="312">
        <v>200000</v>
      </c>
      <c r="F37" s="597">
        <f>BJ37</f>
        <v>63</v>
      </c>
      <c r="G37" s="96">
        <f>F37*E37</f>
        <v>12600000</v>
      </c>
      <c r="H37" s="96"/>
      <c r="I37" s="96">
        <f>G37</f>
        <v>12600000</v>
      </c>
      <c r="J37" s="96"/>
      <c r="K37" s="96"/>
      <c r="L37" s="96"/>
      <c r="M37" s="96"/>
      <c r="N37" s="96"/>
      <c r="O37" s="96"/>
      <c r="P37" s="96"/>
      <c r="Q37" s="96"/>
      <c r="R37" s="96">
        <f>F37*0.25</f>
        <v>15.75</v>
      </c>
      <c r="S37" s="96">
        <f>F37*0.25</f>
        <v>15.75</v>
      </c>
      <c r="T37" s="96">
        <f>F37*0.25</f>
        <v>15.75</v>
      </c>
      <c r="U37" s="96">
        <f>F37*0.25</f>
        <v>15.75</v>
      </c>
      <c r="V37" s="96">
        <f>R37*E37</f>
        <v>3150000</v>
      </c>
      <c r="W37" s="96">
        <f>S37*E37</f>
        <v>3150000</v>
      </c>
      <c r="X37" s="96">
        <f>T37*E37</f>
        <v>3150000</v>
      </c>
      <c r="Y37" s="96">
        <f>U37*E37</f>
        <v>3150000</v>
      </c>
      <c r="Z37" s="96"/>
      <c r="AA37" s="96"/>
      <c r="AB37" s="96">
        <f>AA37*E37</f>
        <v>0</v>
      </c>
      <c r="AC37" s="96"/>
      <c r="AD37" s="96">
        <f>AC37*E37</f>
        <v>0</v>
      </c>
      <c r="AE37" s="96"/>
      <c r="AF37" s="96">
        <f>AE37*E37</f>
        <v>0</v>
      </c>
      <c r="AG37" s="96"/>
      <c r="AH37" s="96">
        <f>AG37*E37</f>
        <v>0</v>
      </c>
      <c r="AI37" s="96"/>
      <c r="AJ37" s="96">
        <f>AI37*E37</f>
        <v>0</v>
      </c>
      <c r="AK37" s="96"/>
      <c r="AL37" s="96">
        <f>AK37*E37</f>
        <v>0</v>
      </c>
      <c r="AM37" s="96"/>
      <c r="AN37" s="293">
        <v>6</v>
      </c>
      <c r="AO37" s="96">
        <f>AN37*E37</f>
        <v>1200000</v>
      </c>
      <c r="AP37" s="96"/>
      <c r="AQ37" s="96"/>
      <c r="AR37" s="96">
        <f>AQ37*E37</f>
        <v>0</v>
      </c>
      <c r="AS37" s="96"/>
      <c r="AT37" s="96">
        <f>AS37*E37</f>
        <v>0</v>
      </c>
      <c r="AU37" s="96"/>
      <c r="AV37" s="96">
        <f>AU37*E37</f>
        <v>0</v>
      </c>
      <c r="AW37" s="96"/>
      <c r="AX37" s="96">
        <f>AW37*E37</f>
        <v>0</v>
      </c>
      <c r="AY37" s="96"/>
      <c r="AZ37" s="96">
        <f>AY37*E37</f>
        <v>0</v>
      </c>
      <c r="BA37" s="96"/>
      <c r="BB37" s="666">
        <v>1</v>
      </c>
      <c r="BC37" s="96">
        <f>BB37*E37</f>
        <v>200000</v>
      </c>
      <c r="BD37" s="666">
        <v>56</v>
      </c>
      <c r="BE37" s="96">
        <f>BD37*E37</f>
        <v>11200000</v>
      </c>
      <c r="BF37" s="96"/>
      <c r="BG37" s="97"/>
      <c r="BH37" s="96">
        <v>0</v>
      </c>
      <c r="BI37" s="356">
        <v>0</v>
      </c>
      <c r="BJ37" s="96">
        <f t="shared" ref="BJ37:BK39" si="32">Z37+AB37+AD37+AF37+AH37+AJ37+AL37+AN37+AP37+AR37+AT37+AV37+AX37+AZ37+BB37+BD37+BF37+BH37</f>
        <v>63</v>
      </c>
      <c r="BK37" s="96">
        <f t="shared" si="32"/>
        <v>12600000</v>
      </c>
      <c r="BL37" s="362" t="s">
        <v>225</v>
      </c>
      <c r="BM37" s="297"/>
      <c r="BN37" s="96"/>
      <c r="BO37" s="96">
        <f>BK37</f>
        <v>12600000</v>
      </c>
      <c r="BP37" s="96"/>
      <c r="BQ37" s="96"/>
      <c r="BR37" s="78">
        <f>BQ37+BP37+BO37+BN37</f>
        <v>12600000</v>
      </c>
      <c r="BS37" s="96"/>
      <c r="BT37" s="96"/>
      <c r="BU37" s="96"/>
      <c r="BV37" s="78">
        <f>BU37+BR37</f>
        <v>12600000</v>
      </c>
    </row>
    <row r="38" spans="1:74" s="90" customFormat="1" ht="32.25" customHeight="1">
      <c r="A38" s="745"/>
      <c r="B38" s="296"/>
      <c r="C38" s="421" t="s">
        <v>740</v>
      </c>
      <c r="D38" s="362" t="s">
        <v>32</v>
      </c>
      <c r="E38" s="466">
        <v>250000</v>
      </c>
      <c r="F38" s="548">
        <f>BJ38</f>
        <v>227</v>
      </c>
      <c r="G38" s="96">
        <f>F38*E38</f>
        <v>56750000</v>
      </c>
      <c r="H38" s="96">
        <f>G38*0</f>
        <v>0</v>
      </c>
      <c r="I38" s="96">
        <f>G38*1</f>
        <v>56750000</v>
      </c>
      <c r="J38" s="96"/>
      <c r="K38" s="96"/>
      <c r="L38" s="96"/>
      <c r="M38" s="96"/>
      <c r="N38" s="96"/>
      <c r="O38" s="96"/>
      <c r="P38" s="96"/>
      <c r="Q38" s="96"/>
      <c r="R38" s="97">
        <f>F38*0.25</f>
        <v>56.75</v>
      </c>
      <c r="S38" s="97">
        <f>F38*0.25</f>
        <v>56.75</v>
      </c>
      <c r="T38" s="97">
        <f>F38*0.25</f>
        <v>56.75</v>
      </c>
      <c r="U38" s="97">
        <f>F38*0.25</f>
        <v>56.75</v>
      </c>
      <c r="V38" s="96">
        <f>R38*E38</f>
        <v>14187500</v>
      </c>
      <c r="W38" s="96">
        <f>S38*E38</f>
        <v>14187500</v>
      </c>
      <c r="X38" s="96">
        <f>T38*E38</f>
        <v>14187500</v>
      </c>
      <c r="Y38" s="96">
        <f>U38*E38</f>
        <v>14187500</v>
      </c>
      <c r="Z38" s="96">
        <v>13</v>
      </c>
      <c r="AA38" s="96">
        <f>Z38*E38</f>
        <v>3250000</v>
      </c>
      <c r="AB38" s="96">
        <v>5</v>
      </c>
      <c r="AC38" s="96">
        <f>AB38*E38</f>
        <v>1250000</v>
      </c>
      <c r="AD38" s="96">
        <v>17</v>
      </c>
      <c r="AE38" s="96">
        <f>AD38*E38</f>
        <v>4250000</v>
      </c>
      <c r="AF38" s="96">
        <v>22</v>
      </c>
      <c r="AG38" s="96">
        <f>AF38*E38</f>
        <v>5500000</v>
      </c>
      <c r="AH38" s="96">
        <v>12</v>
      </c>
      <c r="AI38" s="96">
        <f>AH38*E38</f>
        <v>3000000</v>
      </c>
      <c r="AJ38" s="96">
        <v>24</v>
      </c>
      <c r="AK38" s="96">
        <f>AJ38*E38</f>
        <v>6000000</v>
      </c>
      <c r="AL38" s="96">
        <v>8</v>
      </c>
      <c r="AM38" s="96">
        <f>AL38*E38</f>
        <v>2000000</v>
      </c>
      <c r="AN38" s="96">
        <v>5</v>
      </c>
      <c r="AO38" s="96">
        <f>AN38*E38</f>
        <v>1250000</v>
      </c>
      <c r="AP38" s="96">
        <v>4</v>
      </c>
      <c r="AQ38" s="96">
        <f>AP38*E38</f>
        <v>1000000</v>
      </c>
      <c r="AR38" s="96">
        <v>6</v>
      </c>
      <c r="AS38" s="96">
        <f>AR38*E38</f>
        <v>1500000</v>
      </c>
      <c r="AT38" s="96">
        <v>13</v>
      </c>
      <c r="AU38" s="96">
        <f>AT38*E38</f>
        <v>3250000</v>
      </c>
      <c r="AV38" s="96">
        <v>11</v>
      </c>
      <c r="AW38" s="96">
        <f>AV38*E38</f>
        <v>2750000</v>
      </c>
      <c r="AX38" s="96">
        <v>14</v>
      </c>
      <c r="AY38" s="96">
        <f>AX38*E38</f>
        <v>3500000</v>
      </c>
      <c r="AZ38" s="96">
        <v>12</v>
      </c>
      <c r="BA38" s="96">
        <f>AZ38*E38</f>
        <v>3000000</v>
      </c>
      <c r="BB38" s="96">
        <v>21</v>
      </c>
      <c r="BC38" s="96">
        <f>BB38*E38</f>
        <v>5250000</v>
      </c>
      <c r="BD38" s="96">
        <v>9</v>
      </c>
      <c r="BE38" s="96">
        <f>BD38*E38</f>
        <v>2250000</v>
      </c>
      <c r="BF38" s="96">
        <v>31</v>
      </c>
      <c r="BG38" s="96">
        <f>BF38*E38</f>
        <v>7750000</v>
      </c>
      <c r="BH38" s="97"/>
      <c r="BI38" s="96">
        <f t="shared" si="2"/>
        <v>0</v>
      </c>
      <c r="BJ38" s="96">
        <f t="shared" si="32"/>
        <v>227</v>
      </c>
      <c r="BK38" s="96">
        <f t="shared" si="32"/>
        <v>56750000</v>
      </c>
      <c r="BL38" s="362" t="s">
        <v>225</v>
      </c>
      <c r="BN38" s="78">
        <f t="shared" ref="BN38:BU38" si="33">SUM(BN35:BN36)</f>
        <v>0</v>
      </c>
      <c r="BO38" s="96">
        <f>BK38</f>
        <v>56750000</v>
      </c>
      <c r="BP38" s="78">
        <f t="shared" si="33"/>
        <v>0</v>
      </c>
      <c r="BQ38" s="78">
        <f t="shared" si="33"/>
        <v>0</v>
      </c>
      <c r="BR38" s="78">
        <f>BQ38+BP38+BO38+BN38</f>
        <v>56750000</v>
      </c>
      <c r="BS38" s="78">
        <f t="shared" si="33"/>
        <v>0</v>
      </c>
      <c r="BT38" s="78">
        <f t="shared" si="33"/>
        <v>0</v>
      </c>
      <c r="BU38" s="78">
        <f t="shared" si="33"/>
        <v>0</v>
      </c>
      <c r="BV38" s="78">
        <f>BU38+BR38</f>
        <v>56750000</v>
      </c>
    </row>
    <row r="39" spans="1:74" s="90" customFormat="1" ht="32.25" customHeight="1">
      <c r="A39" s="745"/>
      <c r="B39" s="94"/>
      <c r="C39" s="421" t="s">
        <v>431</v>
      </c>
      <c r="D39" s="362" t="s">
        <v>32</v>
      </c>
      <c r="E39" s="658">
        <v>300000</v>
      </c>
      <c r="F39" s="548">
        <f>BJ39</f>
        <v>70</v>
      </c>
      <c r="G39" s="96">
        <f>F39*E39</f>
        <v>21000000</v>
      </c>
      <c r="H39" s="96">
        <f>G39*0</f>
        <v>0</v>
      </c>
      <c r="I39" s="96">
        <f>G39*1</f>
        <v>21000000</v>
      </c>
      <c r="J39" s="96"/>
      <c r="K39" s="96"/>
      <c r="L39" s="96"/>
      <c r="M39" s="96"/>
      <c r="N39" s="96"/>
      <c r="O39" s="96"/>
      <c r="P39" s="96"/>
      <c r="Q39" s="96"/>
      <c r="R39" s="96">
        <f>F39*0.25</f>
        <v>17.5</v>
      </c>
      <c r="S39" s="96">
        <f>F39*0.25</f>
        <v>17.5</v>
      </c>
      <c r="T39" s="96">
        <f>F39*0.25</f>
        <v>17.5</v>
      </c>
      <c r="U39" s="96">
        <f>F39*0.25</f>
        <v>17.5</v>
      </c>
      <c r="V39" s="96">
        <f>R39*E39</f>
        <v>5250000</v>
      </c>
      <c r="W39" s="96">
        <f>S39*E39</f>
        <v>5250000</v>
      </c>
      <c r="X39" s="95">
        <f>T39*E39</f>
        <v>5250000</v>
      </c>
      <c r="Y39" s="95">
        <f>U39*E39</f>
        <v>5250000</v>
      </c>
      <c r="Z39" s="96">
        <v>8</v>
      </c>
      <c r="AA39" s="96">
        <f>Z39*E39</f>
        <v>2400000</v>
      </c>
      <c r="AB39" s="96">
        <v>4</v>
      </c>
      <c r="AC39" s="96">
        <f>AB39*E39</f>
        <v>1200000</v>
      </c>
      <c r="AD39" s="96">
        <v>8</v>
      </c>
      <c r="AE39" s="96">
        <f>AD39*E39</f>
        <v>2400000</v>
      </c>
      <c r="AF39" s="96">
        <v>10</v>
      </c>
      <c r="AG39" s="96">
        <f>AF39*E39</f>
        <v>3000000</v>
      </c>
      <c r="AH39" s="96">
        <v>10</v>
      </c>
      <c r="AI39" s="96">
        <f>AH39*E39</f>
        <v>3000000</v>
      </c>
      <c r="AJ39" s="96">
        <v>7</v>
      </c>
      <c r="AK39" s="96">
        <f>AJ39*E39</f>
        <v>2100000</v>
      </c>
      <c r="AL39" s="96">
        <v>3</v>
      </c>
      <c r="AM39" s="96">
        <f>AL39*E39</f>
        <v>900000</v>
      </c>
      <c r="AN39" s="96">
        <v>0</v>
      </c>
      <c r="AO39" s="96">
        <f>AN39*E39</f>
        <v>0</v>
      </c>
      <c r="AP39" s="96">
        <v>0</v>
      </c>
      <c r="AQ39" s="96">
        <f>AP39*E39</f>
        <v>0</v>
      </c>
      <c r="AR39" s="96">
        <v>4</v>
      </c>
      <c r="AS39" s="96">
        <f>AR39*E39</f>
        <v>1200000</v>
      </c>
      <c r="AT39" s="96">
        <v>4</v>
      </c>
      <c r="AU39" s="96">
        <f>AT39*E39</f>
        <v>1200000</v>
      </c>
      <c r="AV39" s="96">
        <v>4</v>
      </c>
      <c r="AW39" s="96">
        <f>AV39*E39</f>
        <v>1200000</v>
      </c>
      <c r="AX39" s="96">
        <v>4</v>
      </c>
      <c r="AY39" s="96">
        <f>AX39*E39</f>
        <v>1200000</v>
      </c>
      <c r="AZ39" s="96">
        <v>4</v>
      </c>
      <c r="BA39" s="96">
        <f>AZ39*E39</f>
        <v>1200000</v>
      </c>
      <c r="BB39" s="96">
        <v>0</v>
      </c>
      <c r="BC39" s="96">
        <f>BB39*E39</f>
        <v>0</v>
      </c>
      <c r="BD39" s="96">
        <v>0</v>
      </c>
      <c r="BE39" s="96">
        <f>BD39*E39</f>
        <v>0</v>
      </c>
      <c r="BF39" s="96">
        <v>0</v>
      </c>
      <c r="BG39" s="96">
        <f>BF39*E39</f>
        <v>0</v>
      </c>
      <c r="BH39" s="97"/>
      <c r="BI39" s="96">
        <f t="shared" si="2"/>
        <v>0</v>
      </c>
      <c r="BJ39" s="96">
        <f t="shared" si="32"/>
        <v>70</v>
      </c>
      <c r="BK39" s="96">
        <f t="shared" si="32"/>
        <v>21000000</v>
      </c>
      <c r="BL39" s="362" t="s">
        <v>225</v>
      </c>
      <c r="BN39" s="98"/>
      <c r="BO39" s="96">
        <f>BK39</f>
        <v>21000000</v>
      </c>
      <c r="BP39" s="98"/>
      <c r="BQ39" s="98"/>
      <c r="BR39" s="78">
        <f>BQ39+BP39+BO39+BN39</f>
        <v>21000000</v>
      </c>
      <c r="BS39" s="98"/>
      <c r="BT39" s="98"/>
      <c r="BU39" s="98"/>
      <c r="BV39" s="78">
        <f>BU39+BR39</f>
        <v>21000000</v>
      </c>
    </row>
    <row r="40" spans="1:74" s="558" customFormat="1" ht="32.25" customHeight="1">
      <c r="A40" s="745"/>
      <c r="B40" s="552"/>
      <c r="C40" s="422" t="s">
        <v>681</v>
      </c>
      <c r="D40" s="439" t="s">
        <v>121</v>
      </c>
      <c r="E40" s="440" t="s">
        <v>121</v>
      </c>
      <c r="F40" s="553">
        <f t="shared" ref="F40:Y40" si="34">SUM(F37:F39)</f>
        <v>360</v>
      </c>
      <c r="G40" s="553">
        <f t="shared" si="34"/>
        <v>90350000</v>
      </c>
      <c r="H40" s="553">
        <f t="shared" si="34"/>
        <v>0</v>
      </c>
      <c r="I40" s="553">
        <f t="shared" si="34"/>
        <v>90350000</v>
      </c>
      <c r="J40" s="553">
        <f t="shared" si="34"/>
        <v>0</v>
      </c>
      <c r="K40" s="553">
        <f t="shared" si="34"/>
        <v>0</v>
      </c>
      <c r="L40" s="553">
        <f t="shared" si="34"/>
        <v>0</v>
      </c>
      <c r="M40" s="553">
        <f t="shared" si="34"/>
        <v>0</v>
      </c>
      <c r="N40" s="553">
        <f t="shared" si="34"/>
        <v>0</v>
      </c>
      <c r="O40" s="553">
        <f t="shared" si="34"/>
        <v>0</v>
      </c>
      <c r="P40" s="553">
        <f t="shared" si="34"/>
        <v>0</v>
      </c>
      <c r="Q40" s="553">
        <f t="shared" si="34"/>
        <v>0</v>
      </c>
      <c r="R40" s="553">
        <f t="shared" si="34"/>
        <v>90</v>
      </c>
      <c r="S40" s="553">
        <f t="shared" si="34"/>
        <v>90</v>
      </c>
      <c r="T40" s="553">
        <f t="shared" si="34"/>
        <v>90</v>
      </c>
      <c r="U40" s="553">
        <f t="shared" si="34"/>
        <v>90</v>
      </c>
      <c r="V40" s="553">
        <f t="shared" si="34"/>
        <v>22587500</v>
      </c>
      <c r="W40" s="553">
        <f t="shared" si="34"/>
        <v>22587500</v>
      </c>
      <c r="X40" s="553">
        <f t="shared" si="34"/>
        <v>22587500</v>
      </c>
      <c r="Y40" s="553">
        <f t="shared" si="34"/>
        <v>22587500</v>
      </c>
      <c r="Z40" s="553">
        <f>SUM(Z37:Z39)</f>
        <v>21</v>
      </c>
      <c r="AA40" s="553">
        <f t="shared" ref="AA40:BV40" si="35">SUM(AA37:AA39)</f>
        <v>5650000</v>
      </c>
      <c r="AB40" s="553">
        <f t="shared" si="35"/>
        <v>9</v>
      </c>
      <c r="AC40" s="553">
        <f t="shared" si="35"/>
        <v>2450000</v>
      </c>
      <c r="AD40" s="553">
        <f t="shared" si="35"/>
        <v>25</v>
      </c>
      <c r="AE40" s="553">
        <f t="shared" si="35"/>
        <v>6650000</v>
      </c>
      <c r="AF40" s="553">
        <f t="shared" si="35"/>
        <v>32</v>
      </c>
      <c r="AG40" s="553">
        <f t="shared" si="35"/>
        <v>8500000</v>
      </c>
      <c r="AH40" s="553">
        <f t="shared" si="35"/>
        <v>22</v>
      </c>
      <c r="AI40" s="553">
        <f t="shared" si="35"/>
        <v>6000000</v>
      </c>
      <c r="AJ40" s="553">
        <f t="shared" si="35"/>
        <v>31</v>
      </c>
      <c r="AK40" s="553">
        <f t="shared" si="35"/>
        <v>8100000</v>
      </c>
      <c r="AL40" s="553">
        <f t="shared" si="35"/>
        <v>11</v>
      </c>
      <c r="AM40" s="553">
        <f t="shared" si="35"/>
        <v>2900000</v>
      </c>
      <c r="AN40" s="553">
        <f t="shared" si="35"/>
        <v>11</v>
      </c>
      <c r="AO40" s="553">
        <f t="shared" si="35"/>
        <v>2450000</v>
      </c>
      <c r="AP40" s="553">
        <f t="shared" si="35"/>
        <v>4</v>
      </c>
      <c r="AQ40" s="553">
        <f t="shared" si="35"/>
        <v>1000000</v>
      </c>
      <c r="AR40" s="553">
        <f t="shared" si="35"/>
        <v>10</v>
      </c>
      <c r="AS40" s="553">
        <f t="shared" si="35"/>
        <v>2700000</v>
      </c>
      <c r="AT40" s="553">
        <f t="shared" si="35"/>
        <v>17</v>
      </c>
      <c r="AU40" s="553">
        <f t="shared" si="35"/>
        <v>4450000</v>
      </c>
      <c r="AV40" s="553">
        <f t="shared" si="35"/>
        <v>15</v>
      </c>
      <c r="AW40" s="553">
        <f t="shared" si="35"/>
        <v>3950000</v>
      </c>
      <c r="AX40" s="553">
        <f t="shared" si="35"/>
        <v>18</v>
      </c>
      <c r="AY40" s="553">
        <f t="shared" si="35"/>
        <v>4700000</v>
      </c>
      <c r="AZ40" s="553">
        <f t="shared" si="35"/>
        <v>16</v>
      </c>
      <c r="BA40" s="553">
        <f t="shared" si="35"/>
        <v>4200000</v>
      </c>
      <c r="BB40" s="553">
        <f t="shared" si="35"/>
        <v>22</v>
      </c>
      <c r="BC40" s="553">
        <f t="shared" si="35"/>
        <v>5450000</v>
      </c>
      <c r="BD40" s="553">
        <f t="shared" si="35"/>
        <v>65</v>
      </c>
      <c r="BE40" s="553">
        <f t="shared" si="35"/>
        <v>13450000</v>
      </c>
      <c r="BF40" s="553">
        <f t="shared" si="35"/>
        <v>31</v>
      </c>
      <c r="BG40" s="553">
        <f t="shared" si="35"/>
        <v>7750000</v>
      </c>
      <c r="BH40" s="553">
        <f t="shared" si="35"/>
        <v>0</v>
      </c>
      <c r="BI40" s="553">
        <f t="shared" si="35"/>
        <v>0</v>
      </c>
      <c r="BJ40" s="553">
        <f t="shared" si="35"/>
        <v>360</v>
      </c>
      <c r="BK40" s="553">
        <f t="shared" si="35"/>
        <v>90350000</v>
      </c>
      <c r="BL40" s="553">
        <f t="shared" si="35"/>
        <v>0</v>
      </c>
      <c r="BM40" s="553">
        <f t="shared" si="35"/>
        <v>0</v>
      </c>
      <c r="BN40" s="553">
        <f t="shared" si="35"/>
        <v>0</v>
      </c>
      <c r="BO40" s="553">
        <f t="shared" si="35"/>
        <v>90350000</v>
      </c>
      <c r="BP40" s="553">
        <f t="shared" si="35"/>
        <v>0</v>
      </c>
      <c r="BQ40" s="553">
        <f t="shared" si="35"/>
        <v>0</v>
      </c>
      <c r="BR40" s="553">
        <f t="shared" si="35"/>
        <v>90350000</v>
      </c>
      <c r="BS40" s="553">
        <f t="shared" si="35"/>
        <v>0</v>
      </c>
      <c r="BT40" s="553">
        <f t="shared" si="35"/>
        <v>0</v>
      </c>
      <c r="BU40" s="553">
        <f t="shared" si="35"/>
        <v>0</v>
      </c>
      <c r="BV40" s="553">
        <f t="shared" si="35"/>
        <v>90350000</v>
      </c>
    </row>
    <row r="41" spans="1:74" s="562" customFormat="1" ht="32.25" customHeight="1">
      <c r="A41" s="745"/>
      <c r="B41" s="560"/>
      <c r="C41" s="372" t="s">
        <v>470</v>
      </c>
      <c r="D41" s="561"/>
      <c r="E41" s="561"/>
      <c r="F41" s="561">
        <f t="shared" ref="F41:Y41" si="36">F40+F35+F27+F21+F15+F10</f>
        <v>17699</v>
      </c>
      <c r="G41" s="561">
        <f t="shared" si="36"/>
        <v>233006000</v>
      </c>
      <c r="H41" s="561">
        <f t="shared" si="36"/>
        <v>61561200</v>
      </c>
      <c r="I41" s="561">
        <f t="shared" si="36"/>
        <v>171444800</v>
      </c>
      <c r="J41" s="561">
        <f t="shared" si="36"/>
        <v>0</v>
      </c>
      <c r="K41" s="561">
        <f t="shared" si="36"/>
        <v>0</v>
      </c>
      <c r="L41" s="561">
        <f t="shared" si="36"/>
        <v>0</v>
      </c>
      <c r="M41" s="561">
        <f t="shared" si="36"/>
        <v>0</v>
      </c>
      <c r="N41" s="561">
        <f t="shared" si="36"/>
        <v>0</v>
      </c>
      <c r="O41" s="561">
        <f t="shared" si="36"/>
        <v>0</v>
      </c>
      <c r="P41" s="561">
        <f t="shared" si="36"/>
        <v>0</v>
      </c>
      <c r="Q41" s="561">
        <f t="shared" si="36"/>
        <v>0</v>
      </c>
      <c r="R41" s="561">
        <f t="shared" si="36"/>
        <v>4424.75</v>
      </c>
      <c r="S41" s="561">
        <f t="shared" si="36"/>
        <v>4424.75</v>
      </c>
      <c r="T41" s="561">
        <f t="shared" si="36"/>
        <v>4424.75</v>
      </c>
      <c r="U41" s="561">
        <f t="shared" si="36"/>
        <v>4424.75</v>
      </c>
      <c r="V41" s="561">
        <f t="shared" si="36"/>
        <v>57501500</v>
      </c>
      <c r="W41" s="561">
        <f t="shared" si="36"/>
        <v>57501500</v>
      </c>
      <c r="X41" s="561">
        <f t="shared" si="36"/>
        <v>57501500</v>
      </c>
      <c r="Y41" s="561">
        <f t="shared" si="36"/>
        <v>57501500</v>
      </c>
      <c r="Z41" s="561">
        <f>Z40+Z35+Z27+Z21+Z15+Z10</f>
        <v>1372</v>
      </c>
      <c r="AA41" s="561">
        <f t="shared" ref="AA41:BV41" si="37">AA40+AA35+AA27+AA21+AA15+AA10</f>
        <v>13048600</v>
      </c>
      <c r="AB41" s="561">
        <f t="shared" si="37"/>
        <v>459</v>
      </c>
      <c r="AC41" s="561">
        <f t="shared" si="37"/>
        <v>9266000</v>
      </c>
      <c r="AD41" s="561">
        <f t="shared" si="37"/>
        <v>930</v>
      </c>
      <c r="AE41" s="561">
        <f t="shared" si="37"/>
        <v>14201000</v>
      </c>
      <c r="AF41" s="561">
        <f t="shared" si="37"/>
        <v>1424</v>
      </c>
      <c r="AG41" s="561">
        <f t="shared" si="37"/>
        <v>16710400</v>
      </c>
      <c r="AH41" s="561">
        <f t="shared" si="37"/>
        <v>665</v>
      </c>
      <c r="AI41" s="561">
        <f t="shared" si="37"/>
        <v>13125000</v>
      </c>
      <c r="AJ41" s="561">
        <f t="shared" si="37"/>
        <v>1105</v>
      </c>
      <c r="AK41" s="561">
        <f t="shared" si="37"/>
        <v>15924000</v>
      </c>
      <c r="AL41" s="561">
        <f t="shared" si="37"/>
        <v>604</v>
      </c>
      <c r="AM41" s="561">
        <f t="shared" si="37"/>
        <v>9947000</v>
      </c>
      <c r="AN41" s="561">
        <f t="shared" si="37"/>
        <v>1567</v>
      </c>
      <c r="AO41" s="561">
        <f t="shared" si="37"/>
        <v>10960000</v>
      </c>
      <c r="AP41" s="561">
        <f t="shared" si="37"/>
        <v>179</v>
      </c>
      <c r="AQ41" s="561">
        <f t="shared" si="37"/>
        <v>7493000</v>
      </c>
      <c r="AR41" s="561">
        <f t="shared" si="37"/>
        <v>577</v>
      </c>
      <c r="AS41" s="561">
        <f t="shared" si="37"/>
        <v>9705000</v>
      </c>
      <c r="AT41" s="561">
        <f t="shared" si="37"/>
        <v>818</v>
      </c>
      <c r="AU41" s="561">
        <f t="shared" si="37"/>
        <v>11833000</v>
      </c>
      <c r="AV41" s="561">
        <f t="shared" si="37"/>
        <v>816</v>
      </c>
      <c r="AW41" s="561">
        <f t="shared" si="37"/>
        <v>11333000</v>
      </c>
      <c r="AX41" s="561">
        <f t="shared" si="37"/>
        <v>1105</v>
      </c>
      <c r="AY41" s="561">
        <f t="shared" si="37"/>
        <v>12545000</v>
      </c>
      <c r="AZ41" s="561">
        <f t="shared" si="37"/>
        <v>1142</v>
      </c>
      <c r="BA41" s="561">
        <f t="shared" si="37"/>
        <v>12108000</v>
      </c>
      <c r="BB41" s="561">
        <f t="shared" si="37"/>
        <v>1142</v>
      </c>
      <c r="BC41" s="561">
        <f t="shared" si="37"/>
        <v>13318000</v>
      </c>
      <c r="BD41" s="561">
        <f t="shared" si="37"/>
        <v>2229</v>
      </c>
      <c r="BE41" s="561">
        <f t="shared" si="37"/>
        <v>25784000</v>
      </c>
      <c r="BF41" s="561">
        <f t="shared" si="37"/>
        <v>884</v>
      </c>
      <c r="BG41" s="561">
        <f t="shared" si="37"/>
        <v>15217000</v>
      </c>
      <c r="BH41" s="561">
        <f t="shared" si="37"/>
        <v>763</v>
      </c>
      <c r="BI41" s="561">
        <f t="shared" si="37"/>
        <v>10488000</v>
      </c>
      <c r="BJ41" s="561">
        <f t="shared" si="37"/>
        <v>17699</v>
      </c>
      <c r="BK41" s="561">
        <f t="shared" si="37"/>
        <v>233006000</v>
      </c>
      <c r="BL41" s="561"/>
      <c r="BM41" s="561">
        <f t="shared" si="37"/>
        <v>0</v>
      </c>
      <c r="BN41" s="561">
        <f t="shared" si="37"/>
        <v>0</v>
      </c>
      <c r="BO41" s="561">
        <f t="shared" si="37"/>
        <v>113406000</v>
      </c>
      <c r="BP41" s="561">
        <f t="shared" si="37"/>
        <v>119600000</v>
      </c>
      <c r="BQ41" s="561">
        <f t="shared" si="37"/>
        <v>0</v>
      </c>
      <c r="BR41" s="561">
        <f t="shared" si="37"/>
        <v>233006000</v>
      </c>
      <c r="BS41" s="561">
        <f t="shared" si="37"/>
        <v>0</v>
      </c>
      <c r="BT41" s="561">
        <f t="shared" si="37"/>
        <v>0</v>
      </c>
      <c r="BU41" s="561">
        <f t="shared" si="37"/>
        <v>0</v>
      </c>
      <c r="BV41" s="561">
        <f t="shared" si="37"/>
        <v>233006000</v>
      </c>
    </row>
    <row r="42" spans="1:74" s="90" customFormat="1" ht="31.5" hidden="1" customHeight="1">
      <c r="B42" s="243"/>
      <c r="E42" s="244"/>
      <c r="F42" s="244"/>
      <c r="G42" s="245" t="e">
        <f>G11+G16+G19+G29+G33+#REF!+#REF!</f>
        <v>#REF!</v>
      </c>
      <c r="H42" s="245"/>
      <c r="I42" s="245"/>
      <c r="J42" s="245"/>
      <c r="K42" s="245"/>
      <c r="L42" s="245"/>
      <c r="M42" s="245"/>
      <c r="N42" s="245"/>
      <c r="Z42" s="90">
        <v>48</v>
      </c>
      <c r="AA42" s="245"/>
      <c r="AB42" s="90">
        <v>23</v>
      </c>
      <c r="AD42" s="90">
        <v>80</v>
      </c>
      <c r="AF42" s="90">
        <v>40</v>
      </c>
      <c r="AH42" s="90">
        <v>36</v>
      </c>
      <c r="AJ42" s="90">
        <v>40</v>
      </c>
      <c r="AL42" s="90">
        <v>16</v>
      </c>
      <c r="AN42" s="90">
        <v>34</v>
      </c>
      <c r="AP42" s="90">
        <v>8</v>
      </c>
      <c r="AR42" s="90">
        <v>20</v>
      </c>
      <c r="AT42" s="90">
        <v>26</v>
      </c>
      <c r="AV42" s="90">
        <v>22</v>
      </c>
      <c r="AX42" s="90">
        <v>32</v>
      </c>
      <c r="AZ42" s="90">
        <v>34</v>
      </c>
      <c r="BB42" s="90">
        <v>40</v>
      </c>
      <c r="BD42" s="90">
        <v>36</v>
      </c>
      <c r="BF42" s="90">
        <v>36</v>
      </c>
      <c r="BJ42" s="246">
        <f>Z42+AB42+AD42+AF42+AH42+AJ42+AL42+AN42+AP42+AR42+AT42+AV42+AX42+AZ42+BB42+BD42+BF42+BH42</f>
        <v>571</v>
      </c>
      <c r="BL42" s="226"/>
    </row>
    <row r="43" spans="1:74" s="247" customFormat="1" ht="15.75" hidden="1" customHeight="1">
      <c r="B43" s="248"/>
      <c r="C43" s="247" t="s">
        <v>317</v>
      </c>
      <c r="E43" s="249"/>
      <c r="F43" s="746"/>
      <c r="G43" s="746"/>
      <c r="H43" s="613"/>
      <c r="I43" s="613"/>
      <c r="J43" s="613"/>
      <c r="K43" s="613"/>
      <c r="L43" s="613"/>
      <c r="M43" s="613"/>
      <c r="N43" s="613"/>
      <c r="Z43" s="247">
        <v>48</v>
      </c>
      <c r="AA43" s="250"/>
      <c r="AB43" s="247">
        <v>23</v>
      </c>
      <c r="AD43" s="247">
        <v>58</v>
      </c>
      <c r="AF43" s="247">
        <v>89</v>
      </c>
      <c r="AH43" s="247">
        <v>38</v>
      </c>
      <c r="AJ43" s="247">
        <v>71</v>
      </c>
      <c r="AL43" s="247">
        <v>34</v>
      </c>
      <c r="AN43" s="247">
        <v>75</v>
      </c>
      <c r="AP43" s="247">
        <v>8</v>
      </c>
      <c r="AR43" s="247">
        <v>32</v>
      </c>
      <c r="AT43" s="247">
        <v>50</v>
      </c>
      <c r="AV43" s="247">
        <v>50</v>
      </c>
      <c r="AX43" s="247">
        <v>71</v>
      </c>
      <c r="AZ43" s="247">
        <v>78</v>
      </c>
      <c r="BB43" s="247">
        <v>75</v>
      </c>
      <c r="BD43" s="247">
        <v>138</v>
      </c>
      <c r="BF43" s="247">
        <v>54</v>
      </c>
      <c r="BG43" s="247">
        <f>SUM(Z43:BF43)</f>
        <v>992</v>
      </c>
      <c r="BH43" s="247">
        <v>1004</v>
      </c>
      <c r="BL43" s="251"/>
    </row>
    <row r="44" spans="1:74" ht="15.75" hidden="1" customHeight="1">
      <c r="B44" s="252"/>
      <c r="F44" s="609"/>
      <c r="G44" s="609"/>
      <c r="H44" s="609"/>
      <c r="I44" s="609"/>
      <c r="J44" s="609"/>
      <c r="K44" s="609"/>
      <c r="L44" s="609"/>
      <c r="M44" s="609"/>
      <c r="N44" s="609"/>
      <c r="Z44" s="31">
        <v>48</v>
      </c>
      <c r="AB44" s="31">
        <v>23</v>
      </c>
      <c r="AD44" s="31">
        <v>80</v>
      </c>
      <c r="AF44" s="31">
        <v>105</v>
      </c>
      <c r="AH44" s="31">
        <v>43</v>
      </c>
      <c r="AJ44" s="31">
        <v>76</v>
      </c>
      <c r="AL44" s="31">
        <v>41</v>
      </c>
      <c r="AN44" s="31">
        <v>101</v>
      </c>
      <c r="AP44" s="31">
        <v>8</v>
      </c>
      <c r="AR44" s="31">
        <v>33</v>
      </c>
      <c r="AT44" s="31">
        <v>53</v>
      </c>
      <c r="AV44" s="31">
        <v>52</v>
      </c>
      <c r="AX44" s="31">
        <v>76</v>
      </c>
      <c r="AZ44" s="31">
        <v>82</v>
      </c>
      <c r="BB44" s="31">
        <v>107</v>
      </c>
      <c r="BD44" s="31">
        <v>158</v>
      </c>
      <c r="BF44" s="31">
        <v>54</v>
      </c>
      <c r="BG44" s="31">
        <f>SUM(Z44:BF44)</f>
        <v>1140</v>
      </c>
    </row>
    <row r="45" spans="1:74" s="48" customFormat="1" ht="15.75" hidden="1" customHeight="1">
      <c r="B45" s="253"/>
      <c r="C45" s="48" t="s">
        <v>316</v>
      </c>
      <c r="E45" s="254"/>
      <c r="F45" s="747"/>
      <c r="G45" s="747"/>
      <c r="H45" s="608"/>
      <c r="I45" s="608"/>
      <c r="J45" s="608"/>
      <c r="K45" s="608"/>
      <c r="L45" s="608"/>
      <c r="M45" s="608"/>
      <c r="N45" s="608"/>
      <c r="Z45" s="255">
        <v>24</v>
      </c>
      <c r="AB45" s="255">
        <v>10</v>
      </c>
      <c r="AD45" s="255">
        <v>18</v>
      </c>
      <c r="AF45" s="255">
        <v>20</v>
      </c>
      <c r="AH45" s="255">
        <v>18</v>
      </c>
      <c r="AJ45" s="255">
        <v>20</v>
      </c>
      <c r="AL45" s="255">
        <v>8</v>
      </c>
      <c r="AN45" s="255">
        <v>17</v>
      </c>
      <c r="AP45" s="255">
        <v>8</v>
      </c>
      <c r="AR45" s="255">
        <v>15</v>
      </c>
      <c r="AT45" s="255">
        <v>13</v>
      </c>
      <c r="AV45" s="255">
        <v>11</v>
      </c>
      <c r="AX45" s="255">
        <v>16</v>
      </c>
      <c r="AZ45" s="255">
        <v>17</v>
      </c>
      <c r="BB45" s="255">
        <v>20</v>
      </c>
      <c r="BD45" s="255">
        <v>17.5</v>
      </c>
      <c r="BF45" s="255">
        <v>17</v>
      </c>
      <c r="BG45" s="48">
        <v>270</v>
      </c>
      <c r="BH45" s="48">
        <v>255</v>
      </c>
    </row>
    <row r="46" spans="1:74" s="138" customFormat="1" ht="15.75" hidden="1" customHeight="1">
      <c r="B46" s="256"/>
      <c r="E46" s="257"/>
      <c r="F46" s="258"/>
      <c r="G46" s="258"/>
      <c r="H46" s="258"/>
      <c r="I46" s="258"/>
      <c r="J46" s="258"/>
      <c r="K46" s="258"/>
      <c r="L46" s="258"/>
      <c r="M46" s="258"/>
      <c r="N46" s="258"/>
      <c r="Z46" s="259">
        <v>16</v>
      </c>
      <c r="AB46" s="259">
        <v>10</v>
      </c>
      <c r="AD46" s="259">
        <v>19</v>
      </c>
      <c r="AF46" s="259">
        <v>20</v>
      </c>
      <c r="AH46" s="259">
        <v>18</v>
      </c>
      <c r="AJ46" s="259">
        <v>20</v>
      </c>
      <c r="AL46" s="259">
        <v>8</v>
      </c>
      <c r="AN46" s="259">
        <v>17</v>
      </c>
      <c r="AP46" s="259">
        <v>4</v>
      </c>
      <c r="AR46" s="259">
        <v>10</v>
      </c>
      <c r="AT46" s="259">
        <v>13</v>
      </c>
      <c r="AV46" s="259">
        <v>11</v>
      </c>
      <c r="AX46" s="259">
        <v>16</v>
      </c>
      <c r="AZ46" s="259">
        <v>17</v>
      </c>
      <c r="BB46" s="259">
        <v>20</v>
      </c>
      <c r="BD46" s="259">
        <v>18</v>
      </c>
      <c r="BF46" s="259">
        <v>18</v>
      </c>
      <c r="BG46" s="259">
        <f>SUM(Z46:BF46)</f>
        <v>255</v>
      </c>
    </row>
    <row r="47" spans="1:74" ht="15.75" hidden="1" customHeight="1">
      <c r="C47" s="31" t="s">
        <v>318</v>
      </c>
      <c r="Z47" s="31">
        <v>32</v>
      </c>
      <c r="AB47" s="31">
        <v>20</v>
      </c>
      <c r="AD47" s="31">
        <v>35</v>
      </c>
      <c r="AF47" s="31">
        <v>40</v>
      </c>
      <c r="AH47" s="31">
        <v>36</v>
      </c>
      <c r="AJ47" s="31">
        <v>40</v>
      </c>
      <c r="AL47" s="31">
        <v>16</v>
      </c>
      <c r="AN47" s="31">
        <v>35</v>
      </c>
      <c r="AP47" s="31">
        <v>8</v>
      </c>
      <c r="AR47" s="31">
        <v>21</v>
      </c>
      <c r="AT47" s="31">
        <v>26</v>
      </c>
      <c r="AV47" s="31">
        <v>22</v>
      </c>
      <c r="AX47" s="31">
        <v>32</v>
      </c>
      <c r="AZ47" s="31">
        <v>35</v>
      </c>
      <c r="BB47" s="31">
        <v>40</v>
      </c>
      <c r="BD47" s="31">
        <v>35</v>
      </c>
      <c r="BF47" s="31">
        <v>35</v>
      </c>
    </row>
    <row r="48" spans="1:74" s="260" customFormat="1" ht="15.75" hidden="1" customHeight="1">
      <c r="B48" s="261"/>
      <c r="C48" s="260" t="s">
        <v>366</v>
      </c>
      <c r="E48" s="261"/>
      <c r="F48" s="261"/>
      <c r="G48" s="262">
        <v>51056700</v>
      </c>
      <c r="H48" s="262"/>
      <c r="I48" s="262"/>
      <c r="J48" s="262"/>
      <c r="K48" s="262"/>
      <c r="L48" s="262"/>
      <c r="M48" s="262"/>
      <c r="N48" s="262"/>
      <c r="Z48" s="260">
        <v>48</v>
      </c>
      <c r="AA48" s="262"/>
      <c r="AB48" s="260">
        <v>23</v>
      </c>
      <c r="AD48" s="260">
        <v>80</v>
      </c>
      <c r="AF48" s="260">
        <v>105</v>
      </c>
      <c r="AH48" s="260">
        <v>43</v>
      </c>
      <c r="AJ48" s="260">
        <v>75</v>
      </c>
      <c r="AL48" s="260">
        <v>41</v>
      </c>
      <c r="AN48" s="260">
        <v>101</v>
      </c>
      <c r="AP48" s="260">
        <v>8</v>
      </c>
      <c r="AR48" s="260">
        <v>33</v>
      </c>
      <c r="AT48" s="260">
        <v>53</v>
      </c>
      <c r="AV48" s="260">
        <v>52</v>
      </c>
      <c r="AX48" s="260">
        <v>76</v>
      </c>
      <c r="AZ48" s="260">
        <v>82</v>
      </c>
      <c r="BB48" s="260">
        <v>104</v>
      </c>
      <c r="BD48" s="260">
        <v>147</v>
      </c>
      <c r="BF48" s="260">
        <v>54</v>
      </c>
      <c r="BL48" s="263"/>
    </row>
    <row r="49" spans="3:63" ht="15.75" hidden="1" customHeight="1">
      <c r="C49" s="31" t="s">
        <v>70</v>
      </c>
      <c r="G49" s="54" t="e">
        <f>#REF!+G48</f>
        <v>#REF!</v>
      </c>
      <c r="Z49" s="32">
        <v>30</v>
      </c>
      <c r="AB49" s="32">
        <v>21</v>
      </c>
      <c r="AC49" s="54"/>
      <c r="AD49" s="32">
        <v>30</v>
      </c>
      <c r="AE49" s="54"/>
      <c r="AF49" s="32">
        <v>51</v>
      </c>
      <c r="AG49" s="54"/>
      <c r="AH49" s="32">
        <v>22</v>
      </c>
      <c r="AI49" s="54"/>
      <c r="AJ49" s="32">
        <v>30</v>
      </c>
      <c r="AK49" s="54"/>
      <c r="AL49" s="32">
        <v>22</v>
      </c>
      <c r="AM49" s="54"/>
      <c r="AN49" s="32">
        <v>50</v>
      </c>
      <c r="AO49" s="54"/>
      <c r="AP49" s="32">
        <v>6</v>
      </c>
      <c r="AQ49" s="54"/>
      <c r="AR49" s="32">
        <v>28</v>
      </c>
      <c r="AS49" s="54"/>
      <c r="AT49" s="32">
        <v>30</v>
      </c>
      <c r="AU49" s="54"/>
      <c r="AV49" s="32">
        <v>30</v>
      </c>
      <c r="AW49" s="54"/>
      <c r="AX49" s="32">
        <v>30</v>
      </c>
      <c r="AY49" s="54"/>
      <c r="AZ49" s="32">
        <v>30</v>
      </c>
      <c r="BA49" s="54"/>
      <c r="BB49" s="32">
        <v>45</v>
      </c>
      <c r="BC49" s="54"/>
      <c r="BD49" s="32">
        <v>60</v>
      </c>
      <c r="BE49" s="54"/>
      <c r="BF49" s="32">
        <v>30</v>
      </c>
      <c r="BG49" s="54"/>
      <c r="BH49" s="32">
        <f>SUM(Z49:BG49)</f>
        <v>545</v>
      </c>
      <c r="BI49" s="54"/>
    </row>
    <row r="50" spans="3:63" ht="24" hidden="1" customHeight="1">
      <c r="Z50" s="32">
        <f>Z43-Z46</f>
        <v>32</v>
      </c>
      <c r="AA50" s="32">
        <f t="shared" ref="AA50:BG50" si="38">AA43-AA46</f>
        <v>0</v>
      </c>
      <c r="AB50" s="32">
        <f t="shared" si="38"/>
        <v>13</v>
      </c>
      <c r="AC50" s="32">
        <f t="shared" si="38"/>
        <v>0</v>
      </c>
      <c r="AD50" s="32">
        <f t="shared" si="38"/>
        <v>39</v>
      </c>
      <c r="AE50" s="32">
        <f t="shared" si="38"/>
        <v>0</v>
      </c>
      <c r="AF50" s="32">
        <f t="shared" si="38"/>
        <v>69</v>
      </c>
      <c r="AG50" s="32">
        <f t="shared" si="38"/>
        <v>0</v>
      </c>
      <c r="AH50" s="32">
        <f t="shared" si="38"/>
        <v>20</v>
      </c>
      <c r="AI50" s="32">
        <f t="shared" si="38"/>
        <v>0</v>
      </c>
      <c r="AJ50" s="32">
        <f t="shared" si="38"/>
        <v>51</v>
      </c>
      <c r="AK50" s="32">
        <f t="shared" si="38"/>
        <v>0</v>
      </c>
      <c r="AL50" s="32">
        <f t="shared" si="38"/>
        <v>26</v>
      </c>
      <c r="AM50" s="32">
        <f t="shared" si="38"/>
        <v>0</v>
      </c>
      <c r="AN50" s="32">
        <f t="shared" si="38"/>
        <v>58</v>
      </c>
      <c r="AO50" s="32">
        <f t="shared" si="38"/>
        <v>0</v>
      </c>
      <c r="AP50" s="32">
        <f t="shared" si="38"/>
        <v>4</v>
      </c>
      <c r="AQ50" s="32">
        <f t="shared" si="38"/>
        <v>0</v>
      </c>
      <c r="AR50" s="32">
        <f t="shared" si="38"/>
        <v>22</v>
      </c>
      <c r="AS50" s="32">
        <f t="shared" si="38"/>
        <v>0</v>
      </c>
      <c r="AT50" s="32">
        <f t="shared" si="38"/>
        <v>37</v>
      </c>
      <c r="AU50" s="32">
        <f t="shared" si="38"/>
        <v>0</v>
      </c>
      <c r="AV50" s="32">
        <f t="shared" si="38"/>
        <v>39</v>
      </c>
      <c r="AW50" s="32">
        <f t="shared" si="38"/>
        <v>0</v>
      </c>
      <c r="AX50" s="32">
        <f t="shared" si="38"/>
        <v>55</v>
      </c>
      <c r="AY50" s="32">
        <f t="shared" si="38"/>
        <v>0</v>
      </c>
      <c r="AZ50" s="32">
        <f t="shared" si="38"/>
        <v>61</v>
      </c>
      <c r="BA50" s="32">
        <f t="shared" si="38"/>
        <v>0</v>
      </c>
      <c r="BB50" s="32">
        <f t="shared" si="38"/>
        <v>55</v>
      </c>
      <c r="BC50" s="32">
        <f t="shared" si="38"/>
        <v>0</v>
      </c>
      <c r="BD50" s="32">
        <f t="shared" si="38"/>
        <v>120</v>
      </c>
      <c r="BE50" s="32">
        <f t="shared" si="38"/>
        <v>0</v>
      </c>
      <c r="BF50" s="32">
        <f t="shared" si="38"/>
        <v>36</v>
      </c>
      <c r="BG50" s="32">
        <f t="shared" si="38"/>
        <v>737</v>
      </c>
    </row>
    <row r="51" spans="3:63" ht="24" customHeight="1">
      <c r="C51" s="31" t="s">
        <v>245</v>
      </c>
      <c r="AA51" s="54" t="e">
        <f>#REF!+#REF!+AA38+AA33+#REF!+AA29+AA19+AA16+AA11</f>
        <v>#REF!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BG51" s="54" t="e">
        <f>#REF!+#REF!+BG38+BG33+BG29+BG19+BG16+BG11</f>
        <v>#REF!</v>
      </c>
      <c r="BI51" s="54" t="e">
        <f>#REF!+#REF!+BI38+BI33+BI29+BI19+BI16+BI11</f>
        <v>#REF!</v>
      </c>
      <c r="BK51" s="54"/>
    </row>
    <row r="52" spans="3:63" ht="15.75" customHeight="1">
      <c r="C52" s="31" t="s">
        <v>246</v>
      </c>
      <c r="BK52" s="54"/>
    </row>
    <row r="53" spans="3:63" ht="15.75" customHeight="1">
      <c r="C53" s="31" t="s">
        <v>247</v>
      </c>
      <c r="BK53" s="54"/>
    </row>
    <row r="54" spans="3:63" ht="15.75" customHeight="1">
      <c r="C54" s="31" t="s">
        <v>248</v>
      </c>
    </row>
    <row r="55" spans="3:63" ht="15.75" customHeight="1">
      <c r="C55" s="31" t="s">
        <v>249</v>
      </c>
    </row>
    <row r="56" spans="3:63" ht="15.75" customHeight="1">
      <c r="C56" s="31" t="s">
        <v>250</v>
      </c>
    </row>
    <row r="57" spans="3:63" ht="15.75" customHeight="1">
      <c r="C57" s="31" t="s">
        <v>251</v>
      </c>
    </row>
    <row r="58" spans="3:63" ht="15.75" customHeight="1">
      <c r="C58" s="31" t="s">
        <v>252</v>
      </c>
    </row>
    <row r="59" spans="3:63" ht="15.75" customHeight="1">
      <c r="C59" s="31" t="s">
        <v>253</v>
      </c>
    </row>
    <row r="60" spans="3:63" ht="15.75" customHeight="1">
      <c r="C60" s="31" t="s">
        <v>254</v>
      </c>
    </row>
    <row r="61" spans="3:63" ht="15.75" customHeight="1">
      <c r="C61" s="31" t="s">
        <v>255</v>
      </c>
    </row>
    <row r="62" spans="3:63" ht="15.75" customHeight="1">
      <c r="C62" s="31" t="s">
        <v>256</v>
      </c>
    </row>
    <row r="63" spans="3:63" ht="15.75" customHeight="1">
      <c r="C63" s="31" t="s">
        <v>257</v>
      </c>
    </row>
    <row r="64" spans="3:63" ht="15.75" customHeight="1">
      <c r="C64" s="31" t="s">
        <v>258</v>
      </c>
    </row>
    <row r="65" spans="3:3" ht="15.75" customHeight="1">
      <c r="C65" s="31" t="s">
        <v>259</v>
      </c>
    </row>
    <row r="66" spans="3:3" ht="15.75" customHeight="1">
      <c r="C66" s="31" t="s">
        <v>260</v>
      </c>
    </row>
    <row r="67" spans="3:3" ht="15.75" customHeight="1">
      <c r="C67" s="31" t="s">
        <v>407</v>
      </c>
    </row>
    <row r="69" spans="3:3" ht="24" customHeight="1">
      <c r="C69" s="31" t="s">
        <v>428</v>
      </c>
    </row>
    <row r="70" spans="3:3" ht="24" customHeight="1">
      <c r="C70" s="31" t="s">
        <v>429</v>
      </c>
    </row>
    <row r="71" spans="3:3" ht="24" customHeight="1">
      <c r="C71" s="31" t="s">
        <v>241</v>
      </c>
    </row>
  </sheetData>
  <mergeCells count="41">
    <mergeCell ref="A4:B4"/>
    <mergeCell ref="C4:Q4"/>
    <mergeCell ref="A1:Q1"/>
    <mergeCell ref="A2:B2"/>
    <mergeCell ref="C2:Q2"/>
    <mergeCell ref="A3:B3"/>
    <mergeCell ref="C3:Q3"/>
    <mergeCell ref="AF7:AG7"/>
    <mergeCell ref="A5:B5"/>
    <mergeCell ref="C5:Q5"/>
    <mergeCell ref="A6:B6"/>
    <mergeCell ref="C6:Q6"/>
    <mergeCell ref="A7:E7"/>
    <mergeCell ref="F7:G7"/>
    <mergeCell ref="H7:Q7"/>
    <mergeCell ref="BJ7:BK7"/>
    <mergeCell ref="BN7:BR7"/>
    <mergeCell ref="BS7:BU7"/>
    <mergeCell ref="BV7:BV8"/>
    <mergeCell ref="AT7:AU7"/>
    <mergeCell ref="AV7:AW7"/>
    <mergeCell ref="AX7:AY7"/>
    <mergeCell ref="AZ7:BA7"/>
    <mergeCell ref="BB7:BC7"/>
    <mergeCell ref="BD7:BE7"/>
    <mergeCell ref="A9:A41"/>
    <mergeCell ref="F43:G43"/>
    <mergeCell ref="F45:G45"/>
    <mergeCell ref="BF7:BG7"/>
    <mergeCell ref="BH7:BI7"/>
    <mergeCell ref="AH7:AI7"/>
    <mergeCell ref="AJ7:AK7"/>
    <mergeCell ref="AL7:AM7"/>
    <mergeCell ref="AN7:AO7"/>
    <mergeCell ref="AP7:AQ7"/>
    <mergeCell ref="AR7:AS7"/>
    <mergeCell ref="R7:U7"/>
    <mergeCell ref="V7:Y7"/>
    <mergeCell ref="Z7:AA7"/>
    <mergeCell ref="AB7:AC7"/>
    <mergeCell ref="AD7:AE7"/>
  </mergeCells>
  <pageMargins left="0.17" right="0.17" top="0.5" bottom="0.75" header="0.3" footer="0.3"/>
  <pageSetup paperSize="9"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tabColor rgb="FF00B0F0"/>
    <pageSetUpPr fitToPage="1"/>
  </sheetPr>
  <dimension ref="A1:AKO80"/>
  <sheetViews>
    <sheetView zoomScale="70" zoomScaleNormal="70" workbookViewId="0">
      <pane xSplit="5" ySplit="7" topLeftCell="AR29" activePane="bottomRight" state="frozen"/>
      <selection activeCell="C1" sqref="C1"/>
      <selection pane="topRight" activeCell="H1" sqref="H1"/>
      <selection pane="bottomLeft" activeCell="C8" sqref="C8"/>
      <selection pane="bottomRight" activeCell="G13" sqref="G12:G13"/>
    </sheetView>
  </sheetViews>
  <sheetFormatPr defaultColWidth="12.28515625" defaultRowHeight="33.75" customHeight="1"/>
  <cols>
    <col min="1" max="1" width="57" style="64" customWidth="1"/>
    <col min="2" max="2" width="13.42578125" style="236" customWidth="1"/>
    <col min="3" max="3" width="14.42578125" style="236" customWidth="1"/>
    <col min="4" max="4" width="12.28515625" style="236" customWidth="1"/>
    <col min="5" max="5" width="16.140625" style="236" customWidth="1"/>
    <col min="6" max="6" width="14.7109375" style="236" customWidth="1"/>
    <col min="7" max="7" width="15.7109375" style="236" customWidth="1"/>
    <col min="8" max="14" width="12.28515625" style="236" customWidth="1"/>
    <col min="15" max="15" width="10" style="236" customWidth="1"/>
    <col min="16" max="19" width="12.28515625" style="31" customWidth="1"/>
    <col min="20" max="20" width="14.85546875" style="31" customWidth="1"/>
    <col min="21" max="21" width="12.28515625" style="31" customWidth="1"/>
    <col min="22" max="22" width="14.28515625" style="31" customWidth="1"/>
    <col min="23" max="23" width="13.5703125" style="31" customWidth="1"/>
    <col min="24" max="24" width="12.28515625" style="31" customWidth="1"/>
    <col min="25" max="25" width="14.42578125" style="31" customWidth="1"/>
    <col min="26" max="26" width="12.28515625" style="31" customWidth="1"/>
    <col min="27" max="27" width="15.140625" style="31" customWidth="1"/>
    <col min="28" max="28" width="12.28515625" style="31" customWidth="1"/>
    <col min="29" max="29" width="15.140625" style="31" customWidth="1"/>
    <col min="30" max="30" width="12.28515625" style="31" customWidth="1"/>
    <col min="31" max="31" width="14.140625" style="31" customWidth="1"/>
    <col min="32" max="34" width="12.28515625" style="31" customWidth="1"/>
    <col min="35" max="35" width="13.7109375" style="31" customWidth="1"/>
    <col min="36" max="38" width="12.28515625" style="31" customWidth="1"/>
    <col min="39" max="39" width="14" style="31" customWidth="1"/>
    <col min="40" max="46" width="12.28515625" style="31" customWidth="1"/>
    <col min="47" max="47" width="16.42578125" style="31" customWidth="1"/>
    <col min="48" max="48" width="12.28515625" style="31" customWidth="1"/>
    <col min="49" max="49" width="15.28515625" style="31" customWidth="1"/>
    <col min="50" max="50" width="12.28515625" style="31" customWidth="1"/>
    <col min="51" max="51" width="15.140625" style="31" customWidth="1"/>
    <col min="52" max="52" width="12.28515625" style="31" customWidth="1"/>
    <col min="53" max="53" width="15.140625" style="31" customWidth="1"/>
    <col min="54" max="54" width="12.28515625" style="31" customWidth="1"/>
    <col min="55" max="55" width="14.28515625" style="31" customWidth="1"/>
    <col min="56" max="56" width="12.28515625" style="31" customWidth="1"/>
    <col min="57" max="57" width="15.140625" style="31" customWidth="1"/>
    <col min="58" max="58" width="12.28515625" style="31" customWidth="1"/>
    <col min="59" max="59" width="17.28515625" style="31" customWidth="1"/>
    <col min="60" max="60" width="12.28515625" style="31" customWidth="1"/>
    <col min="61" max="61" width="18.85546875" style="31" customWidth="1"/>
    <col min="62" max="62" width="22.42578125" style="31" hidden="1" customWidth="1"/>
    <col min="63" max="63" width="5.140625" style="31" customWidth="1"/>
    <col min="64" max="64" width="12.28515625" style="31"/>
    <col min="65" max="65" width="15.140625" style="31" customWidth="1"/>
    <col min="66" max="66" width="16.28515625" style="31" customWidth="1"/>
    <col min="67" max="67" width="16" style="31" customWidth="1"/>
    <col min="68" max="68" width="16.7109375" style="31" customWidth="1"/>
    <col min="69" max="71" width="12.28515625" style="31"/>
    <col min="72" max="72" width="18.140625" style="31" customWidth="1"/>
    <col min="73" max="16384" width="12.28515625" style="31"/>
  </cols>
  <sheetData>
    <row r="1" spans="1:72" ht="24.75" hidden="1" customHeight="1">
      <c r="A1" s="757" t="s">
        <v>163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48"/>
      <c r="Q1" s="48"/>
      <c r="R1" s="48"/>
      <c r="S1" s="48"/>
      <c r="T1" s="48"/>
      <c r="U1" s="48"/>
      <c r="V1" s="48"/>
      <c r="W1" s="48"/>
    </row>
    <row r="2" spans="1:72" ht="18.75" hidden="1" customHeight="1">
      <c r="A2" s="757" t="s">
        <v>164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48"/>
      <c r="Q2" s="48"/>
      <c r="R2" s="48"/>
      <c r="S2" s="48"/>
      <c r="T2" s="48"/>
      <c r="U2" s="48"/>
      <c r="V2" s="48"/>
      <c r="W2" s="48"/>
      <c r="X2" s="166" t="s">
        <v>398</v>
      </c>
      <c r="Y2" s="166">
        <v>8.34</v>
      </c>
      <c r="Z2" s="166"/>
      <c r="AA2" s="166">
        <v>2.85</v>
      </c>
      <c r="AB2" s="166"/>
      <c r="AC2" s="166">
        <v>8.3800000000000008</v>
      </c>
      <c r="AD2" s="166"/>
      <c r="AE2" s="166">
        <v>7.49</v>
      </c>
      <c r="AF2" s="166"/>
      <c r="AG2" s="166">
        <v>3.33</v>
      </c>
      <c r="AH2" s="166"/>
      <c r="AI2" s="166">
        <v>6.64</v>
      </c>
      <c r="AJ2" s="166"/>
      <c r="AK2" s="166">
        <v>3.67</v>
      </c>
      <c r="AL2" s="166"/>
      <c r="AM2" s="166">
        <v>5.0599999999999996</v>
      </c>
      <c r="AN2" s="166"/>
      <c r="AO2" s="166">
        <v>5.94</v>
      </c>
      <c r="AP2" s="166"/>
      <c r="AQ2" s="166">
        <v>6.85</v>
      </c>
      <c r="AR2" s="166"/>
      <c r="AS2" s="166">
        <v>7.45</v>
      </c>
      <c r="AT2" s="166"/>
      <c r="AU2" s="166">
        <v>5.13</v>
      </c>
      <c r="AV2" s="166"/>
      <c r="AW2" s="166">
        <v>4.8600000000000003</v>
      </c>
      <c r="AX2" s="166"/>
      <c r="AY2" s="166">
        <v>5.79</v>
      </c>
      <c r="AZ2" s="166"/>
      <c r="BA2" s="166">
        <v>5.3</v>
      </c>
      <c r="BB2" s="166"/>
      <c r="BC2" s="166">
        <v>3.47</v>
      </c>
      <c r="BD2" s="166"/>
      <c r="BE2" s="166">
        <v>9.42</v>
      </c>
      <c r="BF2" s="166"/>
      <c r="BG2" s="166"/>
      <c r="BH2" s="166"/>
      <c r="BI2" s="166"/>
    </row>
    <row r="3" spans="1:72" ht="18.75" hidden="1" customHeight="1">
      <c r="A3" s="757" t="s">
        <v>386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48"/>
      <c r="Q3" s="48"/>
      <c r="R3" s="48"/>
      <c r="S3" s="48"/>
      <c r="T3" s="48"/>
      <c r="U3" s="48"/>
      <c r="V3" s="48"/>
      <c r="W3" s="48"/>
      <c r="X3" s="166" t="s">
        <v>396</v>
      </c>
      <c r="Y3" s="166">
        <v>48</v>
      </c>
      <c r="Z3" s="166"/>
      <c r="AA3" s="166">
        <v>23</v>
      </c>
      <c r="AB3" s="166"/>
      <c r="AC3" s="166">
        <v>80</v>
      </c>
      <c r="AD3" s="166"/>
      <c r="AE3" s="166">
        <v>105</v>
      </c>
      <c r="AF3" s="166"/>
      <c r="AG3" s="166">
        <v>43</v>
      </c>
      <c r="AH3" s="166"/>
      <c r="AI3" s="166">
        <v>75</v>
      </c>
      <c r="AJ3" s="166"/>
      <c r="AK3" s="166">
        <v>41</v>
      </c>
      <c r="AL3" s="166"/>
      <c r="AM3" s="166">
        <v>101</v>
      </c>
      <c r="AN3" s="166"/>
      <c r="AO3" s="166">
        <v>8</v>
      </c>
      <c r="AP3" s="166"/>
      <c r="AQ3" s="166">
        <v>33</v>
      </c>
      <c r="AR3" s="166"/>
      <c r="AS3" s="166">
        <v>53</v>
      </c>
      <c r="AT3" s="166"/>
      <c r="AU3" s="166">
        <v>52</v>
      </c>
      <c r="AV3" s="166"/>
      <c r="AW3" s="166">
        <v>76</v>
      </c>
      <c r="AX3" s="166"/>
      <c r="AY3" s="166">
        <v>82</v>
      </c>
      <c r="AZ3" s="166"/>
      <c r="BA3" s="166">
        <v>104</v>
      </c>
      <c r="BB3" s="166"/>
      <c r="BC3" s="166">
        <v>147</v>
      </c>
      <c r="BD3" s="166"/>
      <c r="BE3" s="166">
        <v>54</v>
      </c>
      <c r="BF3" s="166"/>
      <c r="BG3" s="166"/>
      <c r="BH3" s="166"/>
      <c r="BI3" s="166"/>
    </row>
    <row r="4" spans="1:72" ht="13.5" customHeight="1">
      <c r="A4" s="757" t="s">
        <v>0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48"/>
      <c r="Q4" s="48"/>
      <c r="R4" s="48"/>
      <c r="S4" s="48"/>
      <c r="T4" s="48"/>
      <c r="U4" s="48"/>
      <c r="V4" s="48"/>
      <c r="W4" s="48"/>
      <c r="X4" s="166" t="s">
        <v>397</v>
      </c>
      <c r="Y4" s="190">
        <f>Y3/1125*100</f>
        <v>4.2666666666666666</v>
      </c>
      <c r="Z4" s="190">
        <f t="shared" ref="Z4:BE4" si="0">Z3/1125*100</f>
        <v>0</v>
      </c>
      <c r="AA4" s="190">
        <f t="shared" si="0"/>
        <v>2.0444444444444447</v>
      </c>
      <c r="AB4" s="190">
        <f t="shared" si="0"/>
        <v>0</v>
      </c>
      <c r="AC4" s="190">
        <f t="shared" si="0"/>
        <v>7.1111111111111107</v>
      </c>
      <c r="AD4" s="190">
        <f t="shared" si="0"/>
        <v>0</v>
      </c>
      <c r="AE4" s="190">
        <f t="shared" si="0"/>
        <v>9.3333333333333339</v>
      </c>
      <c r="AF4" s="190">
        <f t="shared" si="0"/>
        <v>0</v>
      </c>
      <c r="AG4" s="190">
        <f t="shared" si="0"/>
        <v>3.822222222222222</v>
      </c>
      <c r="AH4" s="190">
        <f t="shared" si="0"/>
        <v>0</v>
      </c>
      <c r="AI4" s="190">
        <f t="shared" si="0"/>
        <v>6.666666666666667</v>
      </c>
      <c r="AJ4" s="190">
        <f t="shared" si="0"/>
        <v>0</v>
      </c>
      <c r="AK4" s="190">
        <f t="shared" si="0"/>
        <v>3.6444444444444448</v>
      </c>
      <c r="AL4" s="190">
        <f t="shared" si="0"/>
        <v>0</v>
      </c>
      <c r="AM4" s="190">
        <f t="shared" si="0"/>
        <v>8.9777777777777779</v>
      </c>
      <c r="AN4" s="190">
        <f t="shared" si="0"/>
        <v>0</v>
      </c>
      <c r="AO4" s="190">
        <f t="shared" si="0"/>
        <v>0.71111111111111114</v>
      </c>
      <c r="AP4" s="190">
        <f t="shared" si="0"/>
        <v>0</v>
      </c>
      <c r="AQ4" s="190">
        <f t="shared" si="0"/>
        <v>2.9333333333333331</v>
      </c>
      <c r="AR4" s="190">
        <f t="shared" si="0"/>
        <v>0</v>
      </c>
      <c r="AS4" s="190">
        <f t="shared" si="0"/>
        <v>4.7111111111111112</v>
      </c>
      <c r="AT4" s="190">
        <f t="shared" si="0"/>
        <v>0</v>
      </c>
      <c r="AU4" s="190">
        <f t="shared" si="0"/>
        <v>4.6222222222222218</v>
      </c>
      <c r="AV4" s="190">
        <f t="shared" si="0"/>
        <v>0</v>
      </c>
      <c r="AW4" s="190">
        <f t="shared" si="0"/>
        <v>6.7555555555555546</v>
      </c>
      <c r="AX4" s="190">
        <f t="shared" si="0"/>
        <v>0</v>
      </c>
      <c r="AY4" s="190">
        <f t="shared" si="0"/>
        <v>7.2888888888888896</v>
      </c>
      <c r="AZ4" s="190">
        <f t="shared" si="0"/>
        <v>0</v>
      </c>
      <c r="BA4" s="190">
        <f t="shared" si="0"/>
        <v>9.2444444444444436</v>
      </c>
      <c r="BB4" s="190">
        <f t="shared" si="0"/>
        <v>0</v>
      </c>
      <c r="BC4" s="190">
        <f t="shared" si="0"/>
        <v>13.066666666666665</v>
      </c>
      <c r="BD4" s="190">
        <f t="shared" si="0"/>
        <v>0</v>
      </c>
      <c r="BE4" s="190">
        <f t="shared" si="0"/>
        <v>4.8</v>
      </c>
      <c r="BF4" s="166"/>
      <c r="BG4" s="166"/>
      <c r="BH4" s="166"/>
      <c r="BI4" s="166"/>
    </row>
    <row r="5" spans="1:72" ht="22.7" customHeight="1">
      <c r="A5" s="757" t="s">
        <v>189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48"/>
      <c r="Q5" s="48"/>
      <c r="R5" s="48"/>
      <c r="S5" s="48"/>
      <c r="T5" s="48"/>
      <c r="U5" s="48"/>
      <c r="V5" s="48"/>
      <c r="W5" s="48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</row>
    <row r="6" spans="1:72" ht="18.600000000000001" customHeight="1">
      <c r="A6" s="302"/>
      <c r="B6" s="302"/>
      <c r="C6" s="229"/>
      <c r="D6" s="776" t="s">
        <v>11</v>
      </c>
      <c r="E6" s="777"/>
      <c r="F6" s="752" t="s">
        <v>162</v>
      </c>
      <c r="G6" s="753"/>
      <c r="H6" s="753"/>
      <c r="I6" s="753"/>
      <c r="J6" s="753"/>
      <c r="K6" s="753"/>
      <c r="L6" s="753"/>
      <c r="M6" s="753"/>
      <c r="N6" s="753"/>
      <c r="O6" s="754"/>
      <c r="P6" s="778" t="s">
        <v>61</v>
      </c>
      <c r="Q6" s="779"/>
      <c r="R6" s="779"/>
      <c r="S6" s="767"/>
      <c r="T6" s="766" t="s">
        <v>6</v>
      </c>
      <c r="U6" s="779"/>
      <c r="V6" s="779"/>
      <c r="W6" s="767"/>
      <c r="X6" s="775" t="s">
        <v>192</v>
      </c>
      <c r="Y6" s="775"/>
      <c r="Z6" s="775" t="s">
        <v>193</v>
      </c>
      <c r="AA6" s="775"/>
      <c r="AB6" s="775" t="s">
        <v>194</v>
      </c>
      <c r="AC6" s="775"/>
      <c r="AD6" s="775" t="s">
        <v>195</v>
      </c>
      <c r="AE6" s="775"/>
      <c r="AF6" s="775" t="s">
        <v>196</v>
      </c>
      <c r="AG6" s="775"/>
      <c r="AH6" s="775" t="s">
        <v>197</v>
      </c>
      <c r="AI6" s="775"/>
      <c r="AJ6" s="775" t="s">
        <v>198</v>
      </c>
      <c r="AK6" s="775"/>
      <c r="AL6" s="775" t="s">
        <v>199</v>
      </c>
      <c r="AM6" s="775"/>
      <c r="AN6" s="775" t="s">
        <v>200</v>
      </c>
      <c r="AO6" s="775"/>
      <c r="AP6" s="775" t="s">
        <v>201</v>
      </c>
      <c r="AQ6" s="775"/>
      <c r="AR6" s="775" t="s">
        <v>202</v>
      </c>
      <c r="AS6" s="775"/>
      <c r="AT6" s="762" t="s">
        <v>203</v>
      </c>
      <c r="AU6" s="763"/>
      <c r="AV6" s="762" t="s">
        <v>204</v>
      </c>
      <c r="AW6" s="763"/>
      <c r="AX6" s="775" t="s">
        <v>205</v>
      </c>
      <c r="AY6" s="775"/>
      <c r="AZ6" s="762" t="s">
        <v>206</v>
      </c>
      <c r="BA6" s="763"/>
      <c r="BB6" s="771" t="s">
        <v>207</v>
      </c>
      <c r="BC6" s="772"/>
      <c r="BD6" s="762" t="s">
        <v>208</v>
      </c>
      <c r="BE6" s="763"/>
      <c r="BF6" s="766" t="s">
        <v>209</v>
      </c>
      <c r="BG6" s="767"/>
      <c r="BH6" s="770" t="s">
        <v>17</v>
      </c>
      <c r="BI6" s="770"/>
      <c r="BJ6" s="37"/>
    </row>
    <row r="7" spans="1:72" ht="33.950000000000003" customHeight="1">
      <c r="A7" s="302" t="s">
        <v>12</v>
      </c>
      <c r="B7" s="230" t="s">
        <v>14</v>
      </c>
      <c r="C7" s="231" t="s">
        <v>18</v>
      </c>
      <c r="D7" s="231" t="s">
        <v>19</v>
      </c>
      <c r="E7" s="231" t="s">
        <v>15</v>
      </c>
      <c r="F7" s="82" t="s">
        <v>212</v>
      </c>
      <c r="G7" s="82" t="s">
        <v>213</v>
      </c>
      <c r="H7" s="82" t="s">
        <v>214</v>
      </c>
      <c r="I7" s="82" t="s">
        <v>215</v>
      </c>
      <c r="J7" s="82" t="s">
        <v>216</v>
      </c>
      <c r="K7" s="82" t="s">
        <v>217</v>
      </c>
      <c r="L7" s="82" t="s">
        <v>218</v>
      </c>
      <c r="M7" s="82" t="s">
        <v>219</v>
      </c>
      <c r="N7" s="82" t="s">
        <v>220</v>
      </c>
      <c r="O7" s="82" t="s">
        <v>221</v>
      </c>
      <c r="P7" s="768"/>
      <c r="Q7" s="780"/>
      <c r="R7" s="780"/>
      <c r="S7" s="769"/>
      <c r="T7" s="768"/>
      <c r="U7" s="780"/>
      <c r="V7" s="780"/>
      <c r="W7" s="769"/>
      <c r="X7" s="775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75"/>
      <c r="AJ7" s="775"/>
      <c r="AK7" s="775"/>
      <c r="AL7" s="775"/>
      <c r="AM7" s="775"/>
      <c r="AN7" s="775"/>
      <c r="AO7" s="775"/>
      <c r="AP7" s="775"/>
      <c r="AQ7" s="775"/>
      <c r="AR7" s="775"/>
      <c r="AS7" s="775"/>
      <c r="AT7" s="764"/>
      <c r="AU7" s="765"/>
      <c r="AV7" s="764"/>
      <c r="AW7" s="765"/>
      <c r="AX7" s="775"/>
      <c r="AY7" s="775"/>
      <c r="AZ7" s="764"/>
      <c r="BA7" s="765"/>
      <c r="BB7" s="773"/>
      <c r="BC7" s="774"/>
      <c r="BD7" s="764"/>
      <c r="BE7" s="765"/>
      <c r="BF7" s="768"/>
      <c r="BG7" s="769"/>
      <c r="BH7" s="770"/>
      <c r="BI7" s="770"/>
      <c r="BJ7" s="301" t="s">
        <v>244</v>
      </c>
      <c r="BL7" s="759" t="s">
        <v>242</v>
      </c>
      <c r="BM7" s="760"/>
      <c r="BN7" s="760"/>
      <c r="BO7" s="760"/>
      <c r="BP7" s="761"/>
      <c r="BQ7" s="755" t="s">
        <v>243</v>
      </c>
      <c r="BR7" s="755"/>
      <c r="BS7" s="755"/>
      <c r="BT7" s="756" t="s">
        <v>17</v>
      </c>
    </row>
    <row r="8" spans="1:72" ht="46.35" customHeight="1">
      <c r="A8" s="303"/>
      <c r="B8" s="232"/>
      <c r="C8" s="233"/>
      <c r="D8" s="233"/>
      <c r="E8" s="23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82" t="s">
        <v>7</v>
      </c>
      <c r="Q8" s="82" t="s">
        <v>8</v>
      </c>
      <c r="R8" s="82" t="s">
        <v>9</v>
      </c>
      <c r="S8" s="82" t="s">
        <v>10</v>
      </c>
      <c r="T8" s="82" t="s">
        <v>7</v>
      </c>
      <c r="U8" s="82" t="s">
        <v>8</v>
      </c>
      <c r="V8" s="82" t="s">
        <v>9</v>
      </c>
      <c r="W8" s="82" t="s">
        <v>10</v>
      </c>
      <c r="X8" s="82" t="s">
        <v>14</v>
      </c>
      <c r="Y8" s="82" t="s">
        <v>15</v>
      </c>
      <c r="Z8" s="82" t="s">
        <v>14</v>
      </c>
      <c r="AA8" s="82" t="s">
        <v>15</v>
      </c>
      <c r="AB8" s="82" t="s">
        <v>14</v>
      </c>
      <c r="AC8" s="82" t="s">
        <v>15</v>
      </c>
      <c r="AD8" s="82" t="s">
        <v>14</v>
      </c>
      <c r="AE8" s="82" t="s">
        <v>15</v>
      </c>
      <c r="AF8" s="82" t="s">
        <v>14</v>
      </c>
      <c r="AG8" s="82" t="s">
        <v>15</v>
      </c>
      <c r="AH8" s="82" t="s">
        <v>14</v>
      </c>
      <c r="AI8" s="82" t="s">
        <v>15</v>
      </c>
      <c r="AJ8" s="82" t="s">
        <v>14</v>
      </c>
      <c r="AK8" s="82" t="s">
        <v>15</v>
      </c>
      <c r="AL8" s="82" t="s">
        <v>14</v>
      </c>
      <c r="AM8" s="82" t="s">
        <v>15</v>
      </c>
      <c r="AN8" s="82" t="s">
        <v>14</v>
      </c>
      <c r="AO8" s="82" t="s">
        <v>15</v>
      </c>
      <c r="AP8" s="82" t="s">
        <v>14</v>
      </c>
      <c r="AQ8" s="82" t="s">
        <v>15</v>
      </c>
      <c r="AR8" s="82" t="s">
        <v>14</v>
      </c>
      <c r="AS8" s="82" t="s">
        <v>15</v>
      </c>
      <c r="AT8" s="82" t="s">
        <v>14</v>
      </c>
      <c r="AU8" s="82" t="s">
        <v>15</v>
      </c>
      <c r="AV8" s="82" t="s">
        <v>14</v>
      </c>
      <c r="AW8" s="82" t="s">
        <v>15</v>
      </c>
      <c r="AX8" s="82" t="s">
        <v>14</v>
      </c>
      <c r="AY8" s="82" t="s">
        <v>15</v>
      </c>
      <c r="AZ8" s="82" t="s">
        <v>14</v>
      </c>
      <c r="BA8" s="82" t="s">
        <v>15</v>
      </c>
      <c r="BB8" s="82" t="s">
        <v>14</v>
      </c>
      <c r="BC8" s="82" t="s">
        <v>15</v>
      </c>
      <c r="BD8" s="82" t="s">
        <v>14</v>
      </c>
      <c r="BE8" s="82" t="s">
        <v>15</v>
      </c>
      <c r="BF8" s="82" t="s">
        <v>14</v>
      </c>
      <c r="BG8" s="82" t="s">
        <v>15</v>
      </c>
      <c r="BH8" s="82" t="s">
        <v>14</v>
      </c>
      <c r="BI8" s="82" t="s">
        <v>15</v>
      </c>
      <c r="BJ8" s="301"/>
      <c r="BL8" s="72" t="s">
        <v>233</v>
      </c>
      <c r="BM8" s="171" t="s">
        <v>234</v>
      </c>
      <c r="BN8" s="171" t="s">
        <v>235</v>
      </c>
      <c r="BO8" s="300" t="s">
        <v>236</v>
      </c>
      <c r="BP8" s="173" t="s">
        <v>237</v>
      </c>
      <c r="BQ8" s="171" t="s">
        <v>238</v>
      </c>
      <c r="BR8" s="171" t="s">
        <v>239</v>
      </c>
      <c r="BS8" s="173" t="s">
        <v>240</v>
      </c>
      <c r="BT8" s="756"/>
    </row>
    <row r="9" spans="1:72" s="90" customFormat="1" ht="24" customHeight="1">
      <c r="A9" s="332" t="s">
        <v>451</v>
      </c>
      <c r="B9" s="362"/>
      <c r="C9" s="362"/>
      <c r="D9" s="79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241"/>
      <c r="Q9" s="241"/>
      <c r="R9" s="241"/>
      <c r="S9" s="241"/>
      <c r="T9" s="241"/>
      <c r="U9" s="241"/>
      <c r="V9" s="241"/>
      <c r="W9" s="241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162"/>
      <c r="BJ9" s="362"/>
      <c r="BL9" s="98"/>
      <c r="BM9" s="98"/>
      <c r="BN9" s="98"/>
      <c r="BO9" s="98"/>
      <c r="BP9" s="98"/>
      <c r="BQ9" s="98"/>
      <c r="BR9" s="98"/>
      <c r="BS9" s="98"/>
      <c r="BT9" s="102"/>
    </row>
    <row r="10" spans="1:72" s="90" customFormat="1" ht="15.75">
      <c r="A10" s="332" t="s">
        <v>604</v>
      </c>
      <c r="B10" s="362"/>
      <c r="C10" s="362"/>
      <c r="D10" s="79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241"/>
      <c r="Q10" s="241"/>
      <c r="R10" s="241"/>
      <c r="S10" s="241"/>
      <c r="T10" s="241"/>
      <c r="U10" s="241"/>
      <c r="V10" s="241"/>
      <c r="W10" s="241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162"/>
      <c r="BJ10" s="362"/>
      <c r="BL10" s="98"/>
      <c r="BM10" s="98"/>
      <c r="BN10" s="98"/>
      <c r="BO10" s="98"/>
      <c r="BP10" s="98"/>
      <c r="BQ10" s="98"/>
      <c r="BR10" s="98"/>
      <c r="BS10" s="98"/>
      <c r="BT10" s="102"/>
    </row>
    <row r="11" spans="1:72" s="90" customFormat="1" ht="15.75">
      <c r="A11" s="332" t="s">
        <v>605</v>
      </c>
      <c r="B11" s="362"/>
      <c r="C11" s="362"/>
      <c r="D11" s="79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8"/>
      <c r="BI11" s="162"/>
      <c r="BJ11" s="362"/>
      <c r="BL11" s="98"/>
      <c r="BM11" s="98"/>
      <c r="BN11" s="98"/>
      <c r="BO11" s="98"/>
      <c r="BP11" s="98"/>
      <c r="BQ11" s="98"/>
      <c r="BR11" s="98"/>
      <c r="BS11" s="98"/>
      <c r="BT11" s="102"/>
    </row>
    <row r="12" spans="1:72" s="90" customFormat="1" ht="15.75">
      <c r="A12" s="323" t="s">
        <v>432</v>
      </c>
      <c r="B12" s="362" t="s">
        <v>69</v>
      </c>
      <c r="C12" s="546">
        <v>200</v>
      </c>
      <c r="D12" s="78">
        <f>BH12</f>
        <v>325</v>
      </c>
      <c r="E12" s="76">
        <f>D12*C12</f>
        <v>65000</v>
      </c>
      <c r="F12" s="76">
        <f>E12*0.2</f>
        <v>13000</v>
      </c>
      <c r="G12" s="76">
        <f>E12*0.8</f>
        <v>52000</v>
      </c>
      <c r="H12" s="76"/>
      <c r="I12" s="76"/>
      <c r="J12" s="76"/>
      <c r="K12" s="76"/>
      <c r="L12" s="76"/>
      <c r="M12" s="76"/>
      <c r="N12" s="76"/>
      <c r="O12" s="76"/>
      <c r="P12" s="76">
        <f>D12*0.25</f>
        <v>81.25</v>
      </c>
      <c r="Q12" s="76">
        <f>D12*0.25</f>
        <v>81.25</v>
      </c>
      <c r="R12" s="76">
        <f>D12*0.25</f>
        <v>81.25</v>
      </c>
      <c r="S12" s="76">
        <f>D12*0.25</f>
        <v>81.25</v>
      </c>
      <c r="T12" s="76">
        <f>P12*C12</f>
        <v>16250</v>
      </c>
      <c r="U12" s="76">
        <f>Q12*C12</f>
        <v>16250</v>
      </c>
      <c r="V12" s="76">
        <f>R12*C12</f>
        <v>16250</v>
      </c>
      <c r="W12" s="76">
        <f>S12*C12</f>
        <v>16250</v>
      </c>
      <c r="X12" s="76">
        <v>20</v>
      </c>
      <c r="Y12" s="76">
        <f>X12*C12</f>
        <v>4000</v>
      </c>
      <c r="Z12" s="76">
        <v>20</v>
      </c>
      <c r="AA12" s="76">
        <f>C12*Z12</f>
        <v>4000</v>
      </c>
      <c r="AB12" s="76">
        <v>20</v>
      </c>
      <c r="AC12" s="76">
        <f>AB12*C12</f>
        <v>4000</v>
      </c>
      <c r="AD12" s="76">
        <v>20</v>
      </c>
      <c r="AE12" s="76">
        <f>AD12*C12</f>
        <v>4000</v>
      </c>
      <c r="AF12" s="76">
        <v>20</v>
      </c>
      <c r="AG12" s="76">
        <f>AF12*C12</f>
        <v>4000</v>
      </c>
      <c r="AH12" s="76">
        <v>20</v>
      </c>
      <c r="AI12" s="76">
        <f>C12*AH12</f>
        <v>4000</v>
      </c>
      <c r="AJ12" s="76">
        <v>20</v>
      </c>
      <c r="AK12" s="76">
        <f>C12*AJ12</f>
        <v>4000</v>
      </c>
      <c r="AL12" s="76">
        <v>20</v>
      </c>
      <c r="AM12" s="76">
        <f>C12*AL12</f>
        <v>4000</v>
      </c>
      <c r="AN12" s="76">
        <v>5</v>
      </c>
      <c r="AO12" s="76">
        <f>AN12*C12</f>
        <v>1000</v>
      </c>
      <c r="AP12" s="76">
        <v>20</v>
      </c>
      <c r="AQ12" s="76">
        <f>AP12*C12</f>
        <v>4000</v>
      </c>
      <c r="AR12" s="76">
        <v>20</v>
      </c>
      <c r="AS12" s="76">
        <f>AR12*C12</f>
        <v>4000</v>
      </c>
      <c r="AT12" s="76">
        <v>20</v>
      </c>
      <c r="AU12" s="76">
        <f>AT12*C12</f>
        <v>4000</v>
      </c>
      <c r="AV12" s="76">
        <v>20</v>
      </c>
      <c r="AW12" s="76">
        <f>AV12*C12</f>
        <v>4000</v>
      </c>
      <c r="AX12" s="76">
        <v>20</v>
      </c>
      <c r="AY12" s="76">
        <f>AX12*C12</f>
        <v>4000</v>
      </c>
      <c r="AZ12" s="76">
        <v>20</v>
      </c>
      <c r="BA12" s="76">
        <f>C12*AZ12</f>
        <v>4000</v>
      </c>
      <c r="BB12" s="76">
        <v>20</v>
      </c>
      <c r="BC12" s="76">
        <f>BB12*C12</f>
        <v>4000</v>
      </c>
      <c r="BD12" s="76">
        <v>20</v>
      </c>
      <c r="BE12" s="76">
        <f>BD12*C12</f>
        <v>4000</v>
      </c>
      <c r="BF12" s="76"/>
      <c r="BG12" s="76">
        <f>BF12*C12</f>
        <v>0</v>
      </c>
      <c r="BH12" s="78">
        <f>BF12+BD12+BB12+AZ12+AX12+AV12+AT12+AR12+AP12+AN12+AL12+AJ12+AH12+AF12+AD12+AB12+Z12+X12</f>
        <v>325</v>
      </c>
      <c r="BI12" s="78">
        <f>BG12+BE12+BC12+BA12+AY12+AW12+AU12+AS12+AQ12+AO12+AM12+AK12+AI12+AG12+AE12+AC12+AA12+Y12</f>
        <v>65000</v>
      </c>
      <c r="BJ12" s="362" t="s">
        <v>224</v>
      </c>
      <c r="BL12" s="98">
        <v>0</v>
      </c>
      <c r="BM12" s="98">
        <f>BI12</f>
        <v>65000</v>
      </c>
      <c r="BN12" s="98">
        <v>0</v>
      </c>
      <c r="BO12" s="98">
        <v>0</v>
      </c>
      <c r="BP12" s="98">
        <f>BL12+BM12+BN12+BO12</f>
        <v>65000</v>
      </c>
      <c r="BQ12" s="98">
        <v>0</v>
      </c>
      <c r="BR12" s="98">
        <v>0</v>
      </c>
      <c r="BS12" s="98">
        <f>BQ12+BR12</f>
        <v>0</v>
      </c>
      <c r="BT12" s="102">
        <f t="shared" ref="BT12:BT59" si="1">BP12+BS12</f>
        <v>65000</v>
      </c>
    </row>
    <row r="13" spans="1:72" s="90" customFormat="1" ht="15.75">
      <c r="A13" s="323" t="s">
        <v>606</v>
      </c>
      <c r="B13" s="362" t="s">
        <v>651</v>
      </c>
      <c r="C13" s="312">
        <v>700</v>
      </c>
      <c r="D13" s="79">
        <f>BH13</f>
        <v>170</v>
      </c>
      <c r="E13" s="76">
        <f>D13*C13</f>
        <v>119000</v>
      </c>
      <c r="F13" s="76">
        <f>E13*0.2</f>
        <v>23800</v>
      </c>
      <c r="G13" s="76">
        <f>E13*0.8</f>
        <v>95200</v>
      </c>
      <c r="H13" s="76"/>
      <c r="I13" s="76"/>
      <c r="J13" s="76"/>
      <c r="K13" s="76"/>
      <c r="L13" s="76"/>
      <c r="M13" s="76"/>
      <c r="N13" s="76"/>
      <c r="O13" s="76"/>
      <c r="P13" s="76">
        <f>D13*0.25</f>
        <v>42.5</v>
      </c>
      <c r="Q13" s="76">
        <f>D13*0.25</f>
        <v>42.5</v>
      </c>
      <c r="R13" s="76">
        <f>D13*0.25</f>
        <v>42.5</v>
      </c>
      <c r="S13" s="76">
        <f>D13*0.25</f>
        <v>42.5</v>
      </c>
      <c r="T13" s="76">
        <f>P13*C13</f>
        <v>29750</v>
      </c>
      <c r="U13" s="76">
        <f>Q13*C13</f>
        <v>29750</v>
      </c>
      <c r="V13" s="76">
        <f>R13*C13</f>
        <v>29750</v>
      </c>
      <c r="W13" s="76">
        <f>S13*C13</f>
        <v>29750</v>
      </c>
      <c r="X13" s="76">
        <v>10</v>
      </c>
      <c r="Y13" s="76">
        <f>X13*C13</f>
        <v>7000</v>
      </c>
      <c r="Z13" s="76">
        <v>10</v>
      </c>
      <c r="AA13" s="76">
        <f>C13*Z13</f>
        <v>7000</v>
      </c>
      <c r="AB13" s="76">
        <v>10</v>
      </c>
      <c r="AC13" s="76">
        <f>AB13*C13</f>
        <v>7000</v>
      </c>
      <c r="AD13" s="76">
        <v>10</v>
      </c>
      <c r="AE13" s="76">
        <f>AD13*C13</f>
        <v>7000</v>
      </c>
      <c r="AF13" s="76">
        <v>10</v>
      </c>
      <c r="AG13" s="76">
        <f>AF13*C13</f>
        <v>7000</v>
      </c>
      <c r="AH13" s="76">
        <v>10</v>
      </c>
      <c r="AI13" s="76">
        <f>C13*AH13</f>
        <v>7000</v>
      </c>
      <c r="AJ13" s="76">
        <v>10</v>
      </c>
      <c r="AK13" s="76">
        <f>C13*AJ13</f>
        <v>7000</v>
      </c>
      <c r="AL13" s="76">
        <v>10</v>
      </c>
      <c r="AM13" s="76">
        <f>C13*AL13</f>
        <v>7000</v>
      </c>
      <c r="AN13" s="76">
        <v>10</v>
      </c>
      <c r="AO13" s="76">
        <f>AN13*C13</f>
        <v>7000</v>
      </c>
      <c r="AP13" s="76">
        <v>10</v>
      </c>
      <c r="AQ13" s="76">
        <f>AP13*C13</f>
        <v>7000</v>
      </c>
      <c r="AR13" s="76">
        <v>10</v>
      </c>
      <c r="AS13" s="76">
        <f>AR13*C13</f>
        <v>7000</v>
      </c>
      <c r="AT13" s="76">
        <v>10</v>
      </c>
      <c r="AU13" s="76">
        <f>AT13*C13</f>
        <v>7000</v>
      </c>
      <c r="AV13" s="76">
        <v>10</v>
      </c>
      <c r="AW13" s="76">
        <f>AV13*C13</f>
        <v>7000</v>
      </c>
      <c r="AX13" s="76">
        <v>10</v>
      </c>
      <c r="AY13" s="76">
        <f>AX13*C13</f>
        <v>7000</v>
      </c>
      <c r="AZ13" s="76">
        <v>10</v>
      </c>
      <c r="BA13" s="76">
        <f>C13*AZ13</f>
        <v>7000</v>
      </c>
      <c r="BB13" s="76">
        <v>10</v>
      </c>
      <c r="BC13" s="76">
        <f>BB13*C13</f>
        <v>7000</v>
      </c>
      <c r="BD13" s="76">
        <v>10</v>
      </c>
      <c r="BE13" s="76">
        <f>BD13*C13</f>
        <v>7000</v>
      </c>
      <c r="BF13" s="76">
        <v>0</v>
      </c>
      <c r="BG13" s="76">
        <f>BF13*C13</f>
        <v>0</v>
      </c>
      <c r="BH13" s="78">
        <f>BF13+BD13+BB13+AZ13+AX13+AV13+AT13+AR13+AP13+AN13+AL13+AJ13+AH13+AF13+AD13+AB13+Z13+X13</f>
        <v>170</v>
      </c>
      <c r="BI13" s="78">
        <f>BG13+BE13+BC13+BA13+AY13+AW13+AU13+AS13+AQ13+AO13+AM13+AK13+AI13+AG13+AE13+AC13+AA13+Y13</f>
        <v>119000</v>
      </c>
      <c r="BJ13" s="362" t="s">
        <v>224</v>
      </c>
      <c r="BL13" s="98">
        <v>0</v>
      </c>
      <c r="BM13" s="98">
        <f>BI13</f>
        <v>119000</v>
      </c>
      <c r="BN13" s="98">
        <v>0</v>
      </c>
      <c r="BO13" s="98">
        <v>0</v>
      </c>
      <c r="BP13" s="98">
        <f>BL13+BM13+BN13+BO13</f>
        <v>119000</v>
      </c>
      <c r="BQ13" s="98">
        <v>0</v>
      </c>
      <c r="BR13" s="98">
        <v>0</v>
      </c>
      <c r="BS13" s="98">
        <f>BQ13+BR13</f>
        <v>0</v>
      </c>
      <c r="BT13" s="102">
        <f t="shared" si="1"/>
        <v>119000</v>
      </c>
    </row>
    <row r="14" spans="1:72" s="90" customFormat="1" ht="15.75">
      <c r="A14" s="336" t="s">
        <v>607</v>
      </c>
      <c r="B14" s="364" t="s">
        <v>121</v>
      </c>
      <c r="C14" s="347" t="s">
        <v>121</v>
      </c>
      <c r="D14" s="235">
        <f>SUM(D12:D13)</f>
        <v>495</v>
      </c>
      <c r="E14" s="235">
        <f>SUM(E12:E13)</f>
        <v>184000</v>
      </c>
      <c r="F14" s="235">
        <f>SUM(F12:F13)</f>
        <v>36800</v>
      </c>
      <c r="G14" s="235">
        <f t="shared" ref="G14:O14" si="2">SUM(G12:G13)</f>
        <v>147200</v>
      </c>
      <c r="H14" s="235">
        <f t="shared" si="2"/>
        <v>0</v>
      </c>
      <c r="I14" s="235">
        <f t="shared" si="2"/>
        <v>0</v>
      </c>
      <c r="J14" s="235">
        <f t="shared" si="2"/>
        <v>0</v>
      </c>
      <c r="K14" s="235">
        <f t="shared" si="2"/>
        <v>0</v>
      </c>
      <c r="L14" s="235">
        <f t="shared" si="2"/>
        <v>0</v>
      </c>
      <c r="M14" s="235">
        <f t="shared" si="2"/>
        <v>0</v>
      </c>
      <c r="N14" s="235">
        <f t="shared" si="2"/>
        <v>0</v>
      </c>
      <c r="O14" s="235">
        <f t="shared" si="2"/>
        <v>0</v>
      </c>
      <c r="P14" s="235"/>
      <c r="Q14" s="235"/>
      <c r="R14" s="235"/>
      <c r="S14" s="235"/>
      <c r="T14" s="235"/>
      <c r="U14" s="235"/>
      <c r="V14" s="235"/>
      <c r="W14" s="235"/>
      <c r="X14" s="430">
        <f>SUM(X12:X13)</f>
        <v>30</v>
      </c>
      <c r="Y14" s="430">
        <f t="shared" ref="Y14:BT14" si="3">SUM(Y12:Y13)</f>
        <v>11000</v>
      </c>
      <c r="Z14" s="430">
        <f t="shared" si="3"/>
        <v>30</v>
      </c>
      <c r="AA14" s="430">
        <f t="shared" si="3"/>
        <v>11000</v>
      </c>
      <c r="AB14" s="430">
        <f t="shared" si="3"/>
        <v>30</v>
      </c>
      <c r="AC14" s="430">
        <f t="shared" si="3"/>
        <v>11000</v>
      </c>
      <c r="AD14" s="430">
        <f t="shared" si="3"/>
        <v>30</v>
      </c>
      <c r="AE14" s="430">
        <f t="shared" si="3"/>
        <v>11000</v>
      </c>
      <c r="AF14" s="430">
        <f t="shared" si="3"/>
        <v>30</v>
      </c>
      <c r="AG14" s="430">
        <f t="shared" si="3"/>
        <v>11000</v>
      </c>
      <c r="AH14" s="430">
        <f t="shared" si="3"/>
        <v>30</v>
      </c>
      <c r="AI14" s="430">
        <f t="shared" si="3"/>
        <v>11000</v>
      </c>
      <c r="AJ14" s="430">
        <f t="shared" si="3"/>
        <v>30</v>
      </c>
      <c r="AK14" s="430">
        <f t="shared" si="3"/>
        <v>11000</v>
      </c>
      <c r="AL14" s="430">
        <f t="shared" si="3"/>
        <v>30</v>
      </c>
      <c r="AM14" s="430">
        <f t="shared" si="3"/>
        <v>11000</v>
      </c>
      <c r="AN14" s="430">
        <f t="shared" si="3"/>
        <v>15</v>
      </c>
      <c r="AO14" s="430">
        <f t="shared" si="3"/>
        <v>8000</v>
      </c>
      <c r="AP14" s="430">
        <f t="shared" si="3"/>
        <v>30</v>
      </c>
      <c r="AQ14" s="430">
        <f t="shared" si="3"/>
        <v>11000</v>
      </c>
      <c r="AR14" s="430">
        <f t="shared" si="3"/>
        <v>30</v>
      </c>
      <c r="AS14" s="430">
        <f t="shared" si="3"/>
        <v>11000</v>
      </c>
      <c r="AT14" s="430">
        <f t="shared" si="3"/>
        <v>30</v>
      </c>
      <c r="AU14" s="430">
        <f t="shared" si="3"/>
        <v>11000</v>
      </c>
      <c r="AV14" s="430">
        <f t="shared" si="3"/>
        <v>30</v>
      </c>
      <c r="AW14" s="430">
        <f t="shared" si="3"/>
        <v>11000</v>
      </c>
      <c r="AX14" s="430">
        <f t="shared" si="3"/>
        <v>30</v>
      </c>
      <c r="AY14" s="430">
        <f t="shared" si="3"/>
        <v>11000</v>
      </c>
      <c r="AZ14" s="430">
        <f t="shared" si="3"/>
        <v>30</v>
      </c>
      <c r="BA14" s="430">
        <f t="shared" si="3"/>
        <v>11000</v>
      </c>
      <c r="BB14" s="430">
        <f t="shared" si="3"/>
        <v>30</v>
      </c>
      <c r="BC14" s="430">
        <f t="shared" si="3"/>
        <v>11000</v>
      </c>
      <c r="BD14" s="430">
        <f t="shared" si="3"/>
        <v>30</v>
      </c>
      <c r="BE14" s="430">
        <f t="shared" si="3"/>
        <v>11000</v>
      </c>
      <c r="BF14" s="430">
        <f t="shared" si="3"/>
        <v>0</v>
      </c>
      <c r="BG14" s="430">
        <f t="shared" si="3"/>
        <v>0</v>
      </c>
      <c r="BH14" s="430">
        <f t="shared" si="3"/>
        <v>495</v>
      </c>
      <c r="BI14" s="430">
        <f t="shared" si="3"/>
        <v>184000</v>
      </c>
      <c r="BJ14" s="430">
        <f t="shared" si="3"/>
        <v>0</v>
      </c>
      <c r="BK14" s="430">
        <f t="shared" si="3"/>
        <v>0</v>
      </c>
      <c r="BL14" s="430">
        <f t="shared" si="3"/>
        <v>0</v>
      </c>
      <c r="BM14" s="430">
        <f t="shared" si="3"/>
        <v>184000</v>
      </c>
      <c r="BN14" s="430">
        <f t="shared" si="3"/>
        <v>0</v>
      </c>
      <c r="BO14" s="430">
        <f t="shared" si="3"/>
        <v>0</v>
      </c>
      <c r="BP14" s="430">
        <f t="shared" si="3"/>
        <v>184000</v>
      </c>
      <c r="BQ14" s="430">
        <f t="shared" si="3"/>
        <v>0</v>
      </c>
      <c r="BR14" s="430">
        <f t="shared" si="3"/>
        <v>0</v>
      </c>
      <c r="BS14" s="430">
        <f t="shared" si="3"/>
        <v>0</v>
      </c>
      <c r="BT14" s="430">
        <f t="shared" si="3"/>
        <v>184000</v>
      </c>
    </row>
    <row r="15" spans="1:72" s="90" customFormat="1" ht="15.75">
      <c r="A15" s="323" t="s">
        <v>608</v>
      </c>
      <c r="B15" s="362" t="s">
        <v>69</v>
      </c>
      <c r="C15" s="312" t="s">
        <v>655</v>
      </c>
      <c r="D15" s="79">
        <f>BH15</f>
        <v>705</v>
      </c>
      <c r="E15" s="76">
        <f>D15*C15</f>
        <v>458250</v>
      </c>
      <c r="F15" s="76">
        <f>E15*0.2</f>
        <v>91650</v>
      </c>
      <c r="G15" s="76">
        <f>E15*0.8</f>
        <v>366600</v>
      </c>
      <c r="H15" s="76"/>
      <c r="I15" s="76"/>
      <c r="J15" s="76"/>
      <c r="K15" s="76"/>
      <c r="L15" s="76"/>
      <c r="M15" s="76"/>
      <c r="N15" s="76"/>
      <c r="O15" s="76"/>
      <c r="P15" s="298">
        <f>D15*0.25</f>
        <v>176.25</v>
      </c>
      <c r="Q15" s="298">
        <f>D15*0.25</f>
        <v>176.25</v>
      </c>
      <c r="R15" s="298">
        <f>D15*0.25</f>
        <v>176.25</v>
      </c>
      <c r="S15" s="298">
        <f>D15*0.25</f>
        <v>176.25</v>
      </c>
      <c r="T15" s="76">
        <f>P15*C15</f>
        <v>114562.5</v>
      </c>
      <c r="U15" s="76">
        <f>Q15*C15</f>
        <v>114562.5</v>
      </c>
      <c r="V15" s="76">
        <f>R15*C15</f>
        <v>114562.5</v>
      </c>
      <c r="W15" s="76">
        <f>S15*C15</f>
        <v>114562.5</v>
      </c>
      <c r="X15" s="76">
        <v>0</v>
      </c>
      <c r="Y15" s="76">
        <f>X15*C15</f>
        <v>0</v>
      </c>
      <c r="Z15" s="76">
        <v>20</v>
      </c>
      <c r="AA15" s="76">
        <f>C15*Z15</f>
        <v>13000</v>
      </c>
      <c r="AB15" s="76">
        <v>20</v>
      </c>
      <c r="AC15" s="76">
        <f>AB15*C15</f>
        <v>13000</v>
      </c>
      <c r="AD15" s="76">
        <v>20</v>
      </c>
      <c r="AE15" s="76">
        <f>AD15*C15</f>
        <v>13000</v>
      </c>
      <c r="AF15" s="76">
        <v>20</v>
      </c>
      <c r="AG15" s="76">
        <f>AF15*C15</f>
        <v>13000</v>
      </c>
      <c r="AH15" s="76">
        <v>20</v>
      </c>
      <c r="AI15" s="76">
        <f>C15*AH15</f>
        <v>13000</v>
      </c>
      <c r="AJ15" s="76">
        <v>20</v>
      </c>
      <c r="AK15" s="76">
        <f>C15*AJ15</f>
        <v>13000</v>
      </c>
      <c r="AL15" s="76">
        <v>100</v>
      </c>
      <c r="AM15" s="76">
        <f>C15*AL15</f>
        <v>65000</v>
      </c>
      <c r="AN15" s="76">
        <v>5</v>
      </c>
      <c r="AO15" s="76">
        <f>AN15*C15</f>
        <v>3250</v>
      </c>
      <c r="AP15" s="76">
        <v>20</v>
      </c>
      <c r="AQ15" s="76">
        <f>AP15*C15</f>
        <v>13000</v>
      </c>
      <c r="AR15" s="76">
        <v>0</v>
      </c>
      <c r="AS15" s="76">
        <f>AR15*C15</f>
        <v>0</v>
      </c>
      <c r="AT15" s="76">
        <v>20</v>
      </c>
      <c r="AU15" s="76">
        <f>AT15*C15</f>
        <v>13000</v>
      </c>
      <c r="AV15" s="76">
        <v>150</v>
      </c>
      <c r="AW15" s="76">
        <f>AV15*C15</f>
        <v>97500</v>
      </c>
      <c r="AX15" s="76">
        <v>100</v>
      </c>
      <c r="AY15" s="76">
        <f>AX15*C15</f>
        <v>65000</v>
      </c>
      <c r="AZ15" s="76">
        <v>20</v>
      </c>
      <c r="BA15" s="76">
        <f>C15*AZ15</f>
        <v>13000</v>
      </c>
      <c r="BB15" s="76">
        <v>150</v>
      </c>
      <c r="BC15" s="76">
        <f>BB15*C15</f>
        <v>97500</v>
      </c>
      <c r="BD15" s="76">
        <v>20</v>
      </c>
      <c r="BE15" s="76">
        <f>BD15*C15</f>
        <v>13000</v>
      </c>
      <c r="BF15" s="76">
        <v>0</v>
      </c>
      <c r="BG15" s="76">
        <f>BF15*C15</f>
        <v>0</v>
      </c>
      <c r="BH15" s="78">
        <f>BF15+BD15+BB15+AZ15+AX15+AV15+AT15+AR15+AP15+AN15+AL15+AJ15+AH15+AF15+AD15+AB15+Z15+X15</f>
        <v>705</v>
      </c>
      <c r="BI15" s="78">
        <f>BG15+BE15+BC15+BA15+AY15+AW15+AU15+AS15+AQ15+AO15+AM15+AK15+AI15+AG15+AE15+AC15+AA15+Y15</f>
        <v>458250</v>
      </c>
      <c r="BJ15" s="362" t="s">
        <v>224</v>
      </c>
      <c r="BL15" s="98"/>
      <c r="BM15" s="98"/>
      <c r="BN15" s="98">
        <f>E15</f>
        <v>458250</v>
      </c>
      <c r="BO15" s="98"/>
      <c r="BP15" s="98">
        <f>BL15+BM15+BN15+BO15</f>
        <v>458250</v>
      </c>
      <c r="BQ15" s="98"/>
      <c r="BR15" s="98"/>
      <c r="BS15" s="98"/>
      <c r="BT15" s="102">
        <f t="shared" si="1"/>
        <v>458250</v>
      </c>
    </row>
    <row r="16" spans="1:72" s="90" customFormat="1" ht="15.75">
      <c r="A16" s="336" t="s">
        <v>609</v>
      </c>
      <c r="B16" s="364" t="s">
        <v>121</v>
      </c>
      <c r="C16" s="347" t="s">
        <v>121</v>
      </c>
      <c r="D16" s="235">
        <f>D15</f>
        <v>705</v>
      </c>
      <c r="E16" s="235">
        <f>E15</f>
        <v>458250</v>
      </c>
      <c r="F16" s="235">
        <f>F15</f>
        <v>91650</v>
      </c>
      <c r="G16" s="235">
        <f t="shared" ref="G16:O16" si="4">G15</f>
        <v>366600</v>
      </c>
      <c r="H16" s="235">
        <f t="shared" si="4"/>
        <v>0</v>
      </c>
      <c r="I16" s="235">
        <f t="shared" si="4"/>
        <v>0</v>
      </c>
      <c r="J16" s="235">
        <f t="shared" si="4"/>
        <v>0</v>
      </c>
      <c r="K16" s="235">
        <f t="shared" si="4"/>
        <v>0</v>
      </c>
      <c r="L16" s="235">
        <f t="shared" si="4"/>
        <v>0</v>
      </c>
      <c r="M16" s="235">
        <f t="shared" si="4"/>
        <v>0</v>
      </c>
      <c r="N16" s="235">
        <f t="shared" si="4"/>
        <v>0</v>
      </c>
      <c r="O16" s="235">
        <f t="shared" si="4"/>
        <v>0</v>
      </c>
      <c r="P16" s="235"/>
      <c r="Q16" s="427"/>
      <c r="R16" s="427"/>
      <c r="S16" s="427"/>
      <c r="T16" s="235"/>
      <c r="U16" s="235"/>
      <c r="V16" s="235"/>
      <c r="W16" s="235"/>
      <c r="X16" s="430">
        <f>SUM(X15)</f>
        <v>0</v>
      </c>
      <c r="Y16" s="430">
        <f t="shared" ref="Y16:BT16" si="5">SUM(Y15)</f>
        <v>0</v>
      </c>
      <c r="Z16" s="430">
        <f t="shared" si="5"/>
        <v>20</v>
      </c>
      <c r="AA16" s="430">
        <f t="shared" si="5"/>
        <v>13000</v>
      </c>
      <c r="AB16" s="430">
        <f t="shared" si="5"/>
        <v>20</v>
      </c>
      <c r="AC16" s="430">
        <f t="shared" si="5"/>
        <v>13000</v>
      </c>
      <c r="AD16" s="430">
        <f t="shared" si="5"/>
        <v>20</v>
      </c>
      <c r="AE16" s="430">
        <f t="shared" si="5"/>
        <v>13000</v>
      </c>
      <c r="AF16" s="430">
        <f t="shared" si="5"/>
        <v>20</v>
      </c>
      <c r="AG16" s="430">
        <f t="shared" si="5"/>
        <v>13000</v>
      </c>
      <c r="AH16" s="430">
        <f t="shared" si="5"/>
        <v>20</v>
      </c>
      <c r="AI16" s="430">
        <f t="shared" si="5"/>
        <v>13000</v>
      </c>
      <c r="AJ16" s="430">
        <f t="shared" si="5"/>
        <v>20</v>
      </c>
      <c r="AK16" s="430">
        <f t="shared" si="5"/>
        <v>13000</v>
      </c>
      <c r="AL16" s="430">
        <f t="shared" si="5"/>
        <v>100</v>
      </c>
      <c r="AM16" s="430">
        <f t="shared" si="5"/>
        <v>65000</v>
      </c>
      <c r="AN16" s="430">
        <f t="shared" si="5"/>
        <v>5</v>
      </c>
      <c r="AO16" s="430">
        <f t="shared" si="5"/>
        <v>3250</v>
      </c>
      <c r="AP16" s="430">
        <f t="shared" si="5"/>
        <v>20</v>
      </c>
      <c r="AQ16" s="430">
        <f t="shared" si="5"/>
        <v>13000</v>
      </c>
      <c r="AR16" s="430">
        <f t="shared" si="5"/>
        <v>0</v>
      </c>
      <c r="AS16" s="430">
        <f t="shared" si="5"/>
        <v>0</v>
      </c>
      <c r="AT16" s="430">
        <f t="shared" si="5"/>
        <v>20</v>
      </c>
      <c r="AU16" s="430">
        <f t="shared" si="5"/>
        <v>13000</v>
      </c>
      <c r="AV16" s="430">
        <f t="shared" si="5"/>
        <v>150</v>
      </c>
      <c r="AW16" s="430">
        <f t="shared" si="5"/>
        <v>97500</v>
      </c>
      <c r="AX16" s="430">
        <f t="shared" si="5"/>
        <v>100</v>
      </c>
      <c r="AY16" s="430">
        <f t="shared" si="5"/>
        <v>65000</v>
      </c>
      <c r="AZ16" s="430">
        <f t="shared" si="5"/>
        <v>20</v>
      </c>
      <c r="BA16" s="430">
        <f t="shared" si="5"/>
        <v>13000</v>
      </c>
      <c r="BB16" s="430">
        <f t="shared" si="5"/>
        <v>150</v>
      </c>
      <c r="BC16" s="430">
        <f t="shared" si="5"/>
        <v>97500</v>
      </c>
      <c r="BD16" s="430">
        <f t="shared" si="5"/>
        <v>20</v>
      </c>
      <c r="BE16" s="430">
        <f t="shared" si="5"/>
        <v>13000</v>
      </c>
      <c r="BF16" s="430">
        <f t="shared" si="5"/>
        <v>0</v>
      </c>
      <c r="BG16" s="430">
        <f t="shared" si="5"/>
        <v>0</v>
      </c>
      <c r="BH16" s="430">
        <f t="shared" si="5"/>
        <v>705</v>
      </c>
      <c r="BI16" s="430">
        <f t="shared" si="5"/>
        <v>458250</v>
      </c>
      <c r="BJ16" s="430">
        <f t="shared" si="5"/>
        <v>0</v>
      </c>
      <c r="BK16" s="430">
        <f t="shared" si="5"/>
        <v>0</v>
      </c>
      <c r="BL16" s="430">
        <f t="shared" si="5"/>
        <v>0</v>
      </c>
      <c r="BM16" s="430">
        <f t="shared" si="5"/>
        <v>0</v>
      </c>
      <c r="BN16" s="430">
        <f t="shared" si="5"/>
        <v>458250</v>
      </c>
      <c r="BO16" s="430">
        <f t="shared" si="5"/>
        <v>0</v>
      </c>
      <c r="BP16" s="430">
        <f t="shared" si="5"/>
        <v>458250</v>
      </c>
      <c r="BQ16" s="430">
        <f t="shared" si="5"/>
        <v>0</v>
      </c>
      <c r="BR16" s="430">
        <f t="shared" si="5"/>
        <v>0</v>
      </c>
      <c r="BS16" s="430">
        <f t="shared" si="5"/>
        <v>0</v>
      </c>
      <c r="BT16" s="430">
        <f t="shared" si="5"/>
        <v>458250</v>
      </c>
    </row>
    <row r="17" spans="1:72" s="226" customFormat="1" ht="15.75">
      <c r="A17" s="332" t="s">
        <v>610</v>
      </c>
      <c r="B17" s="362"/>
      <c r="C17" s="362"/>
      <c r="D17" s="276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387"/>
      <c r="Q17" s="387"/>
      <c r="R17" s="387"/>
      <c r="S17" s="387"/>
      <c r="T17" s="241"/>
      <c r="U17" s="241"/>
      <c r="V17" s="241"/>
      <c r="W17" s="241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8"/>
      <c r="BI17" s="162"/>
      <c r="BJ17" s="362"/>
      <c r="BL17" s="241"/>
      <c r="BM17" s="241"/>
      <c r="BN17" s="241"/>
      <c r="BO17" s="241"/>
      <c r="BP17" s="241"/>
      <c r="BQ17" s="241"/>
      <c r="BR17" s="241"/>
      <c r="BS17" s="241"/>
      <c r="BT17" s="380"/>
    </row>
    <row r="18" spans="1:72" s="90" customFormat="1" ht="15.75">
      <c r="A18" s="332" t="s">
        <v>611</v>
      </c>
      <c r="B18" s="362"/>
      <c r="C18" s="362"/>
      <c r="D18" s="79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298"/>
      <c r="Q18" s="298"/>
      <c r="R18" s="298"/>
      <c r="S18" s="298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8"/>
      <c r="BI18" s="162"/>
      <c r="BJ18" s="362"/>
      <c r="BL18" s="98"/>
      <c r="BM18" s="98"/>
      <c r="BN18" s="98"/>
      <c r="BO18" s="98"/>
      <c r="BP18" s="98"/>
      <c r="BQ18" s="98"/>
      <c r="BR18" s="98"/>
      <c r="BS18" s="98"/>
      <c r="BT18" s="102">
        <f t="shared" si="1"/>
        <v>0</v>
      </c>
    </row>
    <row r="19" spans="1:72" s="90" customFormat="1" ht="15.75">
      <c r="A19" s="323" t="s">
        <v>612</v>
      </c>
      <c r="B19" s="362" t="s">
        <v>651</v>
      </c>
      <c r="C19" s="546">
        <v>500</v>
      </c>
      <c r="D19" s="79">
        <f>BH19</f>
        <v>204</v>
      </c>
      <c r="E19" s="76">
        <f>D19*C19</f>
        <v>102000</v>
      </c>
      <c r="F19" s="76">
        <f>E19*0.2</f>
        <v>20400</v>
      </c>
      <c r="G19" s="76">
        <f>E19*0.8</f>
        <v>81600</v>
      </c>
      <c r="H19" s="76"/>
      <c r="I19" s="76"/>
      <c r="J19" s="76"/>
      <c r="K19" s="76"/>
      <c r="L19" s="76"/>
      <c r="M19" s="76"/>
      <c r="N19" s="76"/>
      <c r="O19" s="76"/>
      <c r="P19" s="298">
        <f>D19*0.25</f>
        <v>51</v>
      </c>
      <c r="Q19" s="298">
        <f>D19*0.25</f>
        <v>51</v>
      </c>
      <c r="R19" s="298">
        <f>D19*0.25</f>
        <v>51</v>
      </c>
      <c r="S19" s="298">
        <f>D19*0.25</f>
        <v>51</v>
      </c>
      <c r="T19" s="76">
        <f>P19*C19</f>
        <v>25500</v>
      </c>
      <c r="U19" s="76">
        <f>Q19*C19</f>
        <v>25500</v>
      </c>
      <c r="V19" s="76">
        <f>R19*C19</f>
        <v>25500</v>
      </c>
      <c r="W19" s="76">
        <f>S19*C19</f>
        <v>25500</v>
      </c>
      <c r="X19" s="76">
        <v>0</v>
      </c>
      <c r="Y19" s="76">
        <f>X19*C19</f>
        <v>0</v>
      </c>
      <c r="Z19" s="76">
        <v>0</v>
      </c>
      <c r="AA19" s="76">
        <f>Z19*C19</f>
        <v>0</v>
      </c>
      <c r="AB19" s="76">
        <v>0</v>
      </c>
      <c r="AC19" s="76">
        <f>AB19*C19</f>
        <v>0</v>
      </c>
      <c r="AD19" s="76">
        <v>0</v>
      </c>
      <c r="AE19" s="76">
        <f>AD19*C19</f>
        <v>0</v>
      </c>
      <c r="AF19" s="76">
        <v>0</v>
      </c>
      <c r="AG19" s="76">
        <f>AF19*C19</f>
        <v>0</v>
      </c>
      <c r="AH19" s="76">
        <v>0</v>
      </c>
      <c r="AI19" s="76">
        <f>C19*AH19</f>
        <v>0</v>
      </c>
      <c r="AJ19" s="76">
        <v>0</v>
      </c>
      <c r="AK19" s="76">
        <f>C19*AJ19</f>
        <v>0</v>
      </c>
      <c r="AL19" s="76">
        <v>0</v>
      </c>
      <c r="AM19" s="76">
        <f>C19*AL19</f>
        <v>0</v>
      </c>
      <c r="AN19" s="76">
        <v>0</v>
      </c>
      <c r="AO19" s="76">
        <f>AN19*C19</f>
        <v>0</v>
      </c>
      <c r="AP19" s="76">
        <v>0</v>
      </c>
      <c r="AQ19" s="76">
        <f>AP19*C19</f>
        <v>0</v>
      </c>
      <c r="AR19" s="76">
        <v>0</v>
      </c>
      <c r="AS19" s="76">
        <f>AR19*C19</f>
        <v>0</v>
      </c>
      <c r="AT19" s="76">
        <v>0</v>
      </c>
      <c r="AU19" s="76">
        <f>AT19*C19</f>
        <v>0</v>
      </c>
      <c r="AV19" s="76">
        <v>0</v>
      </c>
      <c r="AW19" s="76">
        <f>AV19*C19</f>
        <v>0</v>
      </c>
      <c r="AX19" s="76">
        <v>0</v>
      </c>
      <c r="AY19" s="76">
        <f>AX19*C19</f>
        <v>0</v>
      </c>
      <c r="AZ19" s="76">
        <v>0</v>
      </c>
      <c r="BA19" s="76">
        <f>C19*AZ19</f>
        <v>0</v>
      </c>
      <c r="BB19" s="76">
        <v>0</v>
      </c>
      <c r="BC19" s="76">
        <f>BB19*C19</f>
        <v>0</v>
      </c>
      <c r="BD19" s="76">
        <v>0</v>
      </c>
      <c r="BE19" s="76">
        <f>BD19*C19</f>
        <v>0</v>
      </c>
      <c r="BF19" s="76">
        <f>17*3*4</f>
        <v>204</v>
      </c>
      <c r="BG19" s="76">
        <f>BF19*C19</f>
        <v>102000</v>
      </c>
      <c r="BH19" s="78">
        <f t="shared" ref="BH19:BI23" si="6">BF19+BD19+BB19+AZ19+AX19+AV19+AT19+AR19+AP19+AN19+AL19+AJ19+AH19+AF19+AD19+AB19+Z19+X19</f>
        <v>204</v>
      </c>
      <c r="BI19" s="78">
        <f t="shared" si="6"/>
        <v>102000</v>
      </c>
      <c r="BJ19" s="362" t="s">
        <v>224</v>
      </c>
      <c r="BL19" s="98"/>
      <c r="BM19" s="98">
        <f>BI19</f>
        <v>102000</v>
      </c>
      <c r="BN19" s="98"/>
      <c r="BO19" s="98"/>
      <c r="BP19" s="98">
        <f>BL19+BM19+BN19+BO19</f>
        <v>102000</v>
      </c>
      <c r="BQ19" s="98"/>
      <c r="BR19" s="98"/>
      <c r="BS19" s="98"/>
      <c r="BT19" s="102">
        <f t="shared" si="1"/>
        <v>102000</v>
      </c>
    </row>
    <row r="20" spans="1:72" s="90" customFormat="1" ht="15.75">
      <c r="A20" s="323" t="s">
        <v>613</v>
      </c>
      <c r="B20" s="362" t="s">
        <v>651</v>
      </c>
      <c r="C20" s="312">
        <v>150</v>
      </c>
      <c r="D20" s="79">
        <f>BH20</f>
        <v>2104</v>
      </c>
      <c r="E20" s="76">
        <f>D20*C20</f>
        <v>315600</v>
      </c>
      <c r="F20" s="76">
        <f>E20*0.2</f>
        <v>63120</v>
      </c>
      <c r="G20" s="76">
        <f>E20*0.8</f>
        <v>252480</v>
      </c>
      <c r="H20" s="76"/>
      <c r="I20" s="76"/>
      <c r="J20" s="76"/>
      <c r="K20" s="76"/>
      <c r="L20" s="76"/>
      <c r="M20" s="76"/>
      <c r="N20" s="76"/>
      <c r="O20" s="76"/>
      <c r="P20" s="298">
        <f>D20*0.25</f>
        <v>526</v>
      </c>
      <c r="Q20" s="298">
        <f>D20*0.25</f>
        <v>526</v>
      </c>
      <c r="R20" s="298">
        <f>D20*0.25</f>
        <v>526</v>
      </c>
      <c r="S20" s="298">
        <f>D20*0.25</f>
        <v>526</v>
      </c>
      <c r="T20" s="76">
        <f>P20*C20</f>
        <v>78900</v>
      </c>
      <c r="U20" s="76">
        <f>Q20*C20</f>
        <v>78900</v>
      </c>
      <c r="V20" s="76">
        <f>R20*C20</f>
        <v>78900</v>
      </c>
      <c r="W20" s="76">
        <f>S20*C20</f>
        <v>78900</v>
      </c>
      <c r="X20" s="76">
        <f>30*4</f>
        <v>120</v>
      </c>
      <c r="Y20" s="76">
        <f>X20*C20</f>
        <v>18000</v>
      </c>
      <c r="Z20" s="76">
        <f>23*4</f>
        <v>92</v>
      </c>
      <c r="AA20" s="76">
        <f>Z20*C20</f>
        <v>13800</v>
      </c>
      <c r="AB20" s="76">
        <f>30*4</f>
        <v>120</v>
      </c>
      <c r="AC20" s="76">
        <f>AB20*C20</f>
        <v>18000</v>
      </c>
      <c r="AD20" s="76">
        <f>51*4</f>
        <v>204</v>
      </c>
      <c r="AE20" s="76">
        <f>AD20*C20</f>
        <v>30600</v>
      </c>
      <c r="AF20" s="76">
        <f>21*4</f>
        <v>84</v>
      </c>
      <c r="AG20" s="76">
        <f>AF20*C20</f>
        <v>12600</v>
      </c>
      <c r="AH20" s="76">
        <f>30*4</f>
        <v>120</v>
      </c>
      <c r="AI20" s="76">
        <f>C20*AH20</f>
        <v>18000</v>
      </c>
      <c r="AJ20" s="76">
        <v>120</v>
      </c>
      <c r="AK20" s="76">
        <f>C20*AJ20</f>
        <v>18000</v>
      </c>
      <c r="AL20" s="76">
        <v>160</v>
      </c>
      <c r="AM20" s="76">
        <f>C20*AL20</f>
        <v>24000</v>
      </c>
      <c r="AN20" s="76">
        <v>24</v>
      </c>
      <c r="AO20" s="76">
        <f>AN20*C20</f>
        <v>3600</v>
      </c>
      <c r="AP20" s="76">
        <v>120</v>
      </c>
      <c r="AQ20" s="76">
        <f>AP20*C20</f>
        <v>18000</v>
      </c>
      <c r="AR20" s="76">
        <v>120</v>
      </c>
      <c r="AS20" s="76">
        <f>AR20*C20</f>
        <v>18000</v>
      </c>
      <c r="AT20" s="76">
        <v>120</v>
      </c>
      <c r="AU20" s="76">
        <f>AT20*C20</f>
        <v>18000</v>
      </c>
      <c r="AV20" s="76">
        <v>120</v>
      </c>
      <c r="AW20" s="76">
        <f>AV20*C20</f>
        <v>18000</v>
      </c>
      <c r="AX20" s="76">
        <v>120</v>
      </c>
      <c r="AY20" s="76">
        <f>AX20*C20</f>
        <v>18000</v>
      </c>
      <c r="AZ20" s="76">
        <f>35*4</f>
        <v>140</v>
      </c>
      <c r="BA20" s="76">
        <f>C20*AZ20</f>
        <v>21000</v>
      </c>
      <c r="BB20" s="76">
        <f>50*4</f>
        <v>200</v>
      </c>
      <c r="BC20" s="76">
        <f>BB20*C20</f>
        <v>30000</v>
      </c>
      <c r="BD20" s="76">
        <v>120</v>
      </c>
      <c r="BE20" s="76">
        <f>BD20*C20</f>
        <v>18000</v>
      </c>
      <c r="BF20" s="76">
        <v>0</v>
      </c>
      <c r="BG20" s="76">
        <f>BF20*C20</f>
        <v>0</v>
      </c>
      <c r="BH20" s="78">
        <f t="shared" si="6"/>
        <v>2104</v>
      </c>
      <c r="BI20" s="78">
        <f t="shared" si="6"/>
        <v>315600</v>
      </c>
      <c r="BJ20" s="362" t="s">
        <v>224</v>
      </c>
      <c r="BL20" s="98"/>
      <c r="BM20" s="98">
        <f>BI20</f>
        <v>315600</v>
      </c>
      <c r="BN20" s="98"/>
      <c r="BO20" s="98"/>
      <c r="BP20" s="98">
        <f>BL20+BM20+BN20+BO20</f>
        <v>315600</v>
      </c>
      <c r="BQ20" s="98"/>
      <c r="BR20" s="98"/>
      <c r="BS20" s="98"/>
      <c r="BT20" s="102">
        <f t="shared" si="1"/>
        <v>315600</v>
      </c>
    </row>
    <row r="21" spans="1:72" s="90" customFormat="1" ht="15.75">
      <c r="A21" s="323" t="s">
        <v>614</v>
      </c>
      <c r="B21" s="362" t="s">
        <v>651</v>
      </c>
      <c r="C21" s="312">
        <v>100</v>
      </c>
      <c r="D21" s="79">
        <f>BH21</f>
        <v>11064</v>
      </c>
      <c r="E21" s="76">
        <f>D21*C21</f>
        <v>1106400</v>
      </c>
      <c r="F21" s="76">
        <f>E21*0.2</f>
        <v>221280</v>
      </c>
      <c r="G21" s="76">
        <f>E21*0.8</f>
        <v>885120</v>
      </c>
      <c r="H21" s="76"/>
      <c r="I21" s="76"/>
      <c r="J21" s="76"/>
      <c r="K21" s="76"/>
      <c r="L21" s="76"/>
      <c r="M21" s="76"/>
      <c r="N21" s="76"/>
      <c r="O21" s="76"/>
      <c r="P21" s="298">
        <f>D21*0.25</f>
        <v>2766</v>
      </c>
      <c r="Q21" s="298">
        <f>D21*0.25</f>
        <v>2766</v>
      </c>
      <c r="R21" s="298">
        <f>D21*0.25</f>
        <v>2766</v>
      </c>
      <c r="S21" s="298">
        <f>D21*0.25</f>
        <v>2766</v>
      </c>
      <c r="T21" s="76">
        <f>P21*C21</f>
        <v>276600</v>
      </c>
      <c r="U21" s="76">
        <f>Q21*C21</f>
        <v>276600</v>
      </c>
      <c r="V21" s="76">
        <f>R21*C21</f>
        <v>276600</v>
      </c>
      <c r="W21" s="76">
        <f>S21*C21</f>
        <v>276600</v>
      </c>
      <c r="X21" s="76">
        <f>196*0.5*5</f>
        <v>490</v>
      </c>
      <c r="Y21" s="76">
        <f>X21*C21</f>
        <v>49000</v>
      </c>
      <c r="Z21" s="76">
        <f>127*0.5*5</f>
        <v>317.5</v>
      </c>
      <c r="AA21" s="76">
        <f>Z21*C21</f>
        <v>31750</v>
      </c>
      <c r="AB21" s="76">
        <f>193*0.5*5</f>
        <v>482.5</v>
      </c>
      <c r="AC21" s="76">
        <f>AB21*C21</f>
        <v>48250</v>
      </c>
      <c r="AD21" s="76">
        <f>387*0.5*5</f>
        <v>967.5</v>
      </c>
      <c r="AE21" s="76">
        <f>AD21*C21</f>
        <v>96750</v>
      </c>
      <c r="AF21" s="76">
        <f>138*0.5*5</f>
        <v>345</v>
      </c>
      <c r="AG21" s="76">
        <f>AF21*C21</f>
        <v>34500</v>
      </c>
      <c r="AH21" s="76">
        <f>186*0.5*5</f>
        <v>465</v>
      </c>
      <c r="AI21" s="76">
        <f>C21*AH21</f>
        <v>46500</v>
      </c>
      <c r="AJ21" s="76">
        <f>147*0.5*5</f>
        <v>367.5</v>
      </c>
      <c r="AK21" s="76">
        <f>C21*AJ21</f>
        <v>36750</v>
      </c>
      <c r="AL21" s="76">
        <f>616*0.35*5</f>
        <v>1078</v>
      </c>
      <c r="AM21" s="76">
        <f>C21*AL21</f>
        <v>107800</v>
      </c>
      <c r="AN21" s="76">
        <f>79*0.6*5</f>
        <v>237</v>
      </c>
      <c r="AO21" s="76">
        <f>AN21*C21</f>
        <v>23700</v>
      </c>
      <c r="AP21" s="76">
        <f>204*0.5*5</f>
        <v>510</v>
      </c>
      <c r="AQ21" s="76">
        <f>AP21*C21</f>
        <v>51000</v>
      </c>
      <c r="AR21" s="76">
        <f>345*0.5*5</f>
        <v>862.5</v>
      </c>
      <c r="AS21" s="76">
        <f>AR21*C21</f>
        <v>86250</v>
      </c>
      <c r="AT21" s="76">
        <f>251*0.5*5</f>
        <v>627.5</v>
      </c>
      <c r="AU21" s="76">
        <f>AT21*C21</f>
        <v>62750</v>
      </c>
      <c r="AV21" s="76">
        <f>776*0.3*5</f>
        <v>1164</v>
      </c>
      <c r="AW21" s="76">
        <f>AV21*C21</f>
        <v>116400</v>
      </c>
      <c r="AX21" s="76">
        <f>528*0.4*5</f>
        <v>1056</v>
      </c>
      <c r="AY21" s="76">
        <f>AX21*C21</f>
        <v>105600</v>
      </c>
      <c r="AZ21" s="76">
        <f>151*0.5*5</f>
        <v>377.5</v>
      </c>
      <c r="BA21" s="76">
        <f>C21*AZ21</f>
        <v>37750</v>
      </c>
      <c r="BB21" s="76">
        <f>731*0.3*5</f>
        <v>1096.5</v>
      </c>
      <c r="BC21" s="76">
        <f>BB21*C21</f>
        <v>109650</v>
      </c>
      <c r="BD21" s="76">
        <f>248*0.5*5</f>
        <v>620</v>
      </c>
      <c r="BE21" s="76">
        <f>BD21*C21</f>
        <v>62000</v>
      </c>
      <c r="BF21" s="76">
        <v>0</v>
      </c>
      <c r="BG21" s="76">
        <f>BF21*C21</f>
        <v>0</v>
      </c>
      <c r="BH21" s="78">
        <f t="shared" si="6"/>
        <v>11064</v>
      </c>
      <c r="BI21" s="78">
        <f t="shared" si="6"/>
        <v>1106400</v>
      </c>
      <c r="BJ21" s="362" t="s">
        <v>224</v>
      </c>
      <c r="BL21" s="98"/>
      <c r="BM21" s="98">
        <f>BI21</f>
        <v>1106400</v>
      </c>
      <c r="BN21" s="98">
        <v>0</v>
      </c>
      <c r="BO21" s="98">
        <v>0</v>
      </c>
      <c r="BP21" s="98">
        <f>BL21+BM21+BN21+BO21</f>
        <v>1106400</v>
      </c>
      <c r="BQ21" s="98">
        <v>0</v>
      </c>
      <c r="BR21" s="98">
        <v>0</v>
      </c>
      <c r="BS21" s="98">
        <f>BQ21+BR21</f>
        <v>0</v>
      </c>
      <c r="BT21" s="102">
        <f t="shared" si="1"/>
        <v>1106400</v>
      </c>
    </row>
    <row r="22" spans="1:72" s="90" customFormat="1" ht="15.75">
      <c r="A22" s="323" t="s">
        <v>615</v>
      </c>
      <c r="B22" s="362" t="s">
        <v>651</v>
      </c>
      <c r="C22" s="312">
        <v>100</v>
      </c>
      <c r="D22" s="79">
        <f>BH22</f>
        <v>4311.2</v>
      </c>
      <c r="E22" s="76">
        <f>D22*C22</f>
        <v>431120</v>
      </c>
      <c r="F22" s="76">
        <f>E22*0.2</f>
        <v>86224</v>
      </c>
      <c r="G22" s="76">
        <f>E22*0.8</f>
        <v>344896</v>
      </c>
      <c r="H22" s="76"/>
      <c r="I22" s="76"/>
      <c r="J22" s="76"/>
      <c r="K22" s="76"/>
      <c r="L22" s="76"/>
      <c r="M22" s="76"/>
      <c r="N22" s="76"/>
      <c r="O22" s="76"/>
      <c r="P22" s="298">
        <f>D22*0.25</f>
        <v>1077.8</v>
      </c>
      <c r="Q22" s="298">
        <f>D22*0.25</f>
        <v>1077.8</v>
      </c>
      <c r="R22" s="298">
        <f>D22*0.25</f>
        <v>1077.8</v>
      </c>
      <c r="S22" s="298">
        <f>D22*0.25</f>
        <v>1077.8</v>
      </c>
      <c r="T22" s="76">
        <f>P22*C22</f>
        <v>107780</v>
      </c>
      <c r="U22" s="76">
        <f>Q22*C22</f>
        <v>107780</v>
      </c>
      <c r="V22" s="76">
        <f>R22*C22</f>
        <v>107780</v>
      </c>
      <c r="W22" s="76">
        <f>S22*C22</f>
        <v>107780</v>
      </c>
      <c r="X22" s="76">
        <f>196*0.5*2</f>
        <v>196</v>
      </c>
      <c r="Y22" s="76">
        <f>X22*C22</f>
        <v>19600</v>
      </c>
      <c r="Z22" s="76">
        <f>127*0.5*2</f>
        <v>127</v>
      </c>
      <c r="AA22" s="76">
        <f>Z22*C22</f>
        <v>12700</v>
      </c>
      <c r="AB22" s="76">
        <f>193*0.5*2</f>
        <v>193</v>
      </c>
      <c r="AC22" s="76">
        <f>AB22*C22</f>
        <v>19300</v>
      </c>
      <c r="AD22" s="76">
        <f>387*0.5*2</f>
        <v>387</v>
      </c>
      <c r="AE22" s="76">
        <f>AD22*C22</f>
        <v>38700</v>
      </c>
      <c r="AF22" s="76">
        <f>138*0.5*2</f>
        <v>138</v>
      </c>
      <c r="AG22" s="76">
        <f>AF22*C22</f>
        <v>13800</v>
      </c>
      <c r="AH22" s="76">
        <f>186*0.5*2</f>
        <v>186</v>
      </c>
      <c r="AI22" s="76">
        <f>C22*AH22</f>
        <v>18600</v>
      </c>
      <c r="AJ22" s="76">
        <f>147*0.5*2</f>
        <v>147</v>
      </c>
      <c r="AK22" s="76">
        <f>C22*AJ22</f>
        <v>14700</v>
      </c>
      <c r="AL22" s="76">
        <f>616*0.3*2</f>
        <v>369.59999999999997</v>
      </c>
      <c r="AM22" s="76">
        <f>C22*AL22</f>
        <v>36960</v>
      </c>
      <c r="AN22" s="76">
        <f>79*0.6*2</f>
        <v>94.8</v>
      </c>
      <c r="AO22" s="76">
        <f>AN22*C22</f>
        <v>9480</v>
      </c>
      <c r="AP22" s="76">
        <f>204*0.5*2</f>
        <v>204</v>
      </c>
      <c r="AQ22" s="76">
        <f>AP22*C22</f>
        <v>20400</v>
      </c>
      <c r="AR22" s="76">
        <f>345*0.5*2</f>
        <v>345</v>
      </c>
      <c r="AS22" s="76">
        <f>AR22*C22</f>
        <v>34500</v>
      </c>
      <c r="AT22" s="76">
        <f>251*0.5*2</f>
        <v>251</v>
      </c>
      <c r="AU22" s="76">
        <f>AT22*C22</f>
        <v>25100</v>
      </c>
      <c r="AV22" s="76">
        <f>776*0.3*2</f>
        <v>465.59999999999997</v>
      </c>
      <c r="AW22" s="76">
        <f>AV22*C22</f>
        <v>46560</v>
      </c>
      <c r="AX22" s="76">
        <f>528*0.35*2</f>
        <v>369.59999999999997</v>
      </c>
      <c r="AY22" s="76">
        <f>AX22*C22</f>
        <v>36960</v>
      </c>
      <c r="AZ22" s="76">
        <f>151*0.5*2</f>
        <v>151</v>
      </c>
      <c r="BA22" s="76">
        <f>C22*AZ22</f>
        <v>15100</v>
      </c>
      <c r="BB22" s="76">
        <f>731*0.3*2</f>
        <v>438.59999999999997</v>
      </c>
      <c r="BC22" s="76">
        <f>BB22*C22</f>
        <v>43860</v>
      </c>
      <c r="BD22" s="76">
        <f>248*0.5*2</f>
        <v>248</v>
      </c>
      <c r="BE22" s="76">
        <f>BD22*C22</f>
        <v>24800</v>
      </c>
      <c r="BF22" s="76">
        <v>0</v>
      </c>
      <c r="BG22" s="76">
        <f>BF22*C22</f>
        <v>0</v>
      </c>
      <c r="BH22" s="78">
        <f t="shared" si="6"/>
        <v>4311.2</v>
      </c>
      <c r="BI22" s="78">
        <f t="shared" si="6"/>
        <v>431120</v>
      </c>
      <c r="BJ22" s="362" t="s">
        <v>224</v>
      </c>
      <c r="BL22" s="98"/>
      <c r="BM22" s="98">
        <f>BI22</f>
        <v>431120</v>
      </c>
      <c r="BN22" s="98">
        <v>0</v>
      </c>
      <c r="BO22" s="98">
        <v>0</v>
      </c>
      <c r="BP22" s="98">
        <f>BL22+BM22+BN22+BO22</f>
        <v>431120</v>
      </c>
      <c r="BQ22" s="98">
        <v>0</v>
      </c>
      <c r="BR22" s="98">
        <v>0</v>
      </c>
      <c r="BS22" s="98">
        <f>BQ22+BR22</f>
        <v>0</v>
      </c>
      <c r="BT22" s="102">
        <f t="shared" si="1"/>
        <v>431120</v>
      </c>
    </row>
    <row r="23" spans="1:72" s="90" customFormat="1" ht="15.75">
      <c r="A23" s="323" t="s">
        <v>616</v>
      </c>
      <c r="B23" s="362" t="s">
        <v>651</v>
      </c>
      <c r="C23" s="312">
        <v>100</v>
      </c>
      <c r="D23" s="79">
        <f>BH23</f>
        <v>2155.6</v>
      </c>
      <c r="E23" s="76">
        <f>D23*C23</f>
        <v>215560</v>
      </c>
      <c r="F23" s="76">
        <f>E23*0.2</f>
        <v>43112</v>
      </c>
      <c r="G23" s="76">
        <f>E23*0.8</f>
        <v>172448</v>
      </c>
      <c r="H23" s="76"/>
      <c r="I23" s="76"/>
      <c r="J23" s="76"/>
      <c r="K23" s="76"/>
      <c r="L23" s="76"/>
      <c r="M23" s="76"/>
      <c r="N23" s="76"/>
      <c r="O23" s="76"/>
      <c r="P23" s="298">
        <f>D23*0.25</f>
        <v>538.9</v>
      </c>
      <c r="Q23" s="298">
        <f>D23*0.25</f>
        <v>538.9</v>
      </c>
      <c r="R23" s="298">
        <f>D23*0.25</f>
        <v>538.9</v>
      </c>
      <c r="S23" s="298">
        <f>D23*0.25</f>
        <v>538.9</v>
      </c>
      <c r="T23" s="76">
        <f>P23*C23</f>
        <v>53890</v>
      </c>
      <c r="U23" s="76">
        <f>Q23*C23</f>
        <v>53890</v>
      </c>
      <c r="V23" s="76">
        <f>R23*C23</f>
        <v>53890</v>
      </c>
      <c r="W23" s="76">
        <f>S23*C23</f>
        <v>53890</v>
      </c>
      <c r="X23" s="76">
        <f>196*0.5*1</f>
        <v>98</v>
      </c>
      <c r="Y23" s="76">
        <f>X23*C23</f>
        <v>9800</v>
      </c>
      <c r="Z23" s="76">
        <f>127*0.5*1</f>
        <v>63.5</v>
      </c>
      <c r="AA23" s="76">
        <f>Z23*C23</f>
        <v>6350</v>
      </c>
      <c r="AB23" s="76">
        <f>193*0.5*1</f>
        <v>96.5</v>
      </c>
      <c r="AC23" s="76">
        <f>AB23*C23</f>
        <v>9650</v>
      </c>
      <c r="AD23" s="76">
        <f>387*0.5*1</f>
        <v>193.5</v>
      </c>
      <c r="AE23" s="76">
        <f>AD23*C23</f>
        <v>19350</v>
      </c>
      <c r="AF23" s="76">
        <f>138*0.5*1</f>
        <v>69</v>
      </c>
      <c r="AG23" s="76">
        <f>AF23*C23</f>
        <v>6900</v>
      </c>
      <c r="AH23" s="76">
        <f>186*0.5*1</f>
        <v>93</v>
      </c>
      <c r="AI23" s="76">
        <f>C23*AH23</f>
        <v>9300</v>
      </c>
      <c r="AJ23" s="76">
        <f>147*0.5*1</f>
        <v>73.5</v>
      </c>
      <c r="AK23" s="76">
        <f>C23*AJ23</f>
        <v>7350</v>
      </c>
      <c r="AL23" s="76">
        <f>616*0.3*1</f>
        <v>184.79999999999998</v>
      </c>
      <c r="AM23" s="76">
        <f>C23*AL23</f>
        <v>18480</v>
      </c>
      <c r="AN23" s="76">
        <f>79*0.6*1</f>
        <v>47.4</v>
      </c>
      <c r="AO23" s="76">
        <f>AN23*C23</f>
        <v>4740</v>
      </c>
      <c r="AP23" s="76">
        <f>204*0.5*1</f>
        <v>102</v>
      </c>
      <c r="AQ23" s="76">
        <f>AP23*C23</f>
        <v>10200</v>
      </c>
      <c r="AR23" s="76">
        <f>345*0.5*1</f>
        <v>172.5</v>
      </c>
      <c r="AS23" s="76">
        <f>AR23*C23</f>
        <v>17250</v>
      </c>
      <c r="AT23" s="76">
        <f>251*0.5*1</f>
        <v>125.5</v>
      </c>
      <c r="AU23" s="76">
        <f>AT23*C23</f>
        <v>12550</v>
      </c>
      <c r="AV23" s="76">
        <f>776*0.3*1</f>
        <v>232.79999999999998</v>
      </c>
      <c r="AW23" s="76">
        <f>AV23*C23</f>
        <v>23280</v>
      </c>
      <c r="AX23" s="76">
        <f>528*0.35*1</f>
        <v>184.79999999999998</v>
      </c>
      <c r="AY23" s="76">
        <f>AX23*C23</f>
        <v>18480</v>
      </c>
      <c r="AZ23" s="76">
        <f>151*0.5*1</f>
        <v>75.5</v>
      </c>
      <c r="BA23" s="76">
        <f>C23*AZ23</f>
        <v>7550</v>
      </c>
      <c r="BB23" s="76">
        <f>731*0.3*1</f>
        <v>219.29999999999998</v>
      </c>
      <c r="BC23" s="76">
        <f>BB23*C23</f>
        <v>21930</v>
      </c>
      <c r="BD23" s="76">
        <f>248*0.5*1</f>
        <v>124</v>
      </c>
      <c r="BE23" s="76">
        <f>BD23*C23</f>
        <v>12400</v>
      </c>
      <c r="BF23" s="76">
        <v>0</v>
      </c>
      <c r="BG23" s="76">
        <f>BF23*C23</f>
        <v>0</v>
      </c>
      <c r="BH23" s="78">
        <f t="shared" si="6"/>
        <v>2155.6</v>
      </c>
      <c r="BI23" s="78">
        <f t="shared" si="6"/>
        <v>215560</v>
      </c>
      <c r="BJ23" s="362" t="s">
        <v>224</v>
      </c>
      <c r="BL23" s="98"/>
      <c r="BM23" s="98">
        <f>BI23</f>
        <v>215560</v>
      </c>
      <c r="BN23" s="98">
        <v>0</v>
      </c>
      <c r="BO23" s="98">
        <v>0</v>
      </c>
      <c r="BP23" s="98">
        <f>BL23+BM23+BN23+BO23</f>
        <v>215560</v>
      </c>
      <c r="BQ23" s="98">
        <v>0</v>
      </c>
      <c r="BR23" s="98">
        <v>0</v>
      </c>
      <c r="BS23" s="98">
        <f>BQ23+BR23</f>
        <v>0</v>
      </c>
      <c r="BT23" s="102">
        <f t="shared" si="1"/>
        <v>215560</v>
      </c>
    </row>
    <row r="24" spans="1:72" s="226" customFormat="1" ht="15.75">
      <c r="A24" s="336" t="s">
        <v>617</v>
      </c>
      <c r="B24" s="364" t="s">
        <v>121</v>
      </c>
      <c r="C24" s="347" t="s">
        <v>121</v>
      </c>
      <c r="D24" s="429">
        <f>SUM(D19:D23)</f>
        <v>19838.8</v>
      </c>
      <c r="E24" s="429">
        <f t="shared" ref="E24:BP24" si="7">SUM(E19:E23)</f>
        <v>2170680</v>
      </c>
      <c r="F24" s="429">
        <f t="shared" si="7"/>
        <v>434136</v>
      </c>
      <c r="G24" s="429">
        <f t="shared" si="7"/>
        <v>1736544</v>
      </c>
      <c r="H24" s="429">
        <f t="shared" si="7"/>
        <v>0</v>
      </c>
      <c r="I24" s="429">
        <f t="shared" si="7"/>
        <v>0</v>
      </c>
      <c r="J24" s="429">
        <f t="shared" si="7"/>
        <v>0</v>
      </c>
      <c r="K24" s="429">
        <f t="shared" si="7"/>
        <v>0</v>
      </c>
      <c r="L24" s="429">
        <f t="shared" si="7"/>
        <v>0</v>
      </c>
      <c r="M24" s="429">
        <f t="shared" si="7"/>
        <v>0</v>
      </c>
      <c r="N24" s="429">
        <f t="shared" si="7"/>
        <v>0</v>
      </c>
      <c r="O24" s="429">
        <f t="shared" si="7"/>
        <v>0</v>
      </c>
      <c r="P24" s="429">
        <f t="shared" si="7"/>
        <v>4959.7</v>
      </c>
      <c r="Q24" s="429">
        <f t="shared" si="7"/>
        <v>4959.7</v>
      </c>
      <c r="R24" s="429">
        <f t="shared" si="7"/>
        <v>4959.7</v>
      </c>
      <c r="S24" s="429">
        <f t="shared" si="7"/>
        <v>4959.7</v>
      </c>
      <c r="T24" s="429">
        <f t="shared" si="7"/>
        <v>542670</v>
      </c>
      <c r="U24" s="429">
        <f t="shared" si="7"/>
        <v>542670</v>
      </c>
      <c r="V24" s="429">
        <f t="shared" si="7"/>
        <v>542670</v>
      </c>
      <c r="W24" s="429">
        <f t="shared" si="7"/>
        <v>542670</v>
      </c>
      <c r="X24" s="429">
        <f t="shared" si="7"/>
        <v>904</v>
      </c>
      <c r="Y24" s="429">
        <f t="shared" si="7"/>
        <v>96400</v>
      </c>
      <c r="Z24" s="429">
        <f t="shared" si="7"/>
        <v>600</v>
      </c>
      <c r="AA24" s="429">
        <f t="shared" si="7"/>
        <v>64600</v>
      </c>
      <c r="AB24" s="429">
        <f t="shared" si="7"/>
        <v>892</v>
      </c>
      <c r="AC24" s="429">
        <f t="shared" si="7"/>
        <v>95200</v>
      </c>
      <c r="AD24" s="429">
        <f t="shared" si="7"/>
        <v>1752</v>
      </c>
      <c r="AE24" s="429">
        <f t="shared" si="7"/>
        <v>185400</v>
      </c>
      <c r="AF24" s="429">
        <f t="shared" si="7"/>
        <v>636</v>
      </c>
      <c r="AG24" s="429">
        <f t="shared" si="7"/>
        <v>67800</v>
      </c>
      <c r="AH24" s="429">
        <f t="shared" si="7"/>
        <v>864</v>
      </c>
      <c r="AI24" s="429">
        <f t="shared" si="7"/>
        <v>92400</v>
      </c>
      <c r="AJ24" s="429">
        <f t="shared" si="7"/>
        <v>708</v>
      </c>
      <c r="AK24" s="429">
        <f t="shared" si="7"/>
        <v>76800</v>
      </c>
      <c r="AL24" s="429">
        <f t="shared" si="7"/>
        <v>1792.3999999999999</v>
      </c>
      <c r="AM24" s="429">
        <f t="shared" si="7"/>
        <v>187240</v>
      </c>
      <c r="AN24" s="429">
        <f t="shared" si="7"/>
        <v>403.2</v>
      </c>
      <c r="AO24" s="429">
        <f t="shared" si="7"/>
        <v>41520</v>
      </c>
      <c r="AP24" s="429">
        <f t="shared" si="7"/>
        <v>936</v>
      </c>
      <c r="AQ24" s="429">
        <f t="shared" si="7"/>
        <v>99600</v>
      </c>
      <c r="AR24" s="429">
        <f t="shared" si="7"/>
        <v>1500</v>
      </c>
      <c r="AS24" s="429">
        <f t="shared" si="7"/>
        <v>156000</v>
      </c>
      <c r="AT24" s="429">
        <f t="shared" si="7"/>
        <v>1124</v>
      </c>
      <c r="AU24" s="429">
        <f t="shared" si="7"/>
        <v>118400</v>
      </c>
      <c r="AV24" s="429">
        <f t="shared" si="7"/>
        <v>1982.3999999999999</v>
      </c>
      <c r="AW24" s="429">
        <f t="shared" si="7"/>
        <v>204240</v>
      </c>
      <c r="AX24" s="429">
        <f t="shared" si="7"/>
        <v>1730.3999999999999</v>
      </c>
      <c r="AY24" s="429">
        <f t="shared" si="7"/>
        <v>179040</v>
      </c>
      <c r="AZ24" s="429">
        <f t="shared" si="7"/>
        <v>744</v>
      </c>
      <c r="BA24" s="429">
        <f t="shared" si="7"/>
        <v>81400</v>
      </c>
      <c r="BB24" s="429">
        <f t="shared" si="7"/>
        <v>1954.3999999999999</v>
      </c>
      <c r="BC24" s="429">
        <f t="shared" si="7"/>
        <v>205440</v>
      </c>
      <c r="BD24" s="429">
        <f t="shared" si="7"/>
        <v>1112</v>
      </c>
      <c r="BE24" s="429">
        <f t="shared" si="7"/>
        <v>117200</v>
      </c>
      <c r="BF24" s="429">
        <f t="shared" si="7"/>
        <v>204</v>
      </c>
      <c r="BG24" s="429">
        <f t="shared" si="7"/>
        <v>102000</v>
      </c>
      <c r="BH24" s="429">
        <f t="shared" si="7"/>
        <v>19838.8</v>
      </c>
      <c r="BI24" s="429">
        <f t="shared" si="7"/>
        <v>2170680</v>
      </c>
      <c r="BJ24" s="429">
        <f t="shared" si="7"/>
        <v>0</v>
      </c>
      <c r="BK24" s="429">
        <f t="shared" si="7"/>
        <v>0</v>
      </c>
      <c r="BL24" s="429">
        <f t="shared" si="7"/>
        <v>0</v>
      </c>
      <c r="BM24" s="429">
        <f t="shared" si="7"/>
        <v>2170680</v>
      </c>
      <c r="BN24" s="429">
        <f t="shared" si="7"/>
        <v>0</v>
      </c>
      <c r="BO24" s="429">
        <f t="shared" si="7"/>
        <v>0</v>
      </c>
      <c r="BP24" s="429">
        <f t="shared" si="7"/>
        <v>2170680</v>
      </c>
      <c r="BQ24" s="429">
        <f>SUM(BQ19:BQ23)</f>
        <v>0</v>
      </c>
      <c r="BR24" s="429">
        <f>SUM(BR19:BR23)</f>
        <v>0</v>
      </c>
      <c r="BS24" s="429">
        <f>SUM(BS19:BS23)</f>
        <v>0</v>
      </c>
      <c r="BT24" s="429">
        <f>SUM(BT19:BT23)</f>
        <v>2170680</v>
      </c>
    </row>
    <row r="25" spans="1:72" s="226" customFormat="1" ht="15.75">
      <c r="A25" s="332" t="s">
        <v>831</v>
      </c>
      <c r="B25" s="362"/>
      <c r="C25" s="362"/>
      <c r="D25" s="276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387"/>
      <c r="Q25" s="387"/>
      <c r="R25" s="387"/>
      <c r="S25" s="387"/>
      <c r="T25" s="241"/>
      <c r="U25" s="241"/>
      <c r="V25" s="241"/>
      <c r="W25" s="241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8"/>
      <c r="BI25" s="162"/>
      <c r="BJ25" s="362"/>
      <c r="BL25" s="241"/>
      <c r="BM25" s="241"/>
      <c r="BN25" s="241"/>
      <c r="BO25" s="241"/>
      <c r="BP25" s="241"/>
      <c r="BQ25" s="241"/>
      <c r="BR25" s="241"/>
      <c r="BS25" s="241"/>
      <c r="BT25" s="380"/>
    </row>
    <row r="26" spans="1:72" s="90" customFormat="1" ht="15.75">
      <c r="A26" s="323" t="s">
        <v>618</v>
      </c>
      <c r="B26" s="362" t="s">
        <v>651</v>
      </c>
      <c r="C26" s="546">
        <v>500</v>
      </c>
      <c r="D26" s="79">
        <f>BH26</f>
        <v>102</v>
      </c>
      <c r="E26" s="76">
        <f>D26*C26</f>
        <v>51000</v>
      </c>
      <c r="F26" s="76">
        <f>E26*0.2</f>
        <v>10200</v>
      </c>
      <c r="G26" s="76">
        <f>E26*0.8</f>
        <v>40800</v>
      </c>
      <c r="H26" s="76"/>
      <c r="I26" s="76"/>
      <c r="J26" s="76"/>
      <c r="K26" s="76"/>
      <c r="L26" s="76"/>
      <c r="M26" s="76"/>
      <c r="N26" s="76"/>
      <c r="O26" s="76"/>
      <c r="P26" s="298">
        <f>D26*0.25</f>
        <v>25.5</v>
      </c>
      <c r="Q26" s="298">
        <f>D26*0.25</f>
        <v>25.5</v>
      </c>
      <c r="R26" s="298">
        <f>D26*0.25</f>
        <v>25.5</v>
      </c>
      <c r="S26" s="298">
        <f>D26*0.25</f>
        <v>25.5</v>
      </c>
      <c r="T26" s="76">
        <f>P26*C26</f>
        <v>12750</v>
      </c>
      <c r="U26" s="76">
        <f>Q26*C26</f>
        <v>12750</v>
      </c>
      <c r="V26" s="76">
        <f>R26*C26</f>
        <v>12750</v>
      </c>
      <c r="W26" s="76">
        <f>S26*C26</f>
        <v>12750</v>
      </c>
      <c r="X26" s="76">
        <v>0</v>
      </c>
      <c r="Y26" s="76">
        <f>X26*C26</f>
        <v>0</v>
      </c>
      <c r="Z26" s="76">
        <v>0</v>
      </c>
      <c r="AA26" s="76">
        <f>Z26*C26</f>
        <v>0</v>
      </c>
      <c r="AB26" s="76">
        <v>0</v>
      </c>
      <c r="AC26" s="76">
        <f>AB26*C26</f>
        <v>0</v>
      </c>
      <c r="AD26" s="76">
        <v>0</v>
      </c>
      <c r="AE26" s="76">
        <f>AD26*C26</f>
        <v>0</v>
      </c>
      <c r="AF26" s="76">
        <v>0</v>
      </c>
      <c r="AG26" s="76">
        <f>AF26*C26</f>
        <v>0</v>
      </c>
      <c r="AH26" s="76">
        <v>0</v>
      </c>
      <c r="AI26" s="76">
        <f>C26*AH26</f>
        <v>0</v>
      </c>
      <c r="AJ26" s="76">
        <v>0</v>
      </c>
      <c r="AK26" s="76">
        <f>C26*AJ26</f>
        <v>0</v>
      </c>
      <c r="AL26" s="76">
        <v>0</v>
      </c>
      <c r="AM26" s="76">
        <f>C26*AL26</f>
        <v>0</v>
      </c>
      <c r="AN26" s="76">
        <v>0</v>
      </c>
      <c r="AO26" s="76">
        <f>AN26*C26</f>
        <v>0</v>
      </c>
      <c r="AP26" s="76">
        <v>0</v>
      </c>
      <c r="AQ26" s="76">
        <f>AP26*C26</f>
        <v>0</v>
      </c>
      <c r="AR26" s="76">
        <v>0</v>
      </c>
      <c r="AS26" s="76">
        <f>AR26*C26</f>
        <v>0</v>
      </c>
      <c r="AT26" s="76">
        <v>0</v>
      </c>
      <c r="AU26" s="76">
        <f>AT26*C26</f>
        <v>0</v>
      </c>
      <c r="AV26" s="76">
        <v>0</v>
      </c>
      <c r="AW26" s="76">
        <f>AV26*C26</f>
        <v>0</v>
      </c>
      <c r="AX26" s="76">
        <v>0</v>
      </c>
      <c r="AY26" s="76">
        <f>AX26*C26</f>
        <v>0</v>
      </c>
      <c r="AZ26" s="76">
        <v>0</v>
      </c>
      <c r="BA26" s="76">
        <f>C26*AZ26</f>
        <v>0</v>
      </c>
      <c r="BB26" s="76">
        <v>0</v>
      </c>
      <c r="BC26" s="76">
        <f>BB26*C26</f>
        <v>0</v>
      </c>
      <c r="BD26" s="76">
        <v>0</v>
      </c>
      <c r="BE26" s="76">
        <f>BD26*C26</f>
        <v>0</v>
      </c>
      <c r="BF26" s="76">
        <f>17*3*2</f>
        <v>102</v>
      </c>
      <c r="BG26" s="76">
        <f>BF26*C26</f>
        <v>51000</v>
      </c>
      <c r="BH26" s="78">
        <f t="shared" ref="BH26:BI30" si="8">BF26+BD26+BB26+AZ26+AX26+AV26+AT26+AR26+AP26+AN26+AL26+AJ26+AH26+AF26+AD26+AB26+Z26+X26</f>
        <v>102</v>
      </c>
      <c r="BI26" s="78">
        <f t="shared" si="8"/>
        <v>51000</v>
      </c>
      <c r="BJ26" s="362" t="s">
        <v>224</v>
      </c>
      <c r="BL26" s="98"/>
      <c r="BM26" s="98">
        <f>BI26</f>
        <v>51000</v>
      </c>
      <c r="BN26" s="98"/>
      <c r="BO26" s="98"/>
      <c r="BP26" s="98">
        <f>BL26+BM26+BN26+BO26</f>
        <v>51000</v>
      </c>
      <c r="BQ26" s="98"/>
      <c r="BR26" s="98"/>
      <c r="BS26" s="98"/>
      <c r="BT26" s="102">
        <f t="shared" si="1"/>
        <v>51000</v>
      </c>
    </row>
    <row r="27" spans="1:72" s="90" customFormat="1" ht="15.75">
      <c r="A27" s="323" t="s">
        <v>619</v>
      </c>
      <c r="B27" s="362" t="s">
        <v>651</v>
      </c>
      <c r="C27" s="312">
        <v>150</v>
      </c>
      <c r="D27" s="79">
        <f>BH27</f>
        <v>1052</v>
      </c>
      <c r="E27" s="76">
        <f>D27*C27</f>
        <v>157800</v>
      </c>
      <c r="F27" s="76">
        <f>E27*0.2</f>
        <v>31560</v>
      </c>
      <c r="G27" s="76">
        <f>E27*0.8</f>
        <v>126240</v>
      </c>
      <c r="H27" s="76"/>
      <c r="I27" s="76"/>
      <c r="J27" s="76"/>
      <c r="K27" s="76"/>
      <c r="L27" s="76"/>
      <c r="M27" s="76"/>
      <c r="N27" s="76"/>
      <c r="O27" s="76"/>
      <c r="P27" s="298">
        <f>D27*0.25</f>
        <v>263</v>
      </c>
      <c r="Q27" s="298">
        <f>D27*0.25</f>
        <v>263</v>
      </c>
      <c r="R27" s="298">
        <f>D27*0.25</f>
        <v>263</v>
      </c>
      <c r="S27" s="298">
        <f>D27*0.25</f>
        <v>263</v>
      </c>
      <c r="T27" s="76">
        <f>P27*C27</f>
        <v>39450</v>
      </c>
      <c r="U27" s="76">
        <f>Q27*C27</f>
        <v>39450</v>
      </c>
      <c r="V27" s="76">
        <f>R27*C27</f>
        <v>39450</v>
      </c>
      <c r="W27" s="76">
        <f>S27*C27</f>
        <v>39450</v>
      </c>
      <c r="X27" s="76">
        <f>30*2</f>
        <v>60</v>
      </c>
      <c r="Y27" s="76">
        <f>X27*C27</f>
        <v>9000</v>
      </c>
      <c r="Z27" s="76">
        <f>23*2</f>
        <v>46</v>
      </c>
      <c r="AA27" s="76">
        <f>Z27*C27</f>
        <v>6900</v>
      </c>
      <c r="AB27" s="76">
        <f>30*2</f>
        <v>60</v>
      </c>
      <c r="AC27" s="76">
        <f>AB27*C27</f>
        <v>9000</v>
      </c>
      <c r="AD27" s="76">
        <f>51*2</f>
        <v>102</v>
      </c>
      <c r="AE27" s="76">
        <f>AD27*C27</f>
        <v>15300</v>
      </c>
      <c r="AF27" s="76">
        <f>21*2</f>
        <v>42</v>
      </c>
      <c r="AG27" s="76">
        <f>AF27*C27</f>
        <v>6300</v>
      </c>
      <c r="AH27" s="76">
        <f>30*2</f>
        <v>60</v>
      </c>
      <c r="AI27" s="76">
        <f>C27*AH27</f>
        <v>9000</v>
      </c>
      <c r="AJ27" s="76">
        <f>30*2</f>
        <v>60</v>
      </c>
      <c r="AK27" s="76">
        <f>C27*AJ27</f>
        <v>9000</v>
      </c>
      <c r="AL27" s="76">
        <f>40*2</f>
        <v>80</v>
      </c>
      <c r="AM27" s="76">
        <f>C27*AL27</f>
        <v>12000</v>
      </c>
      <c r="AN27" s="76">
        <f>6*2</f>
        <v>12</v>
      </c>
      <c r="AO27" s="76">
        <f>AN27*C27</f>
        <v>1800</v>
      </c>
      <c r="AP27" s="76">
        <f>30*2</f>
        <v>60</v>
      </c>
      <c r="AQ27" s="76">
        <f>AP27*C27</f>
        <v>9000</v>
      </c>
      <c r="AR27" s="76">
        <f>30*2</f>
        <v>60</v>
      </c>
      <c r="AS27" s="76">
        <f>AR27*C27</f>
        <v>9000</v>
      </c>
      <c r="AT27" s="76">
        <f>30*2</f>
        <v>60</v>
      </c>
      <c r="AU27" s="76">
        <f>AT27*C27</f>
        <v>9000</v>
      </c>
      <c r="AV27" s="76">
        <f>30*2</f>
        <v>60</v>
      </c>
      <c r="AW27" s="76">
        <f>AV27*C27</f>
        <v>9000</v>
      </c>
      <c r="AX27" s="76">
        <f>30*2</f>
        <v>60</v>
      </c>
      <c r="AY27" s="76">
        <f>AX27*C27</f>
        <v>9000</v>
      </c>
      <c r="AZ27" s="76">
        <f>35*2</f>
        <v>70</v>
      </c>
      <c r="BA27" s="76">
        <f>C27*AZ27</f>
        <v>10500</v>
      </c>
      <c r="BB27" s="76">
        <f>50*2</f>
        <v>100</v>
      </c>
      <c r="BC27" s="76">
        <f>BB27*C27</f>
        <v>15000</v>
      </c>
      <c r="BD27" s="76">
        <f>30*2</f>
        <v>60</v>
      </c>
      <c r="BE27" s="76">
        <f>BD27*C27</f>
        <v>9000</v>
      </c>
      <c r="BF27" s="76">
        <v>0</v>
      </c>
      <c r="BG27" s="76">
        <f>BF27*C27</f>
        <v>0</v>
      </c>
      <c r="BH27" s="78">
        <f t="shared" si="8"/>
        <v>1052</v>
      </c>
      <c r="BI27" s="78">
        <f t="shared" si="8"/>
        <v>157800</v>
      </c>
      <c r="BJ27" s="362" t="s">
        <v>224</v>
      </c>
      <c r="BL27" s="98">
        <v>0</v>
      </c>
      <c r="BM27" s="98">
        <f>BI27</f>
        <v>157800</v>
      </c>
      <c r="BN27" s="98">
        <v>0</v>
      </c>
      <c r="BO27" s="98">
        <v>0</v>
      </c>
      <c r="BP27" s="98">
        <f>BL27+BM27+BN27+BO27</f>
        <v>157800</v>
      </c>
      <c r="BQ27" s="98">
        <v>0</v>
      </c>
      <c r="BR27" s="98">
        <v>0</v>
      </c>
      <c r="BS27" s="98">
        <f>BQ27+BR27</f>
        <v>0</v>
      </c>
      <c r="BT27" s="102">
        <f t="shared" si="1"/>
        <v>157800</v>
      </c>
    </row>
    <row r="28" spans="1:72" s="90" customFormat="1" ht="15.75">
      <c r="A28" s="323" t="s">
        <v>620</v>
      </c>
      <c r="B28" s="362" t="s">
        <v>651</v>
      </c>
      <c r="C28" s="312">
        <v>100</v>
      </c>
      <c r="D28" s="79">
        <f>BH28</f>
        <v>0</v>
      </c>
      <c r="E28" s="76">
        <f>D28*C28</f>
        <v>0</v>
      </c>
      <c r="F28" s="76">
        <f>E28*0.2</f>
        <v>0</v>
      </c>
      <c r="G28" s="76">
        <f>E28*0.8</f>
        <v>0</v>
      </c>
      <c r="H28" s="76"/>
      <c r="I28" s="76"/>
      <c r="J28" s="76"/>
      <c r="K28" s="76"/>
      <c r="L28" s="76"/>
      <c r="M28" s="76"/>
      <c r="N28" s="76"/>
      <c r="O28" s="76"/>
      <c r="P28" s="298">
        <f>D28*0.25</f>
        <v>0</v>
      </c>
      <c r="Q28" s="298">
        <f>D28*0.25</f>
        <v>0</v>
      </c>
      <c r="R28" s="79">
        <f>D28*0.25</f>
        <v>0</v>
      </c>
      <c r="S28" s="79">
        <f>D28*0.25</f>
        <v>0</v>
      </c>
      <c r="T28" s="76">
        <f>P28*C28</f>
        <v>0</v>
      </c>
      <c r="U28" s="76">
        <f>Q28*C28</f>
        <v>0</v>
      </c>
      <c r="V28" s="76">
        <f>R28*C28</f>
        <v>0</v>
      </c>
      <c r="W28" s="76">
        <f>S28*C28</f>
        <v>0</v>
      </c>
      <c r="X28" s="76">
        <v>0</v>
      </c>
      <c r="Y28" s="76">
        <f>X28*C28</f>
        <v>0</v>
      </c>
      <c r="Z28" s="76">
        <v>0</v>
      </c>
      <c r="AA28" s="76">
        <f>Z28*C28</f>
        <v>0</v>
      </c>
      <c r="AB28" s="76">
        <v>0</v>
      </c>
      <c r="AC28" s="76">
        <f>AB28*C28</f>
        <v>0</v>
      </c>
      <c r="AD28" s="76">
        <v>0</v>
      </c>
      <c r="AE28" s="76">
        <f>AD28*C28</f>
        <v>0</v>
      </c>
      <c r="AF28" s="76">
        <v>0</v>
      </c>
      <c r="AG28" s="76">
        <f>AF28*C28</f>
        <v>0</v>
      </c>
      <c r="AH28" s="76">
        <v>0</v>
      </c>
      <c r="AI28" s="76">
        <f>C28*AH28</f>
        <v>0</v>
      </c>
      <c r="AJ28" s="76">
        <v>0</v>
      </c>
      <c r="AK28" s="76">
        <f>C28*AJ28</f>
        <v>0</v>
      </c>
      <c r="AL28" s="76">
        <v>0</v>
      </c>
      <c r="AM28" s="76">
        <f>C28*AL28</f>
        <v>0</v>
      </c>
      <c r="AN28" s="76">
        <v>0</v>
      </c>
      <c r="AO28" s="76">
        <f>AN28*C28</f>
        <v>0</v>
      </c>
      <c r="AP28" s="76">
        <v>0</v>
      </c>
      <c r="AQ28" s="76">
        <f>AP28*C28</f>
        <v>0</v>
      </c>
      <c r="AR28" s="76">
        <v>0</v>
      </c>
      <c r="AS28" s="76">
        <f>AR28*C28</f>
        <v>0</v>
      </c>
      <c r="AT28" s="76">
        <v>0</v>
      </c>
      <c r="AU28" s="76">
        <f>AT28*C28</f>
        <v>0</v>
      </c>
      <c r="AV28" s="76">
        <v>0</v>
      </c>
      <c r="AW28" s="76">
        <f>AV28*C28</f>
        <v>0</v>
      </c>
      <c r="AX28" s="76">
        <v>0</v>
      </c>
      <c r="AY28" s="76">
        <f>AX28*C28</f>
        <v>0</v>
      </c>
      <c r="AZ28" s="76">
        <v>0</v>
      </c>
      <c r="BA28" s="76">
        <f>C28*AZ28</f>
        <v>0</v>
      </c>
      <c r="BB28" s="76">
        <v>0</v>
      </c>
      <c r="BC28" s="76">
        <f>BB28*C28</f>
        <v>0</v>
      </c>
      <c r="BD28" s="76">
        <v>0</v>
      </c>
      <c r="BE28" s="76">
        <f>BD28*C28</f>
        <v>0</v>
      </c>
      <c r="BF28" s="76">
        <v>0</v>
      </c>
      <c r="BG28" s="76">
        <f>BF28*C28</f>
        <v>0</v>
      </c>
      <c r="BH28" s="78">
        <f t="shared" si="8"/>
        <v>0</v>
      </c>
      <c r="BI28" s="78">
        <f t="shared" si="8"/>
        <v>0</v>
      </c>
      <c r="BJ28" s="362" t="s">
        <v>224</v>
      </c>
      <c r="BL28" s="98">
        <v>0</v>
      </c>
      <c r="BM28" s="98">
        <f>BI28</f>
        <v>0</v>
      </c>
      <c r="BN28" s="98">
        <v>0</v>
      </c>
      <c r="BO28" s="98">
        <v>0</v>
      </c>
      <c r="BP28" s="98">
        <f>BL28+BM28+BN28+BO28</f>
        <v>0</v>
      </c>
      <c r="BQ28" s="98">
        <v>0</v>
      </c>
      <c r="BR28" s="98">
        <v>0</v>
      </c>
      <c r="BS28" s="98">
        <f>BQ28+BR28</f>
        <v>0</v>
      </c>
      <c r="BT28" s="102">
        <f t="shared" si="1"/>
        <v>0</v>
      </c>
    </row>
    <row r="29" spans="1:72" s="90" customFormat="1" ht="15.75">
      <c r="A29" s="323" t="s">
        <v>621</v>
      </c>
      <c r="B29" s="362" t="s">
        <v>651</v>
      </c>
      <c r="C29" s="312">
        <v>100</v>
      </c>
      <c r="D29" s="79">
        <f>BH29</f>
        <v>4311.2</v>
      </c>
      <c r="E29" s="76">
        <f>D29*C29</f>
        <v>431120</v>
      </c>
      <c r="F29" s="76">
        <f>E29*0.2</f>
        <v>86224</v>
      </c>
      <c r="G29" s="76">
        <f>E29*0.8</f>
        <v>344896</v>
      </c>
      <c r="H29" s="76"/>
      <c r="I29" s="76"/>
      <c r="J29" s="76"/>
      <c r="K29" s="76"/>
      <c r="L29" s="76"/>
      <c r="M29" s="76"/>
      <c r="N29" s="76"/>
      <c r="O29" s="76"/>
      <c r="P29" s="298">
        <f>D29*0.25</f>
        <v>1077.8</v>
      </c>
      <c r="Q29" s="298">
        <f>D29*0.25</f>
        <v>1077.8</v>
      </c>
      <c r="R29" s="298">
        <f>D29*0.25</f>
        <v>1077.8</v>
      </c>
      <c r="S29" s="298">
        <f>D29*0.25</f>
        <v>1077.8</v>
      </c>
      <c r="T29" s="76">
        <f>P29*C29</f>
        <v>107780</v>
      </c>
      <c r="U29" s="76">
        <f>Q29*C29</f>
        <v>107780</v>
      </c>
      <c r="V29" s="76">
        <f>R29*C29</f>
        <v>107780</v>
      </c>
      <c r="W29" s="76">
        <f>S29*C29</f>
        <v>107780</v>
      </c>
      <c r="X29" s="76">
        <f>196*0.5*2</f>
        <v>196</v>
      </c>
      <c r="Y29" s="76">
        <f>X29*C29</f>
        <v>19600</v>
      </c>
      <c r="Z29" s="76">
        <f>127*0.5*2</f>
        <v>127</v>
      </c>
      <c r="AA29" s="76">
        <f>Z29*C29</f>
        <v>12700</v>
      </c>
      <c r="AB29" s="76">
        <f>193*0.5*2</f>
        <v>193</v>
      </c>
      <c r="AC29" s="76">
        <f>AB29*C29</f>
        <v>19300</v>
      </c>
      <c r="AD29" s="76">
        <f>387*0.5*2</f>
        <v>387</v>
      </c>
      <c r="AE29" s="76">
        <f>AD29*C29</f>
        <v>38700</v>
      </c>
      <c r="AF29" s="76">
        <f>138*0.5*2</f>
        <v>138</v>
      </c>
      <c r="AG29" s="76">
        <f>AF29*C29</f>
        <v>13800</v>
      </c>
      <c r="AH29" s="76">
        <f>186*0.5*2</f>
        <v>186</v>
      </c>
      <c r="AI29" s="76">
        <f>C29*AH29</f>
        <v>18600</v>
      </c>
      <c r="AJ29" s="76">
        <f>147*0.5*2</f>
        <v>147</v>
      </c>
      <c r="AK29" s="76">
        <f>C29*AJ29</f>
        <v>14700</v>
      </c>
      <c r="AL29" s="76">
        <f>616*0.3*2</f>
        <v>369.59999999999997</v>
      </c>
      <c r="AM29" s="76">
        <f>C29*AL29</f>
        <v>36960</v>
      </c>
      <c r="AN29" s="76">
        <f>79*0.6*2</f>
        <v>94.8</v>
      </c>
      <c r="AO29" s="76">
        <f>AN29*C29</f>
        <v>9480</v>
      </c>
      <c r="AP29" s="76">
        <f>204*0.5*2</f>
        <v>204</v>
      </c>
      <c r="AQ29" s="76">
        <f>AP29*C29</f>
        <v>20400</v>
      </c>
      <c r="AR29" s="76">
        <f>345*0.5*2</f>
        <v>345</v>
      </c>
      <c r="AS29" s="76">
        <f>AR29*C29</f>
        <v>34500</v>
      </c>
      <c r="AT29" s="76">
        <f>251*0.5*2</f>
        <v>251</v>
      </c>
      <c r="AU29" s="76">
        <f>AT29*C29</f>
        <v>25100</v>
      </c>
      <c r="AV29" s="76">
        <f>776*0.3*2</f>
        <v>465.59999999999997</v>
      </c>
      <c r="AW29" s="76">
        <f>AV29*C29</f>
        <v>46560</v>
      </c>
      <c r="AX29" s="76">
        <f>528*0.35*2</f>
        <v>369.59999999999997</v>
      </c>
      <c r="AY29" s="76">
        <f>AX29*C29</f>
        <v>36960</v>
      </c>
      <c r="AZ29" s="76">
        <f>151*0.5*2</f>
        <v>151</v>
      </c>
      <c r="BA29" s="76">
        <f>C29*AZ29</f>
        <v>15100</v>
      </c>
      <c r="BB29" s="76">
        <f>731*0.3*2</f>
        <v>438.59999999999997</v>
      </c>
      <c r="BC29" s="76">
        <f>BB29*C29</f>
        <v>43860</v>
      </c>
      <c r="BD29" s="76">
        <f>248*0.5*2</f>
        <v>248</v>
      </c>
      <c r="BE29" s="76">
        <f>BD29*C29</f>
        <v>24800</v>
      </c>
      <c r="BF29" s="76">
        <v>0</v>
      </c>
      <c r="BG29" s="76">
        <f>BF29*C29</f>
        <v>0</v>
      </c>
      <c r="BH29" s="78">
        <f t="shared" si="8"/>
        <v>4311.2</v>
      </c>
      <c r="BI29" s="78">
        <f t="shared" si="8"/>
        <v>431120</v>
      </c>
      <c r="BJ29" s="362" t="s">
        <v>224</v>
      </c>
      <c r="BL29" s="98">
        <v>0</v>
      </c>
      <c r="BM29" s="98">
        <f>BI29</f>
        <v>431120</v>
      </c>
      <c r="BN29" s="98">
        <v>0</v>
      </c>
      <c r="BO29" s="98">
        <v>0</v>
      </c>
      <c r="BP29" s="98">
        <f>BL29+BM29+BN29+BO29</f>
        <v>431120</v>
      </c>
      <c r="BQ29" s="98">
        <v>0</v>
      </c>
      <c r="BR29" s="98">
        <v>0</v>
      </c>
      <c r="BS29" s="98">
        <f>BQ29+BR29</f>
        <v>0</v>
      </c>
      <c r="BT29" s="102">
        <f t="shared" si="1"/>
        <v>431120</v>
      </c>
    </row>
    <row r="30" spans="1:72" s="90" customFormat="1" ht="15.75">
      <c r="A30" s="323" t="s">
        <v>622</v>
      </c>
      <c r="B30" s="362" t="s">
        <v>652</v>
      </c>
      <c r="C30" s="312" t="s">
        <v>439</v>
      </c>
      <c r="D30" s="79">
        <f>BH30</f>
        <v>0</v>
      </c>
      <c r="E30" s="241">
        <f>D30*C30</f>
        <v>0</v>
      </c>
      <c r="F30" s="76">
        <f>E30*0.2</f>
        <v>0</v>
      </c>
      <c r="G30" s="76">
        <f>E30*0.8</f>
        <v>0</v>
      </c>
      <c r="H30" s="241"/>
      <c r="I30" s="241"/>
      <c r="J30" s="241"/>
      <c r="K30" s="241"/>
      <c r="L30" s="241"/>
      <c r="M30" s="241"/>
      <c r="N30" s="241"/>
      <c r="O30" s="241"/>
      <c r="P30" s="387">
        <f>D30*0.25</f>
        <v>0</v>
      </c>
      <c r="Q30" s="387">
        <f>D30*0.25</f>
        <v>0</v>
      </c>
      <c r="R30" s="387">
        <f>D30*0.25</f>
        <v>0</v>
      </c>
      <c r="S30" s="387">
        <f>D30*0.25</f>
        <v>0</v>
      </c>
      <c r="T30" s="241">
        <f>P30*C30</f>
        <v>0</v>
      </c>
      <c r="U30" s="241">
        <f>Q30*C30</f>
        <v>0</v>
      </c>
      <c r="V30" s="241">
        <f>R30*C30</f>
        <v>0</v>
      </c>
      <c r="W30" s="241">
        <f>S30*C30</f>
        <v>0</v>
      </c>
      <c r="X30" s="76">
        <v>0</v>
      </c>
      <c r="Y30" s="76">
        <f>X30*C30</f>
        <v>0</v>
      </c>
      <c r="Z30" s="76">
        <v>0</v>
      </c>
      <c r="AA30" s="76">
        <f>Z30*C30</f>
        <v>0</v>
      </c>
      <c r="AB30" s="76">
        <v>0</v>
      </c>
      <c r="AC30" s="76">
        <f>AB30*C30</f>
        <v>0</v>
      </c>
      <c r="AD30" s="76">
        <v>0</v>
      </c>
      <c r="AE30" s="76">
        <f>AD30*C30</f>
        <v>0</v>
      </c>
      <c r="AF30" s="76">
        <v>0</v>
      </c>
      <c r="AG30" s="76">
        <f>AF30*C30</f>
        <v>0</v>
      </c>
      <c r="AH30" s="76">
        <v>0</v>
      </c>
      <c r="AI30" s="76">
        <f>C30*AH30</f>
        <v>0</v>
      </c>
      <c r="AJ30" s="76">
        <v>0</v>
      </c>
      <c r="AK30" s="76">
        <f>C30*AJ30</f>
        <v>0</v>
      </c>
      <c r="AL30" s="76">
        <v>0</v>
      </c>
      <c r="AM30" s="76">
        <f>C30*AL30</f>
        <v>0</v>
      </c>
      <c r="AN30" s="76">
        <v>0</v>
      </c>
      <c r="AO30" s="76">
        <f>AN30*C30</f>
        <v>0</v>
      </c>
      <c r="AP30" s="76">
        <v>0</v>
      </c>
      <c r="AQ30" s="76">
        <f>AP30*C30</f>
        <v>0</v>
      </c>
      <c r="AR30" s="76">
        <v>0</v>
      </c>
      <c r="AS30" s="76">
        <f>AR30*C30</f>
        <v>0</v>
      </c>
      <c r="AT30" s="76">
        <v>0</v>
      </c>
      <c r="AU30" s="76">
        <f>AT30*C30</f>
        <v>0</v>
      </c>
      <c r="AV30" s="76">
        <v>0</v>
      </c>
      <c r="AW30" s="76">
        <f>AV30*C30</f>
        <v>0</v>
      </c>
      <c r="AX30" s="76">
        <v>0</v>
      </c>
      <c r="AY30" s="76">
        <f>AX30*C30</f>
        <v>0</v>
      </c>
      <c r="AZ30" s="76">
        <v>0</v>
      </c>
      <c r="BA30" s="76">
        <f>C30*AZ30</f>
        <v>0</v>
      </c>
      <c r="BB30" s="76">
        <v>0</v>
      </c>
      <c r="BC30" s="76">
        <f>BB30*C30</f>
        <v>0</v>
      </c>
      <c r="BD30" s="76">
        <v>0</v>
      </c>
      <c r="BE30" s="76">
        <f>BD30*C30</f>
        <v>0</v>
      </c>
      <c r="BF30" s="76">
        <v>0</v>
      </c>
      <c r="BG30" s="76">
        <f>BF30*C30</f>
        <v>0</v>
      </c>
      <c r="BH30" s="78">
        <f t="shared" si="8"/>
        <v>0</v>
      </c>
      <c r="BI30" s="78">
        <f t="shared" si="8"/>
        <v>0</v>
      </c>
      <c r="BJ30" s="362" t="s">
        <v>224</v>
      </c>
      <c r="BL30" s="78">
        <f t="shared" ref="BL30:BS30" si="9">SUM(BL27:BL29)</f>
        <v>0</v>
      </c>
      <c r="BM30" s="98">
        <f>BI30</f>
        <v>0</v>
      </c>
      <c r="BN30" s="78">
        <f t="shared" si="9"/>
        <v>0</v>
      </c>
      <c r="BO30" s="78">
        <f t="shared" si="9"/>
        <v>0</v>
      </c>
      <c r="BP30" s="98">
        <f>BL30+BM30+BN30+BO30</f>
        <v>0</v>
      </c>
      <c r="BQ30" s="78">
        <f t="shared" si="9"/>
        <v>0</v>
      </c>
      <c r="BR30" s="78">
        <f t="shared" si="9"/>
        <v>0</v>
      </c>
      <c r="BS30" s="78">
        <f t="shared" si="9"/>
        <v>0</v>
      </c>
      <c r="BT30" s="102">
        <f t="shared" si="1"/>
        <v>0</v>
      </c>
    </row>
    <row r="31" spans="1:72" s="226" customFormat="1" ht="15.75">
      <c r="A31" s="336" t="s">
        <v>623</v>
      </c>
      <c r="B31" s="364" t="s">
        <v>121</v>
      </c>
      <c r="C31" s="347" t="s">
        <v>121</v>
      </c>
      <c r="D31" s="429">
        <f>SUM(D26:D30)</f>
        <v>5465.2</v>
      </c>
      <c r="E31" s="429">
        <f t="shared" ref="E31:O31" si="10">SUM(E26:E30)</f>
        <v>639920</v>
      </c>
      <c r="F31" s="429">
        <f t="shared" si="10"/>
        <v>127984</v>
      </c>
      <c r="G31" s="429">
        <f t="shared" si="10"/>
        <v>511936</v>
      </c>
      <c r="H31" s="429">
        <f t="shared" si="10"/>
        <v>0</v>
      </c>
      <c r="I31" s="429">
        <f t="shared" si="10"/>
        <v>0</v>
      </c>
      <c r="J31" s="429">
        <f t="shared" si="10"/>
        <v>0</v>
      </c>
      <c r="K31" s="429">
        <f t="shared" si="10"/>
        <v>0</v>
      </c>
      <c r="L31" s="429">
        <f t="shared" si="10"/>
        <v>0</v>
      </c>
      <c r="M31" s="429">
        <f t="shared" si="10"/>
        <v>0</v>
      </c>
      <c r="N31" s="429">
        <f t="shared" si="10"/>
        <v>0</v>
      </c>
      <c r="O31" s="429">
        <f t="shared" si="10"/>
        <v>0</v>
      </c>
      <c r="P31" s="367"/>
      <c r="Q31" s="367"/>
      <c r="R31" s="367"/>
      <c r="S31" s="367"/>
      <c r="T31" s="366"/>
      <c r="U31" s="366"/>
      <c r="V31" s="366"/>
      <c r="W31" s="366"/>
      <c r="X31" s="430">
        <f>SUM(X26:X30)</f>
        <v>256</v>
      </c>
      <c r="Y31" s="430">
        <f t="shared" ref="Y31:BT31" si="11">SUM(Y26:Y30)</f>
        <v>28600</v>
      </c>
      <c r="Z31" s="430">
        <f t="shared" si="11"/>
        <v>173</v>
      </c>
      <c r="AA31" s="430">
        <f t="shared" si="11"/>
        <v>19600</v>
      </c>
      <c r="AB31" s="430">
        <f t="shared" si="11"/>
        <v>253</v>
      </c>
      <c r="AC31" s="430">
        <f t="shared" si="11"/>
        <v>28300</v>
      </c>
      <c r="AD31" s="430">
        <f t="shared" si="11"/>
        <v>489</v>
      </c>
      <c r="AE31" s="430">
        <f t="shared" si="11"/>
        <v>54000</v>
      </c>
      <c r="AF31" s="430">
        <f t="shared" si="11"/>
        <v>180</v>
      </c>
      <c r="AG31" s="430">
        <f t="shared" si="11"/>
        <v>20100</v>
      </c>
      <c r="AH31" s="430">
        <f t="shared" si="11"/>
        <v>246</v>
      </c>
      <c r="AI31" s="430">
        <f t="shared" si="11"/>
        <v>27600</v>
      </c>
      <c r="AJ31" s="430">
        <f t="shared" si="11"/>
        <v>207</v>
      </c>
      <c r="AK31" s="430">
        <f t="shared" si="11"/>
        <v>23700</v>
      </c>
      <c r="AL31" s="430">
        <f t="shared" si="11"/>
        <v>449.59999999999997</v>
      </c>
      <c r="AM31" s="430">
        <f t="shared" si="11"/>
        <v>48960</v>
      </c>
      <c r="AN31" s="430">
        <f t="shared" si="11"/>
        <v>106.8</v>
      </c>
      <c r="AO31" s="430">
        <f t="shared" si="11"/>
        <v>11280</v>
      </c>
      <c r="AP31" s="430">
        <f t="shared" si="11"/>
        <v>264</v>
      </c>
      <c r="AQ31" s="430">
        <f t="shared" si="11"/>
        <v>29400</v>
      </c>
      <c r="AR31" s="430">
        <f t="shared" si="11"/>
        <v>405</v>
      </c>
      <c r="AS31" s="430">
        <f t="shared" si="11"/>
        <v>43500</v>
      </c>
      <c r="AT31" s="430">
        <f t="shared" si="11"/>
        <v>311</v>
      </c>
      <c r="AU31" s="430">
        <f t="shared" si="11"/>
        <v>34100</v>
      </c>
      <c r="AV31" s="430">
        <f t="shared" si="11"/>
        <v>525.59999999999991</v>
      </c>
      <c r="AW31" s="430">
        <f t="shared" si="11"/>
        <v>55560</v>
      </c>
      <c r="AX31" s="430">
        <f t="shared" si="11"/>
        <v>429.59999999999997</v>
      </c>
      <c r="AY31" s="430">
        <f t="shared" si="11"/>
        <v>45960</v>
      </c>
      <c r="AZ31" s="430">
        <f t="shared" si="11"/>
        <v>221</v>
      </c>
      <c r="BA31" s="430">
        <f t="shared" si="11"/>
        <v>25600</v>
      </c>
      <c r="BB31" s="430">
        <f t="shared" si="11"/>
        <v>538.59999999999991</v>
      </c>
      <c r="BC31" s="430">
        <f t="shared" si="11"/>
        <v>58860</v>
      </c>
      <c r="BD31" s="430">
        <f t="shared" si="11"/>
        <v>308</v>
      </c>
      <c r="BE31" s="430">
        <f t="shared" si="11"/>
        <v>33800</v>
      </c>
      <c r="BF31" s="430">
        <f t="shared" si="11"/>
        <v>102</v>
      </c>
      <c r="BG31" s="430">
        <f t="shared" si="11"/>
        <v>51000</v>
      </c>
      <c r="BH31" s="430">
        <f t="shared" si="11"/>
        <v>5465.2</v>
      </c>
      <c r="BI31" s="430">
        <f t="shared" si="11"/>
        <v>639920</v>
      </c>
      <c r="BJ31" s="430">
        <f t="shared" si="11"/>
        <v>0</v>
      </c>
      <c r="BK31" s="430">
        <f t="shared" si="11"/>
        <v>0</v>
      </c>
      <c r="BL31" s="430">
        <f t="shared" si="11"/>
        <v>0</v>
      </c>
      <c r="BM31" s="430">
        <f t="shared" si="11"/>
        <v>639920</v>
      </c>
      <c r="BN31" s="430">
        <f t="shared" si="11"/>
        <v>0</v>
      </c>
      <c r="BO31" s="430">
        <f t="shared" si="11"/>
        <v>0</v>
      </c>
      <c r="BP31" s="430">
        <f t="shared" si="11"/>
        <v>639920</v>
      </c>
      <c r="BQ31" s="430">
        <f t="shared" si="11"/>
        <v>0</v>
      </c>
      <c r="BR31" s="430">
        <f t="shared" si="11"/>
        <v>0</v>
      </c>
      <c r="BS31" s="430">
        <f t="shared" si="11"/>
        <v>0</v>
      </c>
      <c r="BT31" s="430">
        <f t="shared" si="11"/>
        <v>639920</v>
      </c>
    </row>
    <row r="32" spans="1:72" s="90" customFormat="1" ht="15.75">
      <c r="A32" s="332" t="s">
        <v>624</v>
      </c>
      <c r="B32" s="362"/>
      <c r="C32" s="362"/>
      <c r="D32" s="79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298"/>
      <c r="Q32" s="298"/>
      <c r="R32" s="298"/>
      <c r="S32" s="298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8"/>
      <c r="BI32" s="162"/>
      <c r="BJ32" s="362"/>
      <c r="BL32" s="98"/>
      <c r="BM32" s="98"/>
      <c r="BN32" s="98"/>
      <c r="BO32" s="98"/>
      <c r="BP32" s="98"/>
      <c r="BQ32" s="98"/>
      <c r="BR32" s="98"/>
      <c r="BS32" s="98"/>
      <c r="BT32" s="102">
        <f t="shared" si="1"/>
        <v>0</v>
      </c>
    </row>
    <row r="33" spans="1:72" s="90" customFormat="1" ht="15.75">
      <c r="A33" s="323" t="s">
        <v>625</v>
      </c>
      <c r="B33" s="362" t="s">
        <v>67</v>
      </c>
      <c r="C33" s="312">
        <v>150</v>
      </c>
      <c r="D33" s="79">
        <f>BH33</f>
        <v>526</v>
      </c>
      <c r="E33" s="76">
        <f>D33*C33</f>
        <v>78900</v>
      </c>
      <c r="F33" s="76">
        <f>E33*0.2</f>
        <v>15780</v>
      </c>
      <c r="G33" s="76">
        <f>E33*0.8</f>
        <v>63120</v>
      </c>
      <c r="H33" s="76"/>
      <c r="I33" s="76"/>
      <c r="J33" s="76"/>
      <c r="K33" s="76"/>
      <c r="L33" s="76"/>
      <c r="M33" s="76"/>
      <c r="N33" s="76"/>
      <c r="O33" s="76"/>
      <c r="P33" s="298">
        <f>D33*0.25</f>
        <v>131.5</v>
      </c>
      <c r="Q33" s="298">
        <f>D33*0.25</f>
        <v>131.5</v>
      </c>
      <c r="R33" s="298">
        <f>D33*0.25</f>
        <v>131.5</v>
      </c>
      <c r="S33" s="298">
        <f>D33*0.25</f>
        <v>131.5</v>
      </c>
      <c r="T33" s="76">
        <f>P33*C33</f>
        <v>19725</v>
      </c>
      <c r="U33" s="76">
        <f>Q33*C33</f>
        <v>19725</v>
      </c>
      <c r="V33" s="76">
        <f>R33*C33</f>
        <v>19725</v>
      </c>
      <c r="W33" s="76">
        <f>S33*C33</f>
        <v>19725</v>
      </c>
      <c r="X33" s="76">
        <f>30</f>
        <v>30</v>
      </c>
      <c r="Y33" s="76">
        <f>X33*C33</f>
        <v>4500</v>
      </c>
      <c r="Z33" s="76">
        <f>23</f>
        <v>23</v>
      </c>
      <c r="AA33" s="76">
        <f>Z33*C33</f>
        <v>3450</v>
      </c>
      <c r="AB33" s="76">
        <f>30</f>
        <v>30</v>
      </c>
      <c r="AC33" s="76">
        <f>AB33*C33</f>
        <v>4500</v>
      </c>
      <c r="AD33" s="76">
        <f>51</f>
        <v>51</v>
      </c>
      <c r="AE33" s="76">
        <f>AD33*C33</f>
        <v>7650</v>
      </c>
      <c r="AF33" s="76">
        <f>21</f>
        <v>21</v>
      </c>
      <c r="AG33" s="76">
        <f>AF33*C33</f>
        <v>3150</v>
      </c>
      <c r="AH33" s="76">
        <f>30</f>
        <v>30</v>
      </c>
      <c r="AI33" s="76">
        <f>C33*AH33</f>
        <v>4500</v>
      </c>
      <c r="AJ33" s="76">
        <f>30</f>
        <v>30</v>
      </c>
      <c r="AK33" s="76">
        <f>C33*AJ33</f>
        <v>4500</v>
      </c>
      <c r="AL33" s="76">
        <f>40</f>
        <v>40</v>
      </c>
      <c r="AM33" s="76">
        <f>C33*AL33</f>
        <v>6000</v>
      </c>
      <c r="AN33" s="76">
        <f>6</f>
        <v>6</v>
      </c>
      <c r="AO33" s="76">
        <f>AN33*C33</f>
        <v>900</v>
      </c>
      <c r="AP33" s="76">
        <f>30</f>
        <v>30</v>
      </c>
      <c r="AQ33" s="76">
        <f>AP33*C33</f>
        <v>4500</v>
      </c>
      <c r="AR33" s="76">
        <f>30</f>
        <v>30</v>
      </c>
      <c r="AS33" s="76">
        <f>AR33*C33</f>
        <v>4500</v>
      </c>
      <c r="AT33" s="76">
        <f>30</f>
        <v>30</v>
      </c>
      <c r="AU33" s="76">
        <f>AT33*C33</f>
        <v>4500</v>
      </c>
      <c r="AV33" s="76">
        <f>30</f>
        <v>30</v>
      </c>
      <c r="AW33" s="76">
        <f>AV33*C33</f>
        <v>4500</v>
      </c>
      <c r="AX33" s="76">
        <f>30</f>
        <v>30</v>
      </c>
      <c r="AY33" s="76">
        <f>AX33*C33</f>
        <v>4500</v>
      </c>
      <c r="AZ33" s="76">
        <f>35</f>
        <v>35</v>
      </c>
      <c r="BA33" s="76">
        <f>C33*AZ33</f>
        <v>5250</v>
      </c>
      <c r="BB33" s="76">
        <f>50</f>
        <v>50</v>
      </c>
      <c r="BC33" s="76">
        <f>BB33*C33</f>
        <v>7500</v>
      </c>
      <c r="BD33" s="76">
        <f>30</f>
        <v>30</v>
      </c>
      <c r="BE33" s="76">
        <f>BD33*C33</f>
        <v>4500</v>
      </c>
      <c r="BF33" s="76">
        <v>0</v>
      </c>
      <c r="BG33" s="76">
        <f>BF33*C33</f>
        <v>0</v>
      </c>
      <c r="BH33" s="78">
        <f>BF33+BD33+BB33+AZ33+AX33+AV33+AT33+AR33+AP33+AN33+AL33+AJ33+AH33+AF33+AD33+AB33+Z33+X33</f>
        <v>526</v>
      </c>
      <c r="BI33" s="78">
        <f>BG33+BE33+BC33+BA33+AY33+AW33+AU33+AS33+AQ33+AO33+AM33+AK33+AI33+AG33+AE33+AC33+AA33+Y33</f>
        <v>78900</v>
      </c>
      <c r="BJ33" s="362" t="s">
        <v>224</v>
      </c>
      <c r="BL33" s="98"/>
      <c r="BM33" s="98">
        <f>BI33</f>
        <v>78900</v>
      </c>
      <c r="BN33" s="98"/>
      <c r="BO33" s="98"/>
      <c r="BP33" s="98">
        <f>BL33+BM33+BN33+BO33</f>
        <v>78900</v>
      </c>
      <c r="BQ33" s="98"/>
      <c r="BR33" s="98"/>
      <c r="BS33" s="98"/>
      <c r="BT33" s="102">
        <f t="shared" si="1"/>
        <v>78900</v>
      </c>
    </row>
    <row r="34" spans="1:72" s="90" customFormat="1" ht="15.75">
      <c r="A34" s="336" t="s">
        <v>626</v>
      </c>
      <c r="B34" s="364" t="s">
        <v>121</v>
      </c>
      <c r="C34" s="347" t="s">
        <v>121</v>
      </c>
      <c r="D34" s="339">
        <f>D33</f>
        <v>526</v>
      </c>
      <c r="E34" s="339">
        <f t="shared" ref="E34:O34" si="12">E33</f>
        <v>78900</v>
      </c>
      <c r="F34" s="339">
        <f t="shared" si="12"/>
        <v>15780</v>
      </c>
      <c r="G34" s="339">
        <f t="shared" si="12"/>
        <v>63120</v>
      </c>
      <c r="H34" s="339">
        <f t="shared" si="12"/>
        <v>0</v>
      </c>
      <c r="I34" s="339">
        <f t="shared" si="12"/>
        <v>0</v>
      </c>
      <c r="J34" s="339">
        <f t="shared" si="12"/>
        <v>0</v>
      </c>
      <c r="K34" s="339">
        <f t="shared" si="12"/>
        <v>0</v>
      </c>
      <c r="L34" s="339">
        <f t="shared" si="12"/>
        <v>0</v>
      </c>
      <c r="M34" s="339">
        <f t="shared" si="12"/>
        <v>0</v>
      </c>
      <c r="N34" s="339">
        <f t="shared" si="12"/>
        <v>0</v>
      </c>
      <c r="O34" s="339">
        <f t="shared" si="12"/>
        <v>0</v>
      </c>
      <c r="P34" s="431"/>
      <c r="Q34" s="431"/>
      <c r="R34" s="431"/>
      <c r="S34" s="431"/>
      <c r="T34" s="430"/>
      <c r="U34" s="430"/>
      <c r="V34" s="430"/>
      <c r="W34" s="430"/>
      <c r="X34" s="430">
        <f>SUM(X33)</f>
        <v>30</v>
      </c>
      <c r="Y34" s="430">
        <f t="shared" ref="Y34:BT34" si="13">SUM(Y33)</f>
        <v>4500</v>
      </c>
      <c r="Z34" s="430">
        <f t="shared" si="13"/>
        <v>23</v>
      </c>
      <c r="AA34" s="430">
        <f t="shared" si="13"/>
        <v>3450</v>
      </c>
      <c r="AB34" s="430">
        <f t="shared" si="13"/>
        <v>30</v>
      </c>
      <c r="AC34" s="430">
        <f t="shared" si="13"/>
        <v>4500</v>
      </c>
      <c r="AD34" s="430">
        <f t="shared" si="13"/>
        <v>51</v>
      </c>
      <c r="AE34" s="430">
        <f t="shared" si="13"/>
        <v>7650</v>
      </c>
      <c r="AF34" s="430">
        <f t="shared" si="13"/>
        <v>21</v>
      </c>
      <c r="AG34" s="430">
        <f t="shared" si="13"/>
        <v>3150</v>
      </c>
      <c r="AH34" s="430">
        <f t="shared" si="13"/>
        <v>30</v>
      </c>
      <c r="AI34" s="430">
        <f t="shared" si="13"/>
        <v>4500</v>
      </c>
      <c r="AJ34" s="430">
        <f t="shared" si="13"/>
        <v>30</v>
      </c>
      <c r="AK34" s="430">
        <f t="shared" si="13"/>
        <v>4500</v>
      </c>
      <c r="AL34" s="430">
        <f t="shared" si="13"/>
        <v>40</v>
      </c>
      <c r="AM34" s="430">
        <f t="shared" si="13"/>
        <v>6000</v>
      </c>
      <c r="AN34" s="430">
        <f t="shared" si="13"/>
        <v>6</v>
      </c>
      <c r="AO34" s="430">
        <f t="shared" si="13"/>
        <v>900</v>
      </c>
      <c r="AP34" s="430">
        <f t="shared" si="13"/>
        <v>30</v>
      </c>
      <c r="AQ34" s="430">
        <f t="shared" si="13"/>
        <v>4500</v>
      </c>
      <c r="AR34" s="430">
        <f t="shared" si="13"/>
        <v>30</v>
      </c>
      <c r="AS34" s="430">
        <f t="shared" si="13"/>
        <v>4500</v>
      </c>
      <c r="AT34" s="430">
        <f t="shared" si="13"/>
        <v>30</v>
      </c>
      <c r="AU34" s="430">
        <f t="shared" si="13"/>
        <v>4500</v>
      </c>
      <c r="AV34" s="430">
        <f t="shared" si="13"/>
        <v>30</v>
      </c>
      <c r="AW34" s="430">
        <f t="shared" si="13"/>
        <v>4500</v>
      </c>
      <c r="AX34" s="430">
        <f t="shared" si="13"/>
        <v>30</v>
      </c>
      <c r="AY34" s="430">
        <f t="shared" si="13"/>
        <v>4500</v>
      </c>
      <c r="AZ34" s="430">
        <f t="shared" si="13"/>
        <v>35</v>
      </c>
      <c r="BA34" s="430">
        <f t="shared" si="13"/>
        <v>5250</v>
      </c>
      <c r="BB34" s="430">
        <f t="shared" si="13"/>
        <v>50</v>
      </c>
      <c r="BC34" s="430">
        <f t="shared" si="13"/>
        <v>7500</v>
      </c>
      <c r="BD34" s="430">
        <f t="shared" si="13"/>
        <v>30</v>
      </c>
      <c r="BE34" s="430">
        <f t="shared" si="13"/>
        <v>4500</v>
      </c>
      <c r="BF34" s="430">
        <f t="shared" si="13"/>
        <v>0</v>
      </c>
      <c r="BG34" s="430">
        <f t="shared" si="13"/>
        <v>0</v>
      </c>
      <c r="BH34" s="430">
        <f t="shared" si="13"/>
        <v>526</v>
      </c>
      <c r="BI34" s="430">
        <f t="shared" si="13"/>
        <v>78900</v>
      </c>
      <c r="BJ34" s="430">
        <f t="shared" si="13"/>
        <v>0</v>
      </c>
      <c r="BK34" s="430">
        <f t="shared" si="13"/>
        <v>0</v>
      </c>
      <c r="BL34" s="430">
        <f t="shared" si="13"/>
        <v>0</v>
      </c>
      <c r="BM34" s="430">
        <f t="shared" si="13"/>
        <v>78900</v>
      </c>
      <c r="BN34" s="430">
        <f t="shared" si="13"/>
        <v>0</v>
      </c>
      <c r="BO34" s="430">
        <f t="shared" si="13"/>
        <v>0</v>
      </c>
      <c r="BP34" s="430">
        <f t="shared" si="13"/>
        <v>78900</v>
      </c>
      <c r="BQ34" s="430">
        <f t="shared" si="13"/>
        <v>0</v>
      </c>
      <c r="BR34" s="430">
        <f t="shared" si="13"/>
        <v>0</v>
      </c>
      <c r="BS34" s="430">
        <f t="shared" si="13"/>
        <v>0</v>
      </c>
      <c r="BT34" s="430">
        <f t="shared" si="13"/>
        <v>78900</v>
      </c>
    </row>
    <row r="35" spans="1:72" s="90" customFormat="1" ht="15.75">
      <c r="A35" s="332" t="s">
        <v>627</v>
      </c>
      <c r="B35" s="362"/>
      <c r="C35" s="362"/>
      <c r="D35" s="79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298"/>
      <c r="Q35" s="298"/>
      <c r="R35" s="298"/>
      <c r="S35" s="298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8"/>
      <c r="BI35" s="162"/>
      <c r="BJ35" s="362"/>
      <c r="BL35" s="98"/>
      <c r="BM35" s="98"/>
      <c r="BN35" s="98"/>
      <c r="BO35" s="98"/>
      <c r="BP35" s="98"/>
      <c r="BQ35" s="98"/>
      <c r="BR35" s="98"/>
      <c r="BS35" s="98"/>
      <c r="BT35" s="102">
        <f t="shared" si="1"/>
        <v>0</v>
      </c>
    </row>
    <row r="36" spans="1:72" s="90" customFormat="1" ht="15.75">
      <c r="A36" s="332" t="s">
        <v>628</v>
      </c>
      <c r="B36" s="362"/>
      <c r="C36" s="362"/>
      <c r="D36" s="79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298"/>
      <c r="Q36" s="298"/>
      <c r="R36" s="414"/>
      <c r="S36" s="414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8"/>
      <c r="BI36" s="162"/>
      <c r="BJ36" s="362"/>
      <c r="BL36" s="98"/>
      <c r="BM36" s="98">
        <f>E36</f>
        <v>0</v>
      </c>
      <c r="BN36" s="98"/>
      <c r="BO36" s="98"/>
      <c r="BP36" s="98">
        <f t="shared" ref="BP36:BP42" si="14">BL36+BM36+BN36+BO36</f>
        <v>0</v>
      </c>
      <c r="BQ36" s="98"/>
      <c r="BR36" s="98"/>
      <c r="BS36" s="98"/>
      <c r="BT36" s="102">
        <f t="shared" si="1"/>
        <v>0</v>
      </c>
    </row>
    <row r="37" spans="1:72" s="90" customFormat="1" ht="15.75">
      <c r="A37" s="323" t="s">
        <v>629</v>
      </c>
      <c r="B37" s="362" t="s">
        <v>71</v>
      </c>
      <c r="C37" s="312">
        <v>500</v>
      </c>
      <c r="D37" s="79">
        <f>BH37</f>
        <v>204</v>
      </c>
      <c r="E37" s="76">
        <f>D37*C37</f>
        <v>102000</v>
      </c>
      <c r="F37" s="76">
        <f>E37*0.2</f>
        <v>20400</v>
      </c>
      <c r="G37" s="76">
        <f>E37*0.8</f>
        <v>81600</v>
      </c>
      <c r="H37" s="76"/>
      <c r="I37" s="76"/>
      <c r="J37" s="76"/>
      <c r="K37" s="76"/>
      <c r="L37" s="76"/>
      <c r="M37" s="76"/>
      <c r="N37" s="76"/>
      <c r="O37" s="76"/>
      <c r="P37" s="298">
        <f>D37*0.25</f>
        <v>51</v>
      </c>
      <c r="Q37" s="298">
        <f>D37*0.25</f>
        <v>51</v>
      </c>
      <c r="R37" s="298">
        <f>D37*0.25</f>
        <v>51</v>
      </c>
      <c r="S37" s="298">
        <f>D37*0.25</f>
        <v>51</v>
      </c>
      <c r="T37" s="76">
        <f>P37*C37</f>
        <v>25500</v>
      </c>
      <c r="U37" s="76">
        <f>Q37*C37</f>
        <v>25500</v>
      </c>
      <c r="V37" s="76">
        <f>R37*C37</f>
        <v>25500</v>
      </c>
      <c r="W37" s="76">
        <f>S37*C37</f>
        <v>25500</v>
      </c>
      <c r="X37" s="76">
        <v>0</v>
      </c>
      <c r="Y37" s="76">
        <f>X37*C37</f>
        <v>0</v>
      </c>
      <c r="Z37" s="76">
        <v>0</v>
      </c>
      <c r="AA37" s="76">
        <f>Z37*C37</f>
        <v>0</v>
      </c>
      <c r="AB37" s="76">
        <v>0</v>
      </c>
      <c r="AC37" s="76">
        <f>AB37*C37</f>
        <v>0</v>
      </c>
      <c r="AD37" s="76">
        <v>0</v>
      </c>
      <c r="AE37" s="76">
        <f>AD37*C37</f>
        <v>0</v>
      </c>
      <c r="AF37" s="76">
        <v>0</v>
      </c>
      <c r="AG37" s="76">
        <f>AF37*C37</f>
        <v>0</v>
      </c>
      <c r="AH37" s="76">
        <v>0</v>
      </c>
      <c r="AI37" s="76">
        <f>C37*AH37</f>
        <v>0</v>
      </c>
      <c r="AJ37" s="76">
        <v>0</v>
      </c>
      <c r="AK37" s="76">
        <f>C37*AJ37</f>
        <v>0</v>
      </c>
      <c r="AL37" s="76">
        <v>0</v>
      </c>
      <c r="AM37" s="76">
        <f>C37*AL37</f>
        <v>0</v>
      </c>
      <c r="AN37" s="76">
        <v>0</v>
      </c>
      <c r="AO37" s="76">
        <f>AN37*C37</f>
        <v>0</v>
      </c>
      <c r="AP37" s="76">
        <v>0</v>
      </c>
      <c r="AQ37" s="76">
        <f>AP37*C37</f>
        <v>0</v>
      </c>
      <c r="AR37" s="76">
        <v>0</v>
      </c>
      <c r="AS37" s="76">
        <f>AR37*C37</f>
        <v>0</v>
      </c>
      <c r="AT37" s="76">
        <v>0</v>
      </c>
      <c r="AU37" s="76">
        <f>AT37*C37</f>
        <v>0</v>
      </c>
      <c r="AV37" s="76">
        <v>0</v>
      </c>
      <c r="AW37" s="76">
        <f>AV37*C37</f>
        <v>0</v>
      </c>
      <c r="AX37" s="76">
        <v>0</v>
      </c>
      <c r="AY37" s="76">
        <f>AX37*C37</f>
        <v>0</v>
      </c>
      <c r="AZ37" s="76">
        <v>0</v>
      </c>
      <c r="BA37" s="76">
        <f>C37*AZ37</f>
        <v>0</v>
      </c>
      <c r="BB37" s="76">
        <v>0</v>
      </c>
      <c r="BC37" s="76">
        <f>BB37*C37</f>
        <v>0</v>
      </c>
      <c r="BD37" s="76">
        <v>0</v>
      </c>
      <c r="BE37" s="76">
        <f>BD37*C37</f>
        <v>0</v>
      </c>
      <c r="BF37" s="76">
        <f>17*3*4</f>
        <v>204</v>
      </c>
      <c r="BG37" s="76">
        <f>BF37*C37</f>
        <v>102000</v>
      </c>
      <c r="BH37" s="78">
        <f t="shared" ref="BH37:BI40" si="15">BF37+BD37+BB37+AZ37+AX37+AV37+AT37+AR37+AP37+AN37+AL37+AJ37+AH37+AF37+AD37+AB37+Z37+X37</f>
        <v>204</v>
      </c>
      <c r="BI37" s="78">
        <f t="shared" si="15"/>
        <v>102000</v>
      </c>
      <c r="BJ37" s="362" t="s">
        <v>224</v>
      </c>
      <c r="BL37" s="98"/>
      <c r="BM37" s="98">
        <f>BI37</f>
        <v>102000</v>
      </c>
      <c r="BN37" s="98"/>
      <c r="BO37" s="98"/>
      <c r="BP37" s="98">
        <f t="shared" si="14"/>
        <v>102000</v>
      </c>
      <c r="BQ37" s="98"/>
      <c r="BR37" s="98"/>
      <c r="BS37" s="98"/>
      <c r="BT37" s="102">
        <f t="shared" si="1"/>
        <v>102000</v>
      </c>
    </row>
    <row r="38" spans="1:72" s="90" customFormat="1" ht="15.75">
      <c r="A38" s="323" t="s">
        <v>630</v>
      </c>
      <c r="B38" s="362" t="s">
        <v>71</v>
      </c>
      <c r="C38" s="312">
        <v>150</v>
      </c>
      <c r="D38" s="79">
        <f>BH38</f>
        <v>2104</v>
      </c>
      <c r="E38" s="76">
        <f>D38*C38</f>
        <v>315600</v>
      </c>
      <c r="F38" s="76">
        <f>E38*0.2</f>
        <v>63120</v>
      </c>
      <c r="G38" s="76">
        <f>E38*0.8</f>
        <v>252480</v>
      </c>
      <c r="H38" s="76"/>
      <c r="I38" s="76"/>
      <c r="J38" s="76"/>
      <c r="K38" s="76"/>
      <c r="L38" s="76"/>
      <c r="M38" s="76"/>
      <c r="N38" s="76"/>
      <c r="O38" s="76"/>
      <c r="P38" s="298">
        <f>D38*0.25</f>
        <v>526</v>
      </c>
      <c r="Q38" s="298">
        <f>D38*0.25</f>
        <v>526</v>
      </c>
      <c r="R38" s="298">
        <f>D38*0.25</f>
        <v>526</v>
      </c>
      <c r="S38" s="298">
        <f>D38*0.25</f>
        <v>526</v>
      </c>
      <c r="T38" s="76">
        <f>P38*C38</f>
        <v>78900</v>
      </c>
      <c r="U38" s="76">
        <f>Q38*C38</f>
        <v>78900</v>
      </c>
      <c r="V38" s="76">
        <f>R38*C38</f>
        <v>78900</v>
      </c>
      <c r="W38" s="76">
        <f>S38*C38</f>
        <v>78900</v>
      </c>
      <c r="X38" s="76">
        <f>30*4</f>
        <v>120</v>
      </c>
      <c r="Y38" s="76">
        <f>X38*C38</f>
        <v>18000</v>
      </c>
      <c r="Z38" s="76">
        <f>23*4</f>
        <v>92</v>
      </c>
      <c r="AA38" s="76">
        <f>Z38*C38</f>
        <v>13800</v>
      </c>
      <c r="AB38" s="76">
        <f>30*4</f>
        <v>120</v>
      </c>
      <c r="AC38" s="76">
        <f>AB38*C38</f>
        <v>18000</v>
      </c>
      <c r="AD38" s="76">
        <f>51*4</f>
        <v>204</v>
      </c>
      <c r="AE38" s="76">
        <f>AD38*C38</f>
        <v>30600</v>
      </c>
      <c r="AF38" s="76">
        <f>21*4</f>
        <v>84</v>
      </c>
      <c r="AG38" s="76">
        <f>AF38*C38</f>
        <v>12600</v>
      </c>
      <c r="AH38" s="76">
        <f>30*4</f>
        <v>120</v>
      </c>
      <c r="AI38" s="76">
        <f>C38*AH38</f>
        <v>18000</v>
      </c>
      <c r="AJ38" s="76">
        <v>120</v>
      </c>
      <c r="AK38" s="76">
        <f>C38*AJ38</f>
        <v>18000</v>
      </c>
      <c r="AL38" s="76">
        <v>160</v>
      </c>
      <c r="AM38" s="76">
        <f>C38*AL38</f>
        <v>24000</v>
      </c>
      <c r="AN38" s="76">
        <v>24</v>
      </c>
      <c r="AO38" s="76">
        <f>AN38*C38</f>
        <v>3600</v>
      </c>
      <c r="AP38" s="76">
        <v>120</v>
      </c>
      <c r="AQ38" s="76">
        <f>AP38*C38</f>
        <v>18000</v>
      </c>
      <c r="AR38" s="76">
        <v>120</v>
      </c>
      <c r="AS38" s="76">
        <f>AR38*C38</f>
        <v>18000</v>
      </c>
      <c r="AT38" s="76">
        <v>120</v>
      </c>
      <c r="AU38" s="76">
        <f>AT38*C38</f>
        <v>18000</v>
      </c>
      <c r="AV38" s="76">
        <v>120</v>
      </c>
      <c r="AW38" s="76">
        <f>AV38*C38</f>
        <v>18000</v>
      </c>
      <c r="AX38" s="76">
        <v>120</v>
      </c>
      <c r="AY38" s="76">
        <f>AX38*C38</f>
        <v>18000</v>
      </c>
      <c r="AZ38" s="76">
        <f>35*4</f>
        <v>140</v>
      </c>
      <c r="BA38" s="76">
        <f>C38*AZ38</f>
        <v>21000</v>
      </c>
      <c r="BB38" s="76">
        <f>50*4</f>
        <v>200</v>
      </c>
      <c r="BC38" s="76">
        <f>BB38*C38</f>
        <v>30000</v>
      </c>
      <c r="BD38" s="76">
        <v>120</v>
      </c>
      <c r="BE38" s="76">
        <f>BD38*C38</f>
        <v>18000</v>
      </c>
      <c r="BF38" s="76">
        <v>0</v>
      </c>
      <c r="BG38" s="76">
        <f>BF38*C38</f>
        <v>0</v>
      </c>
      <c r="BH38" s="78">
        <f t="shared" si="15"/>
        <v>2104</v>
      </c>
      <c r="BI38" s="78">
        <f t="shared" si="15"/>
        <v>315600</v>
      </c>
      <c r="BJ38" s="362" t="s">
        <v>224</v>
      </c>
      <c r="BL38" s="98"/>
      <c r="BM38" s="98">
        <f>BI38</f>
        <v>315600</v>
      </c>
      <c r="BN38" s="98"/>
      <c r="BO38" s="98"/>
      <c r="BP38" s="98">
        <f t="shared" si="14"/>
        <v>315600</v>
      </c>
      <c r="BQ38" s="98"/>
      <c r="BR38" s="98"/>
      <c r="BS38" s="98"/>
      <c r="BT38" s="102">
        <f t="shared" si="1"/>
        <v>315600</v>
      </c>
    </row>
    <row r="39" spans="1:72" s="226" customFormat="1" ht="31.5">
      <c r="A39" s="503" t="s">
        <v>631</v>
      </c>
      <c r="B39" s="362" t="s">
        <v>71</v>
      </c>
      <c r="C39" s="312">
        <v>150</v>
      </c>
      <c r="D39" s="276">
        <f>BH39</f>
        <v>0</v>
      </c>
      <c r="E39" s="76">
        <f>D39*C39</f>
        <v>0</v>
      </c>
      <c r="F39" s="76">
        <f>E39*0.2</f>
        <v>0</v>
      </c>
      <c r="G39" s="76">
        <f>E39*0.8</f>
        <v>0</v>
      </c>
      <c r="H39" s="76"/>
      <c r="I39" s="76"/>
      <c r="J39" s="76"/>
      <c r="K39" s="76"/>
      <c r="L39" s="76"/>
      <c r="M39" s="76"/>
      <c r="N39" s="76"/>
      <c r="O39" s="76"/>
      <c r="P39" s="81">
        <f>D39*0.25</f>
        <v>0</v>
      </c>
      <c r="Q39" s="81">
        <f>D39*0.25</f>
        <v>0</v>
      </c>
      <c r="R39" s="81">
        <f>D39*0.25</f>
        <v>0</v>
      </c>
      <c r="S39" s="81">
        <f>D39*0.25</f>
        <v>0</v>
      </c>
      <c r="T39" s="76">
        <f>P39*C39</f>
        <v>0</v>
      </c>
      <c r="U39" s="76">
        <f>Q39*C39</f>
        <v>0</v>
      </c>
      <c r="V39" s="76">
        <f>R39*C39</f>
        <v>0</v>
      </c>
      <c r="W39" s="76">
        <f>S39*C39</f>
        <v>0</v>
      </c>
      <c r="X39" s="76">
        <v>0</v>
      </c>
      <c r="Y39" s="76">
        <f>X39*C39</f>
        <v>0</v>
      </c>
      <c r="Z39" s="76">
        <v>0</v>
      </c>
      <c r="AA39" s="76">
        <f>Z39*C39</f>
        <v>0</v>
      </c>
      <c r="AB39" s="76">
        <v>0</v>
      </c>
      <c r="AC39" s="76">
        <f>AB39*C39</f>
        <v>0</v>
      </c>
      <c r="AD39" s="76">
        <v>0</v>
      </c>
      <c r="AE39" s="76">
        <f>AD39*C39</f>
        <v>0</v>
      </c>
      <c r="AF39" s="76">
        <v>0</v>
      </c>
      <c r="AG39" s="76">
        <f>AF39*C39</f>
        <v>0</v>
      </c>
      <c r="AH39" s="76">
        <v>0</v>
      </c>
      <c r="AI39" s="76">
        <f>C39*AH39</f>
        <v>0</v>
      </c>
      <c r="AJ39" s="76">
        <v>0</v>
      </c>
      <c r="AK39" s="76">
        <f>C39*AJ39</f>
        <v>0</v>
      </c>
      <c r="AL39" s="76">
        <v>0</v>
      </c>
      <c r="AM39" s="76">
        <f>C39*AL39</f>
        <v>0</v>
      </c>
      <c r="AN39" s="76">
        <v>0</v>
      </c>
      <c r="AO39" s="76">
        <f>AN39*C39</f>
        <v>0</v>
      </c>
      <c r="AP39" s="76">
        <v>0</v>
      </c>
      <c r="AQ39" s="76">
        <f>AP39*C39</f>
        <v>0</v>
      </c>
      <c r="AR39" s="76">
        <v>0</v>
      </c>
      <c r="AS39" s="76">
        <f>AR39*C39</f>
        <v>0</v>
      </c>
      <c r="AT39" s="76">
        <v>0</v>
      </c>
      <c r="AU39" s="76">
        <f>AT39*C39</f>
        <v>0</v>
      </c>
      <c r="AV39" s="76">
        <v>0</v>
      </c>
      <c r="AW39" s="76">
        <f>AV39*C39</f>
        <v>0</v>
      </c>
      <c r="AX39" s="76">
        <v>0</v>
      </c>
      <c r="AY39" s="76">
        <f>AX39*C39</f>
        <v>0</v>
      </c>
      <c r="AZ39" s="76">
        <v>0</v>
      </c>
      <c r="BA39" s="76">
        <f>C39*AZ39</f>
        <v>0</v>
      </c>
      <c r="BB39" s="76">
        <v>0</v>
      </c>
      <c r="BC39" s="76">
        <f>BB39*C39</f>
        <v>0</v>
      </c>
      <c r="BD39" s="76">
        <v>0</v>
      </c>
      <c r="BE39" s="76">
        <f>BD39*C39</f>
        <v>0</v>
      </c>
      <c r="BF39" s="76">
        <v>0</v>
      </c>
      <c r="BG39" s="76">
        <f>BF39*C39</f>
        <v>0</v>
      </c>
      <c r="BH39" s="78">
        <f t="shared" si="15"/>
        <v>0</v>
      </c>
      <c r="BI39" s="78">
        <f t="shared" si="15"/>
        <v>0</v>
      </c>
      <c r="BJ39" s="362" t="s">
        <v>224</v>
      </c>
      <c r="BL39" s="180"/>
      <c r="BM39" s="98">
        <f>BI39</f>
        <v>0</v>
      </c>
      <c r="BN39" s="180"/>
      <c r="BO39" s="180"/>
      <c r="BP39" s="98">
        <f t="shared" si="14"/>
        <v>0</v>
      </c>
      <c r="BQ39" s="180"/>
      <c r="BR39" s="180"/>
      <c r="BS39" s="180"/>
      <c r="BT39" s="102">
        <f t="shared" si="1"/>
        <v>0</v>
      </c>
    </row>
    <row r="40" spans="1:72" s="90" customFormat="1" ht="15.75">
      <c r="A40" s="323" t="s">
        <v>632</v>
      </c>
      <c r="B40" s="362" t="s">
        <v>653</v>
      </c>
      <c r="C40" s="312" t="s">
        <v>482</v>
      </c>
      <c r="D40" s="79">
        <f>BH40</f>
        <v>1</v>
      </c>
      <c r="E40" s="76">
        <f>D40*C40</f>
        <v>60000</v>
      </c>
      <c r="F40" s="76">
        <f>E40*0.2</f>
        <v>12000</v>
      </c>
      <c r="G40" s="76">
        <f>E40*0.8</f>
        <v>48000</v>
      </c>
      <c r="H40" s="76"/>
      <c r="I40" s="76"/>
      <c r="J40" s="76"/>
      <c r="K40" s="76"/>
      <c r="L40" s="76"/>
      <c r="M40" s="76"/>
      <c r="N40" s="76"/>
      <c r="O40" s="76"/>
      <c r="P40" s="81">
        <f>D40*0.25</f>
        <v>0.25</v>
      </c>
      <c r="Q40" s="81">
        <f>D40*0.25</f>
        <v>0.25</v>
      </c>
      <c r="R40" s="81">
        <f>D40*0.25</f>
        <v>0.25</v>
      </c>
      <c r="S40" s="81">
        <f>D40*0.25</f>
        <v>0.25</v>
      </c>
      <c r="T40" s="76">
        <f>P40*C40</f>
        <v>15000</v>
      </c>
      <c r="U40" s="76">
        <f>Q40*C40</f>
        <v>15000</v>
      </c>
      <c r="V40" s="76">
        <f>R40*C40</f>
        <v>15000</v>
      </c>
      <c r="W40" s="76">
        <f>S40*C40</f>
        <v>15000</v>
      </c>
      <c r="X40" s="76">
        <v>0</v>
      </c>
      <c r="Y40" s="76">
        <f>X40*C40</f>
        <v>0</v>
      </c>
      <c r="Z40" s="76">
        <v>0</v>
      </c>
      <c r="AA40" s="76">
        <f>Z40*C40</f>
        <v>0</v>
      </c>
      <c r="AB40" s="76">
        <v>0</v>
      </c>
      <c r="AC40" s="76">
        <f>AB40*C40</f>
        <v>0</v>
      </c>
      <c r="AD40" s="76">
        <v>0</v>
      </c>
      <c r="AE40" s="76">
        <f>AD40*C40</f>
        <v>0</v>
      </c>
      <c r="AF40" s="76">
        <v>0</v>
      </c>
      <c r="AG40" s="76">
        <f>AF40*C40</f>
        <v>0</v>
      </c>
      <c r="AH40" s="76">
        <v>0</v>
      </c>
      <c r="AI40" s="76">
        <f>C40*AH40</f>
        <v>0</v>
      </c>
      <c r="AJ40" s="76">
        <v>0</v>
      </c>
      <c r="AK40" s="76">
        <f>C40*AJ40</f>
        <v>0</v>
      </c>
      <c r="AL40" s="76">
        <v>0</v>
      </c>
      <c r="AM40" s="76">
        <f>C40*AL40</f>
        <v>0</v>
      </c>
      <c r="AN40" s="76">
        <v>0</v>
      </c>
      <c r="AO40" s="76">
        <f>AN40*C40</f>
        <v>0</v>
      </c>
      <c r="AP40" s="76">
        <v>0</v>
      </c>
      <c r="AQ40" s="76">
        <f>AP40*C40</f>
        <v>0</v>
      </c>
      <c r="AR40" s="76">
        <v>0</v>
      </c>
      <c r="AS40" s="76">
        <f>AR40*C40</f>
        <v>0</v>
      </c>
      <c r="AT40" s="76">
        <v>0</v>
      </c>
      <c r="AU40" s="76">
        <f>AT40*C40</f>
        <v>0</v>
      </c>
      <c r="AV40" s="76">
        <v>0</v>
      </c>
      <c r="AW40" s="76">
        <f>AV40*C40</f>
        <v>0</v>
      </c>
      <c r="AX40" s="76">
        <v>0</v>
      </c>
      <c r="AY40" s="76">
        <f>AX40*C40</f>
        <v>0</v>
      </c>
      <c r="AZ40" s="76">
        <v>0</v>
      </c>
      <c r="BA40" s="76">
        <f>C40*AZ40</f>
        <v>0</v>
      </c>
      <c r="BB40" s="76">
        <v>0</v>
      </c>
      <c r="BC40" s="76">
        <f>BB40*C40</f>
        <v>0</v>
      </c>
      <c r="BD40" s="76">
        <v>0</v>
      </c>
      <c r="BE40" s="76">
        <f>BD40*C40</f>
        <v>0</v>
      </c>
      <c r="BF40" s="76">
        <v>1</v>
      </c>
      <c r="BG40" s="76">
        <f>BF40*C40</f>
        <v>60000</v>
      </c>
      <c r="BH40" s="78">
        <f t="shared" si="15"/>
        <v>1</v>
      </c>
      <c r="BI40" s="78">
        <f t="shared" si="15"/>
        <v>60000</v>
      </c>
      <c r="BJ40" s="362" t="s">
        <v>224</v>
      </c>
      <c r="BL40" s="98"/>
      <c r="BM40" s="98">
        <f>BI40</f>
        <v>60000</v>
      </c>
      <c r="BN40" s="98"/>
      <c r="BO40" s="98"/>
      <c r="BP40" s="98">
        <f t="shared" si="14"/>
        <v>60000</v>
      </c>
      <c r="BQ40" s="98"/>
      <c r="BR40" s="98"/>
      <c r="BS40" s="98"/>
      <c r="BT40" s="102">
        <f t="shared" si="1"/>
        <v>60000</v>
      </c>
    </row>
    <row r="41" spans="1:72" s="90" customFormat="1" ht="15.75">
      <c r="A41" s="336" t="s">
        <v>633</v>
      </c>
      <c r="B41" s="364" t="s">
        <v>121</v>
      </c>
      <c r="C41" s="347" t="s">
        <v>121</v>
      </c>
      <c r="D41" s="339">
        <f>SUM(D37:D40)</f>
        <v>2309</v>
      </c>
      <c r="E41" s="339">
        <f t="shared" ref="E41:O41" si="16">SUM(E37:E40)</f>
        <v>477600</v>
      </c>
      <c r="F41" s="339">
        <f t="shared" si="16"/>
        <v>95520</v>
      </c>
      <c r="G41" s="339">
        <f t="shared" si="16"/>
        <v>382080</v>
      </c>
      <c r="H41" s="339">
        <f t="shared" si="16"/>
        <v>0</v>
      </c>
      <c r="I41" s="339">
        <f t="shared" si="16"/>
        <v>0</v>
      </c>
      <c r="J41" s="339">
        <f t="shared" si="16"/>
        <v>0</v>
      </c>
      <c r="K41" s="339">
        <f t="shared" si="16"/>
        <v>0</v>
      </c>
      <c r="L41" s="339">
        <f t="shared" si="16"/>
        <v>0</v>
      </c>
      <c r="M41" s="339">
        <f t="shared" si="16"/>
        <v>0</v>
      </c>
      <c r="N41" s="339">
        <f t="shared" si="16"/>
        <v>0</v>
      </c>
      <c r="O41" s="339">
        <f t="shared" si="16"/>
        <v>0</v>
      </c>
      <c r="P41" s="370"/>
      <c r="Q41" s="370"/>
      <c r="R41" s="370"/>
      <c r="S41" s="370"/>
      <c r="T41" s="430"/>
      <c r="U41" s="430"/>
      <c r="V41" s="430"/>
      <c r="W41" s="430"/>
      <c r="X41" s="430">
        <f>SUM(X36:X40)</f>
        <v>120</v>
      </c>
      <c r="Y41" s="430">
        <f t="shared" ref="Y41:BT41" si="17">SUM(Y36:Y40)</f>
        <v>18000</v>
      </c>
      <c r="Z41" s="430">
        <f t="shared" si="17"/>
        <v>92</v>
      </c>
      <c r="AA41" s="430">
        <f t="shared" si="17"/>
        <v>13800</v>
      </c>
      <c r="AB41" s="430">
        <f t="shared" si="17"/>
        <v>120</v>
      </c>
      <c r="AC41" s="430">
        <f t="shared" si="17"/>
        <v>18000</v>
      </c>
      <c r="AD41" s="430">
        <f t="shared" si="17"/>
        <v>204</v>
      </c>
      <c r="AE41" s="430">
        <f t="shared" si="17"/>
        <v>30600</v>
      </c>
      <c r="AF41" s="430">
        <f t="shared" si="17"/>
        <v>84</v>
      </c>
      <c r="AG41" s="430">
        <f t="shared" si="17"/>
        <v>12600</v>
      </c>
      <c r="AH41" s="430">
        <f t="shared" si="17"/>
        <v>120</v>
      </c>
      <c r="AI41" s="430">
        <f t="shared" si="17"/>
        <v>18000</v>
      </c>
      <c r="AJ41" s="430">
        <f t="shared" si="17"/>
        <v>120</v>
      </c>
      <c r="AK41" s="430">
        <f t="shared" si="17"/>
        <v>18000</v>
      </c>
      <c r="AL41" s="430">
        <f t="shared" si="17"/>
        <v>160</v>
      </c>
      <c r="AM41" s="430">
        <f t="shared" si="17"/>
        <v>24000</v>
      </c>
      <c r="AN41" s="430">
        <f t="shared" si="17"/>
        <v>24</v>
      </c>
      <c r="AO41" s="430">
        <f t="shared" si="17"/>
        <v>3600</v>
      </c>
      <c r="AP41" s="430">
        <f t="shared" si="17"/>
        <v>120</v>
      </c>
      <c r="AQ41" s="430">
        <f t="shared" si="17"/>
        <v>18000</v>
      </c>
      <c r="AR41" s="430">
        <f t="shared" si="17"/>
        <v>120</v>
      </c>
      <c r="AS41" s="430">
        <f t="shared" si="17"/>
        <v>18000</v>
      </c>
      <c r="AT41" s="430">
        <f t="shared" si="17"/>
        <v>120</v>
      </c>
      <c r="AU41" s="430">
        <f t="shared" si="17"/>
        <v>18000</v>
      </c>
      <c r="AV41" s="430">
        <f t="shared" si="17"/>
        <v>120</v>
      </c>
      <c r="AW41" s="430">
        <f t="shared" si="17"/>
        <v>18000</v>
      </c>
      <c r="AX41" s="430">
        <f t="shared" si="17"/>
        <v>120</v>
      </c>
      <c r="AY41" s="430">
        <f t="shared" si="17"/>
        <v>18000</v>
      </c>
      <c r="AZ41" s="430">
        <f t="shared" si="17"/>
        <v>140</v>
      </c>
      <c r="BA41" s="430">
        <f t="shared" si="17"/>
        <v>21000</v>
      </c>
      <c r="BB41" s="430">
        <f t="shared" si="17"/>
        <v>200</v>
      </c>
      <c r="BC41" s="430">
        <f t="shared" si="17"/>
        <v>30000</v>
      </c>
      <c r="BD41" s="430">
        <f t="shared" si="17"/>
        <v>120</v>
      </c>
      <c r="BE41" s="430">
        <f t="shared" si="17"/>
        <v>18000</v>
      </c>
      <c r="BF41" s="430">
        <f t="shared" si="17"/>
        <v>205</v>
      </c>
      <c r="BG41" s="430">
        <f t="shared" si="17"/>
        <v>162000</v>
      </c>
      <c r="BH41" s="430">
        <f t="shared" si="17"/>
        <v>2309</v>
      </c>
      <c r="BI41" s="430">
        <f t="shared" si="17"/>
        <v>477600</v>
      </c>
      <c r="BJ41" s="430">
        <f t="shared" si="17"/>
        <v>0</v>
      </c>
      <c r="BK41" s="430">
        <f t="shared" si="17"/>
        <v>0</v>
      </c>
      <c r="BL41" s="430">
        <f t="shared" si="17"/>
        <v>0</v>
      </c>
      <c r="BM41" s="430">
        <f t="shared" si="17"/>
        <v>477600</v>
      </c>
      <c r="BN41" s="430">
        <f t="shared" si="17"/>
        <v>0</v>
      </c>
      <c r="BO41" s="430">
        <f t="shared" si="17"/>
        <v>0</v>
      </c>
      <c r="BP41" s="430">
        <f t="shared" si="17"/>
        <v>477600</v>
      </c>
      <c r="BQ41" s="430">
        <f t="shared" si="17"/>
        <v>0</v>
      </c>
      <c r="BR41" s="430">
        <f t="shared" si="17"/>
        <v>0</v>
      </c>
      <c r="BS41" s="430">
        <f t="shared" si="17"/>
        <v>0</v>
      </c>
      <c r="BT41" s="430">
        <f t="shared" si="17"/>
        <v>477600</v>
      </c>
    </row>
    <row r="42" spans="1:72" s="90" customFormat="1" ht="15.75">
      <c r="A42" s="332" t="s">
        <v>634</v>
      </c>
      <c r="B42" s="362"/>
      <c r="C42" s="362"/>
      <c r="D42" s="79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81"/>
      <c r="Q42" s="81"/>
      <c r="R42" s="81"/>
      <c r="S42" s="81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8"/>
      <c r="BI42" s="162"/>
      <c r="BJ42" s="362"/>
      <c r="BL42" s="98"/>
      <c r="BM42" s="98">
        <f>E42</f>
        <v>0</v>
      </c>
      <c r="BN42" s="98"/>
      <c r="BO42" s="98"/>
      <c r="BP42" s="98">
        <f t="shared" si="14"/>
        <v>0</v>
      </c>
      <c r="BQ42" s="98"/>
      <c r="BR42" s="98"/>
      <c r="BS42" s="98"/>
      <c r="BT42" s="102">
        <f t="shared" si="1"/>
        <v>0</v>
      </c>
    </row>
    <row r="43" spans="1:72" s="226" customFormat="1" ht="15.75">
      <c r="A43" s="323" t="s">
        <v>632</v>
      </c>
      <c r="B43" s="362" t="s">
        <v>16</v>
      </c>
      <c r="C43" s="312" t="s">
        <v>482</v>
      </c>
      <c r="D43" s="276">
        <f t="shared" ref="D43:D50" si="18">BH43</f>
        <v>0</v>
      </c>
      <c r="E43" s="241">
        <f t="shared" ref="E43:E50" si="19">D43*C43</f>
        <v>0</v>
      </c>
      <c r="F43" s="76">
        <f t="shared" ref="F43:F50" si="20">E43*0.2</f>
        <v>0</v>
      </c>
      <c r="G43" s="76">
        <f t="shared" ref="G43:G50" si="21">E43*0.8</f>
        <v>0</v>
      </c>
      <c r="H43" s="241"/>
      <c r="I43" s="241"/>
      <c r="J43" s="241"/>
      <c r="K43" s="241"/>
      <c r="L43" s="241"/>
      <c r="M43" s="241"/>
      <c r="N43" s="241"/>
      <c r="O43" s="241"/>
      <c r="P43" s="387">
        <f t="shared" ref="P43:P50" si="22">D43*0.25</f>
        <v>0</v>
      </c>
      <c r="Q43" s="387">
        <f t="shared" ref="Q43:Q50" si="23">D43*0.25</f>
        <v>0</v>
      </c>
      <c r="R43" s="387">
        <f t="shared" ref="R43:R50" si="24">D43*0.25</f>
        <v>0</v>
      </c>
      <c r="S43" s="387">
        <f t="shared" ref="S43:S50" si="25">D43*0.25</f>
        <v>0</v>
      </c>
      <c r="T43" s="241">
        <f t="shared" ref="T43:T50" si="26">P43*C43</f>
        <v>0</v>
      </c>
      <c r="U43" s="241">
        <f t="shared" ref="U43:U50" si="27">Q43*C43</f>
        <v>0</v>
      </c>
      <c r="V43" s="241">
        <f t="shared" ref="V43:V50" si="28">R43*C43</f>
        <v>0</v>
      </c>
      <c r="W43" s="241">
        <f t="shared" ref="W43:W50" si="29">S43*C43</f>
        <v>0</v>
      </c>
      <c r="X43" s="76">
        <v>0</v>
      </c>
      <c r="Y43" s="76">
        <f t="shared" ref="Y43:Y50" si="30">X43*C43</f>
        <v>0</v>
      </c>
      <c r="Z43" s="76">
        <v>0</v>
      </c>
      <c r="AA43" s="76">
        <f t="shared" ref="AA43:AA50" si="31">Z43*C43</f>
        <v>0</v>
      </c>
      <c r="AB43" s="76">
        <v>0</v>
      </c>
      <c r="AC43" s="76">
        <f t="shared" ref="AC43:AC50" si="32">AB43*C43</f>
        <v>0</v>
      </c>
      <c r="AD43" s="76">
        <v>0</v>
      </c>
      <c r="AE43" s="76">
        <f t="shared" ref="AE43:AE50" si="33">AD43*C43</f>
        <v>0</v>
      </c>
      <c r="AF43" s="76">
        <v>0</v>
      </c>
      <c r="AG43" s="76">
        <f t="shared" ref="AG43:AG50" si="34">AF43*C43</f>
        <v>0</v>
      </c>
      <c r="AH43" s="76">
        <v>0</v>
      </c>
      <c r="AI43" s="76">
        <f t="shared" ref="AI43:AI50" si="35">C43*AH43</f>
        <v>0</v>
      </c>
      <c r="AJ43" s="76">
        <v>0</v>
      </c>
      <c r="AK43" s="76">
        <f t="shared" ref="AK43:AK50" si="36">C43*AJ43</f>
        <v>0</v>
      </c>
      <c r="AL43" s="76">
        <v>0</v>
      </c>
      <c r="AM43" s="76">
        <f t="shared" ref="AM43:AM50" si="37">C43*AL43</f>
        <v>0</v>
      </c>
      <c r="AN43" s="76">
        <v>0</v>
      </c>
      <c r="AO43" s="76">
        <f t="shared" ref="AO43:AO50" si="38">AN43*C43</f>
        <v>0</v>
      </c>
      <c r="AP43" s="76">
        <v>0</v>
      </c>
      <c r="AQ43" s="76">
        <f t="shared" ref="AQ43:AQ50" si="39">AP43*C43</f>
        <v>0</v>
      </c>
      <c r="AR43" s="76">
        <v>0</v>
      </c>
      <c r="AS43" s="76">
        <f t="shared" ref="AS43:AS50" si="40">AR43*C43</f>
        <v>0</v>
      </c>
      <c r="AT43" s="76">
        <v>0</v>
      </c>
      <c r="AU43" s="76">
        <f>AT43*C43</f>
        <v>0</v>
      </c>
      <c r="AV43" s="76">
        <v>0</v>
      </c>
      <c r="AW43" s="76">
        <f>AV43*C43</f>
        <v>0</v>
      </c>
      <c r="AX43" s="76">
        <v>0</v>
      </c>
      <c r="AY43" s="76">
        <f t="shared" ref="AY43:AY50" si="41">AX43*C43</f>
        <v>0</v>
      </c>
      <c r="AZ43" s="76">
        <v>0</v>
      </c>
      <c r="BA43" s="76">
        <f t="shared" ref="BA43:BA50" si="42">C43*AZ43</f>
        <v>0</v>
      </c>
      <c r="BB43" s="76">
        <v>0</v>
      </c>
      <c r="BC43" s="76">
        <f t="shared" ref="BC43:BC50" si="43">BB43*C43</f>
        <v>0</v>
      </c>
      <c r="BD43" s="76">
        <v>0</v>
      </c>
      <c r="BE43" s="76">
        <f t="shared" ref="BE43:BE50" si="44">BD43*C43</f>
        <v>0</v>
      </c>
      <c r="BF43" s="76">
        <v>0</v>
      </c>
      <c r="BG43" s="76">
        <f t="shared" ref="BG43:BG50" si="45">BF43*C43</f>
        <v>0</v>
      </c>
      <c r="BH43" s="78">
        <f t="shared" ref="BH43:BH50" si="46">BF43+BD43+BB43+AZ43+AX43+AV43+AT43+AR43+AP43+AN43+AL43+AJ43+AH43+AF43+AD43+AB43+Z43+X43</f>
        <v>0</v>
      </c>
      <c r="BI43" s="78">
        <f t="shared" ref="BI43:BI50" si="47">BG43+BE43+BC43+BA43+AY43+AW43+AU43+AS43+AQ43+AO43+AM43+AK43+AI43+AG43+AE43+AC43+AA43+Y43</f>
        <v>0</v>
      </c>
      <c r="BJ43" s="362" t="s">
        <v>224</v>
      </c>
      <c r="BL43" s="241"/>
      <c r="BM43" s="98">
        <f t="shared" ref="BM43:BM50" si="48">BI43</f>
        <v>0</v>
      </c>
      <c r="BN43" s="98"/>
      <c r="BO43" s="98"/>
      <c r="BP43" s="98">
        <f t="shared" ref="BP43:BP50" si="49">BL43+BM43+BN43+BO43</f>
        <v>0</v>
      </c>
      <c r="BQ43" s="98"/>
      <c r="BR43" s="98"/>
      <c r="BS43" s="98"/>
      <c r="BT43" s="102">
        <f t="shared" ref="BT43:BT50" si="50">BP43+BS43</f>
        <v>0</v>
      </c>
    </row>
    <row r="44" spans="1:72" s="90" customFormat="1" ht="15.75">
      <c r="A44" s="323" t="s">
        <v>710</v>
      </c>
      <c r="B44" s="362" t="s">
        <v>711</v>
      </c>
      <c r="C44" s="312">
        <v>100</v>
      </c>
      <c r="D44" s="79">
        <f t="shared" si="18"/>
        <v>4158</v>
      </c>
      <c r="E44" s="76">
        <f t="shared" si="19"/>
        <v>415800</v>
      </c>
      <c r="F44" s="76">
        <f t="shared" si="20"/>
        <v>83160</v>
      </c>
      <c r="G44" s="76">
        <f t="shared" si="21"/>
        <v>332640</v>
      </c>
      <c r="H44" s="76"/>
      <c r="I44" s="76"/>
      <c r="J44" s="76"/>
      <c r="K44" s="76"/>
      <c r="L44" s="76"/>
      <c r="M44" s="76"/>
      <c r="N44" s="76"/>
      <c r="O44" s="76"/>
      <c r="P44" s="81">
        <f t="shared" si="22"/>
        <v>1039.5</v>
      </c>
      <c r="Q44" s="81">
        <f t="shared" si="23"/>
        <v>1039.5</v>
      </c>
      <c r="R44" s="81">
        <f t="shared" si="24"/>
        <v>1039.5</v>
      </c>
      <c r="S44" s="81">
        <f t="shared" si="25"/>
        <v>1039.5</v>
      </c>
      <c r="T44" s="78">
        <f t="shared" si="26"/>
        <v>103950</v>
      </c>
      <c r="U44" s="78">
        <f t="shared" si="27"/>
        <v>103950</v>
      </c>
      <c r="V44" s="78">
        <f t="shared" si="28"/>
        <v>103950</v>
      </c>
      <c r="W44" s="78">
        <f t="shared" si="29"/>
        <v>103950</v>
      </c>
      <c r="X44" s="76">
        <f>4*7*2*3</f>
        <v>168</v>
      </c>
      <c r="Y44" s="76">
        <f t="shared" si="30"/>
        <v>16800</v>
      </c>
      <c r="Z44" s="76">
        <f>3*7*2*3</f>
        <v>126</v>
      </c>
      <c r="AA44" s="76">
        <f t="shared" si="31"/>
        <v>12600</v>
      </c>
      <c r="AB44" s="76">
        <f>4*7*2*3</f>
        <v>168</v>
      </c>
      <c r="AC44" s="76">
        <f t="shared" si="32"/>
        <v>16800</v>
      </c>
      <c r="AD44" s="76">
        <f>5*7*2*3</f>
        <v>210</v>
      </c>
      <c r="AE44" s="76">
        <f t="shared" si="33"/>
        <v>21000</v>
      </c>
      <c r="AF44" s="76">
        <f>2*7*2*3</f>
        <v>84</v>
      </c>
      <c r="AG44" s="76">
        <f t="shared" si="34"/>
        <v>8400</v>
      </c>
      <c r="AH44" s="76">
        <f>4*7*2*3</f>
        <v>168</v>
      </c>
      <c r="AI44" s="76">
        <f t="shared" si="35"/>
        <v>16800</v>
      </c>
      <c r="AJ44" s="76">
        <f>5*7*2*3</f>
        <v>210</v>
      </c>
      <c r="AK44" s="76">
        <f t="shared" si="36"/>
        <v>21000</v>
      </c>
      <c r="AL44" s="76">
        <f>9*7*2*3</f>
        <v>378</v>
      </c>
      <c r="AM44" s="76">
        <f t="shared" si="37"/>
        <v>37800</v>
      </c>
      <c r="AN44" s="76">
        <f>5*7*2*3</f>
        <v>210</v>
      </c>
      <c r="AO44" s="76">
        <f t="shared" si="38"/>
        <v>21000</v>
      </c>
      <c r="AP44" s="76">
        <f>8*7*2*3</f>
        <v>336</v>
      </c>
      <c r="AQ44" s="76">
        <f t="shared" si="39"/>
        <v>33600</v>
      </c>
      <c r="AR44" s="76">
        <f>6*7*2*3</f>
        <v>252</v>
      </c>
      <c r="AS44" s="76">
        <f t="shared" si="40"/>
        <v>25200</v>
      </c>
      <c r="AT44" s="76">
        <f>5*7*2*3</f>
        <v>210</v>
      </c>
      <c r="AU44" s="76">
        <f t="shared" ref="AU44:AU50" si="51">AT44*C44</f>
        <v>21000</v>
      </c>
      <c r="AV44" s="76">
        <f>9*7*2*3</f>
        <v>378</v>
      </c>
      <c r="AW44" s="76">
        <f t="shared" ref="AW44:AW50" si="52">AV44*C44</f>
        <v>37800</v>
      </c>
      <c r="AX44" s="76">
        <f>9*7*2*3</f>
        <v>378</v>
      </c>
      <c r="AY44" s="76">
        <f t="shared" si="41"/>
        <v>37800</v>
      </c>
      <c r="AZ44" s="76">
        <f>3*7*2*3</f>
        <v>126</v>
      </c>
      <c r="BA44" s="76">
        <f t="shared" si="42"/>
        <v>12600</v>
      </c>
      <c r="BB44" s="76">
        <f>12*7*2*3</f>
        <v>504</v>
      </c>
      <c r="BC44" s="76">
        <f t="shared" si="43"/>
        <v>50400</v>
      </c>
      <c r="BD44" s="76">
        <f>6*7*2*3</f>
        <v>252</v>
      </c>
      <c r="BE44" s="76">
        <f t="shared" si="44"/>
        <v>25200</v>
      </c>
      <c r="BF44" s="76">
        <v>0</v>
      </c>
      <c r="BG44" s="76">
        <f t="shared" si="45"/>
        <v>0</v>
      </c>
      <c r="BH44" s="78">
        <f t="shared" si="46"/>
        <v>4158</v>
      </c>
      <c r="BI44" s="78">
        <f t="shared" si="47"/>
        <v>415800</v>
      </c>
      <c r="BJ44" s="362" t="s">
        <v>224</v>
      </c>
      <c r="BL44" s="98"/>
      <c r="BM44" s="98">
        <f t="shared" si="48"/>
        <v>415800</v>
      </c>
      <c r="BN44" s="98"/>
      <c r="BO44" s="98"/>
      <c r="BP44" s="98">
        <f t="shared" si="49"/>
        <v>415800</v>
      </c>
      <c r="BQ44" s="98"/>
      <c r="BR44" s="98"/>
      <c r="BS44" s="98"/>
      <c r="BT44" s="102">
        <f t="shared" si="50"/>
        <v>415800</v>
      </c>
    </row>
    <row r="45" spans="1:72" s="90" customFormat="1" ht="15.75">
      <c r="A45" s="323" t="s">
        <v>635</v>
      </c>
      <c r="B45" s="362"/>
      <c r="C45" s="312">
        <v>100</v>
      </c>
      <c r="D45" s="79">
        <f t="shared" si="18"/>
        <v>0</v>
      </c>
      <c r="E45" s="76">
        <f t="shared" si="19"/>
        <v>0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81">
        <f t="shared" si="22"/>
        <v>0</v>
      </c>
      <c r="Q45" s="81">
        <f t="shared" si="23"/>
        <v>0</v>
      </c>
      <c r="R45" s="81">
        <f t="shared" si="24"/>
        <v>0</v>
      </c>
      <c r="S45" s="81">
        <f t="shared" si="25"/>
        <v>0</v>
      </c>
      <c r="T45" s="76">
        <f t="shared" si="26"/>
        <v>0</v>
      </c>
      <c r="U45" s="76">
        <f t="shared" si="27"/>
        <v>0</v>
      </c>
      <c r="V45" s="76">
        <f t="shared" si="28"/>
        <v>0</v>
      </c>
      <c r="W45" s="76">
        <f t="shared" si="29"/>
        <v>0</v>
      </c>
      <c r="X45" s="76">
        <v>0</v>
      </c>
      <c r="Y45" s="76">
        <f t="shared" si="30"/>
        <v>0</v>
      </c>
      <c r="Z45" s="76">
        <v>0</v>
      </c>
      <c r="AA45" s="76">
        <f t="shared" si="31"/>
        <v>0</v>
      </c>
      <c r="AB45" s="76">
        <v>0</v>
      </c>
      <c r="AC45" s="76">
        <f t="shared" si="32"/>
        <v>0</v>
      </c>
      <c r="AD45" s="76">
        <v>0</v>
      </c>
      <c r="AE45" s="76">
        <f t="shared" si="33"/>
        <v>0</v>
      </c>
      <c r="AF45" s="76">
        <v>0</v>
      </c>
      <c r="AG45" s="76">
        <f t="shared" si="34"/>
        <v>0</v>
      </c>
      <c r="AH45" s="76">
        <v>0</v>
      </c>
      <c r="AI45" s="76">
        <f t="shared" si="35"/>
        <v>0</v>
      </c>
      <c r="AJ45" s="76">
        <v>0</v>
      </c>
      <c r="AK45" s="76">
        <f t="shared" si="36"/>
        <v>0</v>
      </c>
      <c r="AL45" s="76">
        <v>0</v>
      </c>
      <c r="AM45" s="76">
        <f t="shared" si="37"/>
        <v>0</v>
      </c>
      <c r="AN45" s="76">
        <v>0</v>
      </c>
      <c r="AO45" s="76">
        <f t="shared" si="38"/>
        <v>0</v>
      </c>
      <c r="AP45" s="76">
        <v>0</v>
      </c>
      <c r="AQ45" s="76">
        <f t="shared" si="39"/>
        <v>0</v>
      </c>
      <c r="AR45" s="76">
        <v>0</v>
      </c>
      <c r="AS45" s="76">
        <f t="shared" si="40"/>
        <v>0</v>
      </c>
      <c r="AT45" s="76">
        <v>0</v>
      </c>
      <c r="AU45" s="76">
        <f t="shared" si="51"/>
        <v>0</v>
      </c>
      <c r="AV45" s="76">
        <v>0</v>
      </c>
      <c r="AW45" s="76">
        <f t="shared" si="52"/>
        <v>0</v>
      </c>
      <c r="AX45" s="76">
        <v>0</v>
      </c>
      <c r="AY45" s="76">
        <f t="shared" si="41"/>
        <v>0</v>
      </c>
      <c r="AZ45" s="76">
        <v>0</v>
      </c>
      <c r="BA45" s="76">
        <f t="shared" si="42"/>
        <v>0</v>
      </c>
      <c r="BB45" s="76">
        <v>0</v>
      </c>
      <c r="BC45" s="76">
        <f t="shared" si="43"/>
        <v>0</v>
      </c>
      <c r="BD45" s="76">
        <v>0</v>
      </c>
      <c r="BE45" s="76">
        <f t="shared" si="44"/>
        <v>0</v>
      </c>
      <c r="BF45" s="76">
        <v>0</v>
      </c>
      <c r="BG45" s="76">
        <f t="shared" si="45"/>
        <v>0</v>
      </c>
      <c r="BH45" s="78">
        <f t="shared" si="46"/>
        <v>0</v>
      </c>
      <c r="BI45" s="78">
        <f t="shared" si="47"/>
        <v>0</v>
      </c>
      <c r="BJ45" s="362"/>
      <c r="BL45" s="98">
        <v>0</v>
      </c>
      <c r="BM45" s="98">
        <f t="shared" si="48"/>
        <v>0</v>
      </c>
      <c r="BN45" s="98"/>
      <c r="BO45" s="98"/>
      <c r="BP45" s="98">
        <f t="shared" si="49"/>
        <v>0</v>
      </c>
      <c r="BQ45" s="98"/>
      <c r="BR45" s="98"/>
      <c r="BS45" s="98"/>
      <c r="BT45" s="102">
        <f t="shared" si="50"/>
        <v>0</v>
      </c>
    </row>
    <row r="46" spans="1:72" s="90" customFormat="1" ht="15.75">
      <c r="A46" s="323" t="s">
        <v>636</v>
      </c>
      <c r="B46" s="362" t="s">
        <v>711</v>
      </c>
      <c r="C46" s="312">
        <v>100</v>
      </c>
      <c r="D46" s="79">
        <f t="shared" si="18"/>
        <v>0</v>
      </c>
      <c r="E46" s="76">
        <f t="shared" si="19"/>
        <v>0</v>
      </c>
      <c r="F46" s="76">
        <f t="shared" si="20"/>
        <v>0</v>
      </c>
      <c r="G46" s="76">
        <f t="shared" si="21"/>
        <v>0</v>
      </c>
      <c r="H46" s="76"/>
      <c r="I46" s="76"/>
      <c r="J46" s="76"/>
      <c r="K46" s="76"/>
      <c r="L46" s="76"/>
      <c r="M46" s="76"/>
      <c r="N46" s="76"/>
      <c r="O46" s="76"/>
      <c r="P46" s="81">
        <f t="shared" si="22"/>
        <v>0</v>
      </c>
      <c r="Q46" s="81">
        <f t="shared" si="23"/>
        <v>0</v>
      </c>
      <c r="R46" s="105">
        <f t="shared" si="24"/>
        <v>0</v>
      </c>
      <c r="S46" s="105">
        <f t="shared" si="25"/>
        <v>0</v>
      </c>
      <c r="T46" s="76">
        <f t="shared" si="26"/>
        <v>0</v>
      </c>
      <c r="U46" s="76">
        <f t="shared" si="27"/>
        <v>0</v>
      </c>
      <c r="V46" s="76">
        <f t="shared" si="28"/>
        <v>0</v>
      </c>
      <c r="W46" s="76">
        <f t="shared" si="29"/>
        <v>0</v>
      </c>
      <c r="X46" s="76">
        <v>0</v>
      </c>
      <c r="Y46" s="76">
        <f t="shared" si="30"/>
        <v>0</v>
      </c>
      <c r="Z46" s="76">
        <v>0</v>
      </c>
      <c r="AA46" s="76">
        <f t="shared" si="31"/>
        <v>0</v>
      </c>
      <c r="AB46" s="76">
        <v>0</v>
      </c>
      <c r="AC46" s="76">
        <f t="shared" si="32"/>
        <v>0</v>
      </c>
      <c r="AD46" s="76">
        <v>0</v>
      </c>
      <c r="AE46" s="76">
        <f t="shared" si="33"/>
        <v>0</v>
      </c>
      <c r="AF46" s="76">
        <v>0</v>
      </c>
      <c r="AG46" s="76">
        <f t="shared" si="34"/>
        <v>0</v>
      </c>
      <c r="AH46" s="76">
        <v>0</v>
      </c>
      <c r="AI46" s="76">
        <f t="shared" si="35"/>
        <v>0</v>
      </c>
      <c r="AJ46" s="76">
        <v>0</v>
      </c>
      <c r="AK46" s="76">
        <f t="shared" si="36"/>
        <v>0</v>
      </c>
      <c r="AL46" s="76">
        <v>0</v>
      </c>
      <c r="AM46" s="76">
        <f t="shared" si="37"/>
        <v>0</v>
      </c>
      <c r="AN46" s="76">
        <v>0</v>
      </c>
      <c r="AO46" s="76">
        <f t="shared" si="38"/>
        <v>0</v>
      </c>
      <c r="AP46" s="76">
        <v>0</v>
      </c>
      <c r="AQ46" s="76">
        <f t="shared" si="39"/>
        <v>0</v>
      </c>
      <c r="AR46" s="76">
        <v>0</v>
      </c>
      <c r="AS46" s="76">
        <f t="shared" si="40"/>
        <v>0</v>
      </c>
      <c r="AT46" s="76">
        <v>0</v>
      </c>
      <c r="AU46" s="76">
        <f t="shared" si="51"/>
        <v>0</v>
      </c>
      <c r="AV46" s="76">
        <v>0</v>
      </c>
      <c r="AW46" s="76">
        <f t="shared" si="52"/>
        <v>0</v>
      </c>
      <c r="AX46" s="76">
        <v>0</v>
      </c>
      <c r="AY46" s="76">
        <f t="shared" si="41"/>
        <v>0</v>
      </c>
      <c r="AZ46" s="76">
        <v>0</v>
      </c>
      <c r="BA46" s="76">
        <f t="shared" si="42"/>
        <v>0</v>
      </c>
      <c r="BB46" s="76">
        <v>0</v>
      </c>
      <c r="BC46" s="76">
        <f t="shared" si="43"/>
        <v>0</v>
      </c>
      <c r="BD46" s="76">
        <v>0</v>
      </c>
      <c r="BE46" s="76">
        <f t="shared" si="44"/>
        <v>0</v>
      </c>
      <c r="BF46" s="76">
        <v>0</v>
      </c>
      <c r="BG46" s="76">
        <f t="shared" si="45"/>
        <v>0</v>
      </c>
      <c r="BH46" s="78">
        <f t="shared" si="46"/>
        <v>0</v>
      </c>
      <c r="BI46" s="78">
        <f t="shared" si="47"/>
        <v>0</v>
      </c>
      <c r="BJ46" s="362" t="s">
        <v>224</v>
      </c>
      <c r="BL46" s="98">
        <v>0</v>
      </c>
      <c r="BM46" s="98">
        <f t="shared" si="48"/>
        <v>0</v>
      </c>
      <c r="BN46" s="98"/>
      <c r="BO46" s="98"/>
      <c r="BP46" s="98">
        <f t="shared" si="49"/>
        <v>0</v>
      </c>
      <c r="BQ46" s="98"/>
      <c r="BR46" s="98"/>
      <c r="BS46" s="98"/>
      <c r="BT46" s="102">
        <f t="shared" si="50"/>
        <v>0</v>
      </c>
    </row>
    <row r="47" spans="1:72" s="90" customFormat="1" ht="15.75">
      <c r="A47" s="323" t="s">
        <v>637</v>
      </c>
      <c r="B47" s="362" t="s">
        <v>711</v>
      </c>
      <c r="C47" s="312">
        <v>100</v>
      </c>
      <c r="D47" s="79">
        <f t="shared" si="18"/>
        <v>0</v>
      </c>
      <c r="E47" s="76">
        <f t="shared" si="19"/>
        <v>0</v>
      </c>
      <c r="F47" s="76">
        <f t="shared" si="20"/>
        <v>0</v>
      </c>
      <c r="G47" s="76">
        <f t="shared" si="21"/>
        <v>0</v>
      </c>
      <c r="H47" s="76"/>
      <c r="I47" s="76"/>
      <c r="J47" s="76"/>
      <c r="K47" s="76"/>
      <c r="L47" s="76"/>
      <c r="M47" s="76"/>
      <c r="N47" s="76"/>
      <c r="O47" s="76"/>
      <c r="P47" s="81">
        <f t="shared" si="22"/>
        <v>0</v>
      </c>
      <c r="Q47" s="81">
        <f t="shared" si="23"/>
        <v>0</v>
      </c>
      <c r="R47" s="105">
        <f t="shared" si="24"/>
        <v>0</v>
      </c>
      <c r="S47" s="105">
        <f t="shared" si="25"/>
        <v>0</v>
      </c>
      <c r="T47" s="76">
        <f t="shared" si="26"/>
        <v>0</v>
      </c>
      <c r="U47" s="76">
        <f t="shared" si="27"/>
        <v>0</v>
      </c>
      <c r="V47" s="76">
        <f t="shared" si="28"/>
        <v>0</v>
      </c>
      <c r="W47" s="76">
        <f t="shared" si="29"/>
        <v>0</v>
      </c>
      <c r="X47" s="76">
        <v>0</v>
      </c>
      <c r="Y47" s="76">
        <f t="shared" si="30"/>
        <v>0</v>
      </c>
      <c r="Z47" s="76">
        <v>0</v>
      </c>
      <c r="AA47" s="76">
        <f t="shared" si="31"/>
        <v>0</v>
      </c>
      <c r="AB47" s="76">
        <v>0</v>
      </c>
      <c r="AC47" s="76">
        <f t="shared" si="32"/>
        <v>0</v>
      </c>
      <c r="AD47" s="76">
        <v>0</v>
      </c>
      <c r="AE47" s="76">
        <f t="shared" si="33"/>
        <v>0</v>
      </c>
      <c r="AF47" s="76">
        <v>0</v>
      </c>
      <c r="AG47" s="76">
        <f t="shared" si="34"/>
        <v>0</v>
      </c>
      <c r="AH47" s="76">
        <v>0</v>
      </c>
      <c r="AI47" s="76">
        <f t="shared" si="35"/>
        <v>0</v>
      </c>
      <c r="AJ47" s="76">
        <v>0</v>
      </c>
      <c r="AK47" s="76">
        <f t="shared" si="36"/>
        <v>0</v>
      </c>
      <c r="AL47" s="76">
        <v>0</v>
      </c>
      <c r="AM47" s="76">
        <f t="shared" si="37"/>
        <v>0</v>
      </c>
      <c r="AN47" s="76">
        <v>0</v>
      </c>
      <c r="AO47" s="76">
        <f t="shared" si="38"/>
        <v>0</v>
      </c>
      <c r="AP47" s="76">
        <v>0</v>
      </c>
      <c r="AQ47" s="76">
        <f t="shared" si="39"/>
        <v>0</v>
      </c>
      <c r="AR47" s="76">
        <v>0</v>
      </c>
      <c r="AS47" s="76">
        <f t="shared" si="40"/>
        <v>0</v>
      </c>
      <c r="AT47" s="76">
        <v>0</v>
      </c>
      <c r="AU47" s="76">
        <f t="shared" si="51"/>
        <v>0</v>
      </c>
      <c r="AV47" s="76">
        <v>0</v>
      </c>
      <c r="AW47" s="76">
        <f t="shared" si="52"/>
        <v>0</v>
      </c>
      <c r="AX47" s="76">
        <v>0</v>
      </c>
      <c r="AY47" s="76">
        <f t="shared" si="41"/>
        <v>0</v>
      </c>
      <c r="AZ47" s="76">
        <v>0</v>
      </c>
      <c r="BA47" s="76">
        <f t="shared" si="42"/>
        <v>0</v>
      </c>
      <c r="BB47" s="76">
        <v>0</v>
      </c>
      <c r="BC47" s="76">
        <f t="shared" si="43"/>
        <v>0</v>
      </c>
      <c r="BD47" s="76">
        <v>0</v>
      </c>
      <c r="BE47" s="76">
        <f t="shared" si="44"/>
        <v>0</v>
      </c>
      <c r="BF47" s="76">
        <v>0</v>
      </c>
      <c r="BG47" s="76">
        <f t="shared" si="45"/>
        <v>0</v>
      </c>
      <c r="BH47" s="78">
        <f t="shared" si="46"/>
        <v>0</v>
      </c>
      <c r="BI47" s="78">
        <f t="shared" si="47"/>
        <v>0</v>
      </c>
      <c r="BJ47" s="362" t="s">
        <v>224</v>
      </c>
      <c r="BL47" s="98">
        <v>0</v>
      </c>
      <c r="BM47" s="98">
        <f t="shared" si="48"/>
        <v>0</v>
      </c>
      <c r="BN47" s="98"/>
      <c r="BO47" s="98"/>
      <c r="BP47" s="98">
        <f t="shared" si="49"/>
        <v>0</v>
      </c>
      <c r="BQ47" s="98"/>
      <c r="BR47" s="98"/>
      <c r="BS47" s="98"/>
      <c r="BT47" s="102">
        <f t="shared" si="50"/>
        <v>0</v>
      </c>
    </row>
    <row r="48" spans="1:72" s="90" customFormat="1" ht="15.75">
      <c r="A48" s="323" t="s">
        <v>638</v>
      </c>
      <c r="B48" s="362" t="s">
        <v>711</v>
      </c>
      <c r="C48" s="312">
        <v>500</v>
      </c>
      <c r="D48" s="79">
        <f t="shared" si="18"/>
        <v>1026</v>
      </c>
      <c r="E48" s="76">
        <f t="shared" si="19"/>
        <v>513000</v>
      </c>
      <c r="F48" s="76">
        <f t="shared" si="20"/>
        <v>102600</v>
      </c>
      <c r="G48" s="76">
        <f t="shared" si="21"/>
        <v>410400</v>
      </c>
      <c r="H48" s="76"/>
      <c r="I48" s="76"/>
      <c r="J48" s="76"/>
      <c r="K48" s="76"/>
      <c r="L48" s="76"/>
      <c r="M48" s="76"/>
      <c r="N48" s="76"/>
      <c r="O48" s="76"/>
      <c r="P48" s="105">
        <f t="shared" si="22"/>
        <v>256.5</v>
      </c>
      <c r="Q48" s="105">
        <f t="shared" si="23"/>
        <v>256.5</v>
      </c>
      <c r="R48" s="105">
        <f t="shared" si="24"/>
        <v>256.5</v>
      </c>
      <c r="S48" s="105">
        <f t="shared" si="25"/>
        <v>256.5</v>
      </c>
      <c r="T48" s="76">
        <f t="shared" si="26"/>
        <v>128250</v>
      </c>
      <c r="U48" s="76">
        <f t="shared" si="27"/>
        <v>128250</v>
      </c>
      <c r="V48" s="76">
        <f t="shared" si="28"/>
        <v>128250</v>
      </c>
      <c r="W48" s="76">
        <f t="shared" si="29"/>
        <v>128250</v>
      </c>
      <c r="X48" s="76">
        <f>4*3*2</f>
        <v>24</v>
      </c>
      <c r="Y48" s="76">
        <f t="shared" si="30"/>
        <v>12000</v>
      </c>
      <c r="Z48" s="76">
        <f>3*3*2</f>
        <v>18</v>
      </c>
      <c r="AA48" s="76">
        <f>Z48*C48</f>
        <v>9000</v>
      </c>
      <c r="AB48" s="76">
        <f>4*3*2</f>
        <v>24</v>
      </c>
      <c r="AC48" s="76">
        <f t="shared" si="32"/>
        <v>12000</v>
      </c>
      <c r="AD48" s="76">
        <f>5*3*2</f>
        <v>30</v>
      </c>
      <c r="AE48" s="76">
        <f t="shared" si="33"/>
        <v>15000</v>
      </c>
      <c r="AF48" s="76">
        <f>2*3*2</f>
        <v>12</v>
      </c>
      <c r="AG48" s="76">
        <f t="shared" si="34"/>
        <v>6000</v>
      </c>
      <c r="AH48" s="76">
        <f>4*3*2</f>
        <v>24</v>
      </c>
      <c r="AI48" s="76">
        <f>C48*AH48</f>
        <v>12000</v>
      </c>
      <c r="AJ48" s="76">
        <f>5*3*2</f>
        <v>30</v>
      </c>
      <c r="AK48" s="76">
        <f>C48*AJ48</f>
        <v>15000</v>
      </c>
      <c r="AL48" s="76">
        <f>9*3*2</f>
        <v>54</v>
      </c>
      <c r="AM48" s="76">
        <f>C48*AL48</f>
        <v>27000</v>
      </c>
      <c r="AN48" s="76">
        <f>5*3*2</f>
        <v>30</v>
      </c>
      <c r="AO48" s="76">
        <f t="shared" si="38"/>
        <v>15000</v>
      </c>
      <c r="AP48" s="76">
        <f>8*3*2</f>
        <v>48</v>
      </c>
      <c r="AQ48" s="76">
        <f t="shared" si="39"/>
        <v>24000</v>
      </c>
      <c r="AR48" s="76">
        <f>6*3*2</f>
        <v>36</v>
      </c>
      <c r="AS48" s="76">
        <f t="shared" si="40"/>
        <v>18000</v>
      </c>
      <c r="AT48" s="76">
        <f>5*3*2</f>
        <v>30</v>
      </c>
      <c r="AU48" s="76">
        <f>AT48*C48</f>
        <v>15000</v>
      </c>
      <c r="AV48" s="76">
        <f>9*3*2</f>
        <v>54</v>
      </c>
      <c r="AW48" s="76">
        <f>AV48*C48</f>
        <v>27000</v>
      </c>
      <c r="AX48" s="76">
        <f>9*3*2</f>
        <v>54</v>
      </c>
      <c r="AY48" s="76">
        <f t="shared" si="41"/>
        <v>27000</v>
      </c>
      <c r="AZ48" s="76">
        <f>3*3*2</f>
        <v>18</v>
      </c>
      <c r="BA48" s="76">
        <f>C48*AZ48</f>
        <v>9000</v>
      </c>
      <c r="BB48" s="76">
        <f>12*7*2*3</f>
        <v>504</v>
      </c>
      <c r="BC48" s="76">
        <f t="shared" si="43"/>
        <v>252000</v>
      </c>
      <c r="BD48" s="76">
        <f>6*3*2</f>
        <v>36</v>
      </c>
      <c r="BE48" s="76">
        <f t="shared" si="44"/>
        <v>18000</v>
      </c>
      <c r="BF48" s="76">
        <v>0</v>
      </c>
      <c r="BG48" s="76">
        <f t="shared" si="45"/>
        <v>0</v>
      </c>
      <c r="BH48" s="78">
        <f t="shared" si="46"/>
        <v>1026</v>
      </c>
      <c r="BI48" s="78">
        <f t="shared" si="47"/>
        <v>513000</v>
      </c>
      <c r="BJ48" s="362" t="s">
        <v>224</v>
      </c>
      <c r="BL48" s="98">
        <v>0</v>
      </c>
      <c r="BM48" s="98">
        <f t="shared" si="48"/>
        <v>513000</v>
      </c>
      <c r="BN48" s="98"/>
      <c r="BO48" s="98"/>
      <c r="BP48" s="98">
        <f t="shared" si="49"/>
        <v>513000</v>
      </c>
      <c r="BQ48" s="98"/>
      <c r="BR48" s="98"/>
      <c r="BS48" s="98"/>
      <c r="BT48" s="102">
        <f t="shared" si="50"/>
        <v>513000</v>
      </c>
    </row>
    <row r="49" spans="1:72" s="90" customFormat="1" ht="15.75">
      <c r="A49" s="323" t="s">
        <v>712</v>
      </c>
      <c r="B49" s="362" t="s">
        <v>711</v>
      </c>
      <c r="C49" s="312">
        <v>100</v>
      </c>
      <c r="D49" s="79">
        <f t="shared" si="18"/>
        <v>334</v>
      </c>
      <c r="E49" s="76">
        <f t="shared" si="19"/>
        <v>33400</v>
      </c>
      <c r="F49" s="76">
        <f t="shared" si="20"/>
        <v>6680</v>
      </c>
      <c r="G49" s="76">
        <f t="shared" si="21"/>
        <v>26720</v>
      </c>
      <c r="H49" s="76"/>
      <c r="I49" s="76"/>
      <c r="J49" s="76"/>
      <c r="K49" s="76"/>
      <c r="L49" s="76"/>
      <c r="M49" s="76"/>
      <c r="N49" s="76"/>
      <c r="O49" s="76"/>
      <c r="P49" s="81">
        <f t="shared" si="22"/>
        <v>83.5</v>
      </c>
      <c r="Q49" s="81">
        <f t="shared" si="23"/>
        <v>83.5</v>
      </c>
      <c r="R49" s="81">
        <f t="shared" si="24"/>
        <v>83.5</v>
      </c>
      <c r="S49" s="81">
        <f t="shared" si="25"/>
        <v>83.5</v>
      </c>
      <c r="T49" s="76">
        <f t="shared" si="26"/>
        <v>8350</v>
      </c>
      <c r="U49" s="76">
        <f t="shared" si="27"/>
        <v>8350</v>
      </c>
      <c r="V49" s="76">
        <f t="shared" si="28"/>
        <v>8350</v>
      </c>
      <c r="W49" s="76">
        <f t="shared" si="29"/>
        <v>8350</v>
      </c>
      <c r="X49" s="76">
        <v>20</v>
      </c>
      <c r="Y49" s="76">
        <f t="shared" si="30"/>
        <v>2000</v>
      </c>
      <c r="Z49" s="76">
        <v>20</v>
      </c>
      <c r="AA49" s="76">
        <f t="shared" si="31"/>
        <v>2000</v>
      </c>
      <c r="AB49" s="76">
        <v>20</v>
      </c>
      <c r="AC49" s="76">
        <f t="shared" si="32"/>
        <v>2000</v>
      </c>
      <c r="AD49" s="76">
        <v>20</v>
      </c>
      <c r="AE49" s="76">
        <f t="shared" si="33"/>
        <v>2000</v>
      </c>
      <c r="AF49" s="76">
        <v>20</v>
      </c>
      <c r="AG49" s="76">
        <f t="shared" si="34"/>
        <v>2000</v>
      </c>
      <c r="AH49" s="76">
        <v>20</v>
      </c>
      <c r="AI49" s="76">
        <f t="shared" si="35"/>
        <v>2000</v>
      </c>
      <c r="AJ49" s="76">
        <v>20</v>
      </c>
      <c r="AK49" s="76">
        <f t="shared" si="36"/>
        <v>2000</v>
      </c>
      <c r="AL49" s="76">
        <v>20</v>
      </c>
      <c r="AM49" s="76">
        <f t="shared" si="37"/>
        <v>2000</v>
      </c>
      <c r="AN49" s="76">
        <v>20</v>
      </c>
      <c r="AO49" s="76">
        <f t="shared" si="38"/>
        <v>2000</v>
      </c>
      <c r="AP49" s="76">
        <v>20</v>
      </c>
      <c r="AQ49" s="76">
        <f t="shared" si="39"/>
        <v>2000</v>
      </c>
      <c r="AR49" s="76">
        <v>20</v>
      </c>
      <c r="AS49" s="76">
        <f t="shared" si="40"/>
        <v>2000</v>
      </c>
      <c r="AT49" s="76">
        <f>7*2</f>
        <v>14</v>
      </c>
      <c r="AU49" s="76">
        <f t="shared" si="51"/>
        <v>1400</v>
      </c>
      <c r="AV49" s="76">
        <v>20</v>
      </c>
      <c r="AW49" s="76">
        <f t="shared" si="52"/>
        <v>2000</v>
      </c>
      <c r="AX49" s="76">
        <v>20</v>
      </c>
      <c r="AY49" s="76">
        <f t="shared" si="41"/>
        <v>2000</v>
      </c>
      <c r="AZ49" s="76">
        <v>20</v>
      </c>
      <c r="BA49" s="76">
        <f t="shared" si="42"/>
        <v>2000</v>
      </c>
      <c r="BB49" s="76">
        <v>20</v>
      </c>
      <c r="BC49" s="76">
        <f t="shared" si="43"/>
        <v>2000</v>
      </c>
      <c r="BD49" s="76">
        <v>20</v>
      </c>
      <c r="BE49" s="76">
        <f t="shared" si="44"/>
        <v>2000</v>
      </c>
      <c r="BF49" s="76">
        <v>0</v>
      </c>
      <c r="BG49" s="76">
        <f t="shared" si="45"/>
        <v>0</v>
      </c>
      <c r="BH49" s="78">
        <f t="shared" si="46"/>
        <v>334</v>
      </c>
      <c r="BI49" s="78">
        <f t="shared" si="47"/>
        <v>33400</v>
      </c>
      <c r="BJ49" s="362" t="s">
        <v>224</v>
      </c>
      <c r="BL49" s="98"/>
      <c r="BM49" s="98">
        <f t="shared" si="48"/>
        <v>33400</v>
      </c>
      <c r="BN49" s="98"/>
      <c r="BO49" s="98"/>
      <c r="BP49" s="98">
        <f t="shared" si="49"/>
        <v>33400</v>
      </c>
      <c r="BQ49" s="98"/>
      <c r="BR49" s="98"/>
      <c r="BS49" s="98"/>
      <c r="BT49" s="102">
        <f t="shared" si="50"/>
        <v>33400</v>
      </c>
    </row>
    <row r="50" spans="1:72" s="226" customFormat="1" ht="15.75">
      <c r="A50" s="323" t="s">
        <v>639</v>
      </c>
      <c r="B50" s="362" t="s">
        <v>711</v>
      </c>
      <c r="C50" s="312">
        <v>500</v>
      </c>
      <c r="D50" s="276">
        <f t="shared" si="18"/>
        <v>0</v>
      </c>
      <c r="E50" s="241">
        <f t="shared" si="19"/>
        <v>0</v>
      </c>
      <c r="F50" s="76">
        <f t="shared" si="20"/>
        <v>0</v>
      </c>
      <c r="G50" s="76">
        <f t="shared" si="21"/>
        <v>0</v>
      </c>
      <c r="H50" s="241"/>
      <c r="I50" s="241"/>
      <c r="J50" s="241"/>
      <c r="K50" s="241"/>
      <c r="L50" s="241"/>
      <c r="M50" s="241"/>
      <c r="N50" s="241"/>
      <c r="O50" s="241"/>
      <c r="P50" s="78">
        <f t="shared" si="22"/>
        <v>0</v>
      </c>
      <c r="Q50" s="78">
        <f t="shared" si="23"/>
        <v>0</v>
      </c>
      <c r="R50" s="78">
        <f t="shared" si="24"/>
        <v>0</v>
      </c>
      <c r="S50" s="78">
        <f t="shared" si="25"/>
        <v>0</v>
      </c>
      <c r="T50" s="241">
        <f t="shared" si="26"/>
        <v>0</v>
      </c>
      <c r="U50" s="241">
        <f t="shared" si="27"/>
        <v>0</v>
      </c>
      <c r="V50" s="241">
        <f t="shared" si="28"/>
        <v>0</v>
      </c>
      <c r="W50" s="241">
        <f t="shared" si="29"/>
        <v>0</v>
      </c>
      <c r="X50" s="76">
        <v>0</v>
      </c>
      <c r="Y50" s="76">
        <f t="shared" si="30"/>
        <v>0</v>
      </c>
      <c r="Z50" s="76">
        <v>0</v>
      </c>
      <c r="AA50" s="76">
        <f t="shared" si="31"/>
        <v>0</v>
      </c>
      <c r="AB50" s="76">
        <v>0</v>
      </c>
      <c r="AC50" s="76">
        <f t="shared" si="32"/>
        <v>0</v>
      </c>
      <c r="AD50" s="76">
        <v>0</v>
      </c>
      <c r="AE50" s="76">
        <f t="shared" si="33"/>
        <v>0</v>
      </c>
      <c r="AF50" s="76">
        <v>0</v>
      </c>
      <c r="AG50" s="76">
        <f t="shared" si="34"/>
        <v>0</v>
      </c>
      <c r="AH50" s="76">
        <v>0</v>
      </c>
      <c r="AI50" s="76">
        <f t="shared" si="35"/>
        <v>0</v>
      </c>
      <c r="AJ50" s="76">
        <v>0</v>
      </c>
      <c r="AK50" s="76">
        <f t="shared" si="36"/>
        <v>0</v>
      </c>
      <c r="AL50" s="76">
        <v>0</v>
      </c>
      <c r="AM50" s="76">
        <f t="shared" si="37"/>
        <v>0</v>
      </c>
      <c r="AN50" s="76">
        <v>0</v>
      </c>
      <c r="AO50" s="76">
        <f t="shared" si="38"/>
        <v>0</v>
      </c>
      <c r="AP50" s="76">
        <v>0</v>
      </c>
      <c r="AQ50" s="76">
        <f t="shared" si="39"/>
        <v>0</v>
      </c>
      <c r="AR50" s="76">
        <v>0</v>
      </c>
      <c r="AS50" s="76">
        <f t="shared" si="40"/>
        <v>0</v>
      </c>
      <c r="AT50" s="76">
        <v>0</v>
      </c>
      <c r="AU50" s="76">
        <f t="shared" si="51"/>
        <v>0</v>
      </c>
      <c r="AV50" s="76">
        <v>0</v>
      </c>
      <c r="AW50" s="76">
        <f t="shared" si="52"/>
        <v>0</v>
      </c>
      <c r="AX50" s="76">
        <v>0</v>
      </c>
      <c r="AY50" s="76">
        <f t="shared" si="41"/>
        <v>0</v>
      </c>
      <c r="AZ50" s="76">
        <v>0</v>
      </c>
      <c r="BA50" s="76">
        <f t="shared" si="42"/>
        <v>0</v>
      </c>
      <c r="BB50" s="76">
        <v>0</v>
      </c>
      <c r="BC50" s="76">
        <f t="shared" si="43"/>
        <v>0</v>
      </c>
      <c r="BD50" s="76">
        <v>0</v>
      </c>
      <c r="BE50" s="76">
        <f t="shared" si="44"/>
        <v>0</v>
      </c>
      <c r="BF50" s="76">
        <v>0</v>
      </c>
      <c r="BG50" s="76">
        <f t="shared" si="45"/>
        <v>0</v>
      </c>
      <c r="BH50" s="78">
        <f t="shared" si="46"/>
        <v>0</v>
      </c>
      <c r="BI50" s="78">
        <f t="shared" si="47"/>
        <v>0</v>
      </c>
      <c r="BJ50" s="362" t="s">
        <v>224</v>
      </c>
      <c r="BL50" s="241">
        <f>SUM(BL45:BL49)</f>
        <v>0</v>
      </c>
      <c r="BM50" s="98">
        <f t="shared" si="48"/>
        <v>0</v>
      </c>
      <c r="BN50" s="98"/>
      <c r="BO50" s="98"/>
      <c r="BP50" s="98">
        <f t="shared" si="49"/>
        <v>0</v>
      </c>
      <c r="BQ50" s="98"/>
      <c r="BR50" s="98"/>
      <c r="BS50" s="98"/>
      <c r="BT50" s="102">
        <f t="shared" si="50"/>
        <v>0</v>
      </c>
    </row>
    <row r="51" spans="1:72" s="90" customFormat="1" ht="15.75">
      <c r="A51" s="336" t="s">
        <v>640</v>
      </c>
      <c r="B51" s="364" t="s">
        <v>121</v>
      </c>
      <c r="C51" s="347" t="s">
        <v>121</v>
      </c>
      <c r="D51" s="339">
        <f>SUM(D43:D50)</f>
        <v>5518</v>
      </c>
      <c r="E51" s="339">
        <f t="shared" ref="E51:O51" si="53">SUM(E43:E50)</f>
        <v>962200</v>
      </c>
      <c r="F51" s="339">
        <f t="shared" si="53"/>
        <v>192440</v>
      </c>
      <c r="G51" s="339">
        <f t="shared" si="53"/>
        <v>769760</v>
      </c>
      <c r="H51" s="339">
        <f t="shared" si="53"/>
        <v>0</v>
      </c>
      <c r="I51" s="339">
        <f t="shared" si="53"/>
        <v>0</v>
      </c>
      <c r="J51" s="339">
        <f t="shared" si="53"/>
        <v>0</v>
      </c>
      <c r="K51" s="339">
        <f t="shared" si="53"/>
        <v>0</v>
      </c>
      <c r="L51" s="339">
        <f t="shared" si="53"/>
        <v>0</v>
      </c>
      <c r="M51" s="339">
        <f t="shared" si="53"/>
        <v>0</v>
      </c>
      <c r="N51" s="339">
        <f t="shared" si="53"/>
        <v>0</v>
      </c>
      <c r="O51" s="339">
        <f t="shared" si="53"/>
        <v>0</v>
      </c>
      <c r="P51" s="424"/>
      <c r="Q51" s="424"/>
      <c r="R51" s="424"/>
      <c r="S51" s="424"/>
      <c r="T51" s="338"/>
      <c r="U51" s="338"/>
      <c r="V51" s="338"/>
      <c r="W51" s="338"/>
      <c r="X51" s="430">
        <f>SUM(X43:X50)</f>
        <v>212</v>
      </c>
      <c r="Y51" s="430">
        <f t="shared" ref="Y51:BT51" si="54">SUM(Y43:Y50)</f>
        <v>30800</v>
      </c>
      <c r="Z51" s="430">
        <f t="shared" si="54"/>
        <v>164</v>
      </c>
      <c r="AA51" s="430">
        <f t="shared" si="54"/>
        <v>23600</v>
      </c>
      <c r="AB51" s="430">
        <f t="shared" si="54"/>
        <v>212</v>
      </c>
      <c r="AC51" s="430">
        <f t="shared" si="54"/>
        <v>30800</v>
      </c>
      <c r="AD51" s="430">
        <f t="shared" si="54"/>
        <v>260</v>
      </c>
      <c r="AE51" s="430">
        <f t="shared" si="54"/>
        <v>38000</v>
      </c>
      <c r="AF51" s="430">
        <f t="shared" si="54"/>
        <v>116</v>
      </c>
      <c r="AG51" s="430">
        <f t="shared" si="54"/>
        <v>16400</v>
      </c>
      <c r="AH51" s="430">
        <f t="shared" si="54"/>
        <v>212</v>
      </c>
      <c r="AI51" s="430">
        <f t="shared" si="54"/>
        <v>30800</v>
      </c>
      <c r="AJ51" s="430">
        <f t="shared" si="54"/>
        <v>260</v>
      </c>
      <c r="AK51" s="430">
        <f t="shared" si="54"/>
        <v>38000</v>
      </c>
      <c r="AL51" s="430">
        <f t="shared" si="54"/>
        <v>452</v>
      </c>
      <c r="AM51" s="430">
        <f t="shared" si="54"/>
        <v>66800</v>
      </c>
      <c r="AN51" s="430">
        <f t="shared" si="54"/>
        <v>260</v>
      </c>
      <c r="AO51" s="430">
        <f t="shared" si="54"/>
        <v>38000</v>
      </c>
      <c r="AP51" s="430">
        <f t="shared" si="54"/>
        <v>404</v>
      </c>
      <c r="AQ51" s="430">
        <f t="shared" si="54"/>
        <v>59600</v>
      </c>
      <c r="AR51" s="430">
        <f t="shared" si="54"/>
        <v>308</v>
      </c>
      <c r="AS51" s="430">
        <f t="shared" si="54"/>
        <v>45200</v>
      </c>
      <c r="AT51" s="430">
        <f t="shared" si="54"/>
        <v>254</v>
      </c>
      <c r="AU51" s="430">
        <f t="shared" si="54"/>
        <v>37400</v>
      </c>
      <c r="AV51" s="430">
        <f t="shared" si="54"/>
        <v>452</v>
      </c>
      <c r="AW51" s="430">
        <f t="shared" si="54"/>
        <v>66800</v>
      </c>
      <c r="AX51" s="430">
        <f t="shared" si="54"/>
        <v>452</v>
      </c>
      <c r="AY51" s="430">
        <f t="shared" si="54"/>
        <v>66800</v>
      </c>
      <c r="AZ51" s="430">
        <f t="shared" si="54"/>
        <v>164</v>
      </c>
      <c r="BA51" s="430">
        <f t="shared" si="54"/>
        <v>23600</v>
      </c>
      <c r="BB51" s="430">
        <f t="shared" si="54"/>
        <v>1028</v>
      </c>
      <c r="BC51" s="430">
        <f t="shared" si="54"/>
        <v>304400</v>
      </c>
      <c r="BD51" s="430">
        <f t="shared" si="54"/>
        <v>308</v>
      </c>
      <c r="BE51" s="430">
        <f t="shared" si="54"/>
        <v>45200</v>
      </c>
      <c r="BF51" s="430">
        <f t="shared" si="54"/>
        <v>0</v>
      </c>
      <c r="BG51" s="430">
        <f t="shared" si="54"/>
        <v>0</v>
      </c>
      <c r="BH51" s="430">
        <f t="shared" si="54"/>
        <v>5518</v>
      </c>
      <c r="BI51" s="430">
        <f t="shared" si="54"/>
        <v>962200</v>
      </c>
      <c r="BJ51" s="430">
        <f t="shared" si="54"/>
        <v>0</v>
      </c>
      <c r="BK51" s="430">
        <f t="shared" si="54"/>
        <v>0</v>
      </c>
      <c r="BL51" s="430">
        <f t="shared" si="54"/>
        <v>0</v>
      </c>
      <c r="BM51" s="430">
        <f t="shared" si="54"/>
        <v>962200</v>
      </c>
      <c r="BN51" s="430">
        <f t="shared" si="54"/>
        <v>0</v>
      </c>
      <c r="BO51" s="430">
        <f t="shared" si="54"/>
        <v>0</v>
      </c>
      <c r="BP51" s="430">
        <f t="shared" si="54"/>
        <v>962200</v>
      </c>
      <c r="BQ51" s="430">
        <f t="shared" si="54"/>
        <v>0</v>
      </c>
      <c r="BR51" s="430">
        <f t="shared" si="54"/>
        <v>0</v>
      </c>
      <c r="BS51" s="430">
        <f t="shared" si="54"/>
        <v>0</v>
      </c>
      <c r="BT51" s="430">
        <f t="shared" si="54"/>
        <v>962200</v>
      </c>
    </row>
    <row r="52" spans="1:72" s="90" customFormat="1" ht="13.5" customHeight="1">
      <c r="A52" s="332" t="s">
        <v>641</v>
      </c>
      <c r="B52" s="362"/>
      <c r="C52" s="362"/>
      <c r="D52" s="79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81"/>
      <c r="Q52" s="81"/>
      <c r="R52" s="81"/>
      <c r="S52" s="81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8"/>
      <c r="BI52" s="162"/>
      <c r="BJ52" s="362"/>
      <c r="BL52" s="98">
        <v>0</v>
      </c>
      <c r="BM52" s="98">
        <f>E52</f>
        <v>0</v>
      </c>
      <c r="BN52" s="98">
        <v>0</v>
      </c>
      <c r="BO52" s="98">
        <v>0</v>
      </c>
      <c r="BP52" s="98">
        <f>BL52+BM52+BN52+BO52</f>
        <v>0</v>
      </c>
      <c r="BQ52" s="98">
        <v>0</v>
      </c>
      <c r="BR52" s="98">
        <v>0</v>
      </c>
      <c r="BS52" s="98">
        <f>BQ52+BR52</f>
        <v>0</v>
      </c>
      <c r="BT52" s="102">
        <f t="shared" si="1"/>
        <v>0</v>
      </c>
    </row>
    <row r="53" spans="1:72" s="90" customFormat="1" ht="15.75">
      <c r="A53" s="323" t="s">
        <v>642</v>
      </c>
      <c r="B53" s="362" t="s">
        <v>16</v>
      </c>
      <c r="C53" s="563">
        <v>30000000</v>
      </c>
      <c r="D53" s="276">
        <f>BH53</f>
        <v>1</v>
      </c>
      <c r="E53" s="76">
        <f>D53*C53</f>
        <v>30000000</v>
      </c>
      <c r="F53" s="76">
        <f>E53*0</f>
        <v>0</v>
      </c>
      <c r="G53" s="76">
        <f>E53*1</f>
        <v>30000000</v>
      </c>
      <c r="H53" s="76"/>
      <c r="I53" s="76"/>
      <c r="J53" s="76"/>
      <c r="K53" s="76"/>
      <c r="L53" s="76"/>
      <c r="M53" s="76"/>
      <c r="N53" s="76"/>
      <c r="O53" s="76"/>
      <c r="P53" s="81">
        <f>D53</f>
        <v>1</v>
      </c>
      <c r="Q53" s="81"/>
      <c r="R53" s="81"/>
      <c r="S53" s="81"/>
      <c r="T53" s="76">
        <f>P53*C53</f>
        <v>30000000</v>
      </c>
      <c r="U53" s="76">
        <f>Q53*C53</f>
        <v>0</v>
      </c>
      <c r="V53" s="76">
        <f>R53*C53</f>
        <v>0</v>
      </c>
      <c r="W53" s="76">
        <f>S53*C53</f>
        <v>0</v>
      </c>
      <c r="X53" s="76">
        <v>0</v>
      </c>
      <c r="Y53" s="76">
        <f>X53*C53</f>
        <v>0</v>
      </c>
      <c r="Z53" s="76">
        <v>0</v>
      </c>
      <c r="AA53" s="76">
        <f>Z53*C53</f>
        <v>0</v>
      </c>
      <c r="AB53" s="76">
        <v>0</v>
      </c>
      <c r="AC53" s="76">
        <f>AB53*C53</f>
        <v>0</v>
      </c>
      <c r="AD53" s="76">
        <v>0</v>
      </c>
      <c r="AE53" s="76">
        <f>AD53*C53</f>
        <v>0</v>
      </c>
      <c r="AF53" s="76">
        <v>0</v>
      </c>
      <c r="AG53" s="76">
        <f>AF53*C53</f>
        <v>0</v>
      </c>
      <c r="AH53" s="76">
        <v>0</v>
      </c>
      <c r="AI53" s="76">
        <f>C53*AH53</f>
        <v>0</v>
      </c>
      <c r="AJ53" s="76">
        <v>0</v>
      </c>
      <c r="AK53" s="76">
        <f>C53*AJ53</f>
        <v>0</v>
      </c>
      <c r="AL53" s="76">
        <v>0</v>
      </c>
      <c r="AM53" s="76">
        <f>C53*AL53</f>
        <v>0</v>
      </c>
      <c r="AN53" s="76">
        <v>0</v>
      </c>
      <c r="AO53" s="76">
        <f>AN53*C53</f>
        <v>0</v>
      </c>
      <c r="AP53" s="76">
        <v>0</v>
      </c>
      <c r="AQ53" s="76">
        <f>AP53*C53</f>
        <v>0</v>
      </c>
      <c r="AR53" s="76">
        <v>0</v>
      </c>
      <c r="AS53" s="76">
        <f>AR53*C53</f>
        <v>0</v>
      </c>
      <c r="AT53" s="76">
        <v>0</v>
      </c>
      <c r="AU53" s="76">
        <f>AT53*C53</f>
        <v>0</v>
      </c>
      <c r="AV53" s="76">
        <v>0</v>
      </c>
      <c r="AW53" s="76">
        <f>AV53*C53</f>
        <v>0</v>
      </c>
      <c r="AX53" s="76">
        <v>0</v>
      </c>
      <c r="AY53" s="76">
        <f>AX53*C53</f>
        <v>0</v>
      </c>
      <c r="AZ53" s="76">
        <v>0</v>
      </c>
      <c r="BA53" s="76">
        <f>C53*AZ53</f>
        <v>0</v>
      </c>
      <c r="BB53" s="76">
        <v>0</v>
      </c>
      <c r="BC53" s="76">
        <f>BB53*C53</f>
        <v>0</v>
      </c>
      <c r="BD53" s="76">
        <v>0</v>
      </c>
      <c r="BE53" s="76">
        <f>BD53*C53</f>
        <v>0</v>
      </c>
      <c r="BF53" s="76">
        <v>1</v>
      </c>
      <c r="BG53" s="76">
        <v>30000000</v>
      </c>
      <c r="BH53" s="78">
        <f>BF53+BD53+BB53+AZ53+AX53+AV53+AT53+AR53+AP53+AN53+AL53+AJ53+AH53+AF53+AD53+AB53+Z53+X53</f>
        <v>1</v>
      </c>
      <c r="BI53" s="78">
        <f>BG53+BE53+BC53+BA53+AY53+AW53+AU53+AS53+AQ53+AO53+AM53+AK53+AI53+AG53+AE53+AC53+AA53+Y53</f>
        <v>30000000</v>
      </c>
      <c r="BJ53" s="362" t="s">
        <v>225</v>
      </c>
      <c r="BL53" s="98">
        <v>0</v>
      </c>
      <c r="BM53" s="98">
        <f>BI53</f>
        <v>30000000</v>
      </c>
      <c r="BN53" s="98"/>
      <c r="BO53" s="98"/>
      <c r="BP53" s="98">
        <f>BL53+BM53+BN53+BO53</f>
        <v>30000000</v>
      </c>
      <c r="BQ53" s="98"/>
      <c r="BR53" s="98"/>
      <c r="BS53" s="98"/>
      <c r="BT53" s="102">
        <f t="shared" si="1"/>
        <v>30000000</v>
      </c>
    </row>
    <row r="54" spans="1:72" s="90" customFormat="1" ht="15.75">
      <c r="A54" s="336" t="s">
        <v>643</v>
      </c>
      <c r="B54" s="364" t="s">
        <v>121</v>
      </c>
      <c r="C54" s="347" t="s">
        <v>121</v>
      </c>
      <c r="D54" s="339">
        <f>D53</f>
        <v>1</v>
      </c>
      <c r="E54" s="339">
        <f t="shared" ref="E54:O54" si="55">E53</f>
        <v>30000000</v>
      </c>
      <c r="F54" s="339">
        <f t="shared" si="55"/>
        <v>0</v>
      </c>
      <c r="G54" s="339">
        <f t="shared" si="55"/>
        <v>30000000</v>
      </c>
      <c r="H54" s="339">
        <f t="shared" si="55"/>
        <v>0</v>
      </c>
      <c r="I54" s="339">
        <f t="shared" si="55"/>
        <v>0</v>
      </c>
      <c r="J54" s="339">
        <f t="shared" si="55"/>
        <v>0</v>
      </c>
      <c r="K54" s="339">
        <f t="shared" si="55"/>
        <v>0</v>
      </c>
      <c r="L54" s="339">
        <f t="shared" si="55"/>
        <v>0</v>
      </c>
      <c r="M54" s="339">
        <f t="shared" si="55"/>
        <v>0</v>
      </c>
      <c r="N54" s="339">
        <f t="shared" si="55"/>
        <v>0</v>
      </c>
      <c r="O54" s="339">
        <f t="shared" si="55"/>
        <v>0</v>
      </c>
      <c r="P54" s="424"/>
      <c r="Q54" s="424"/>
      <c r="R54" s="424"/>
      <c r="S54" s="424"/>
      <c r="T54" s="430"/>
      <c r="U54" s="430"/>
      <c r="V54" s="430"/>
      <c r="W54" s="430"/>
      <c r="X54" s="430">
        <f>SUM(X53)</f>
        <v>0</v>
      </c>
      <c r="Y54" s="430">
        <f t="shared" ref="Y54:BT54" si="56">SUM(Y53)</f>
        <v>0</v>
      </c>
      <c r="Z54" s="430">
        <f t="shared" si="56"/>
        <v>0</v>
      </c>
      <c r="AA54" s="430">
        <f t="shared" si="56"/>
        <v>0</v>
      </c>
      <c r="AB54" s="430">
        <f t="shared" si="56"/>
        <v>0</v>
      </c>
      <c r="AC54" s="430">
        <f t="shared" si="56"/>
        <v>0</v>
      </c>
      <c r="AD54" s="430">
        <f t="shared" si="56"/>
        <v>0</v>
      </c>
      <c r="AE54" s="430">
        <f t="shared" si="56"/>
        <v>0</v>
      </c>
      <c r="AF54" s="430">
        <f t="shared" si="56"/>
        <v>0</v>
      </c>
      <c r="AG54" s="430">
        <f t="shared" si="56"/>
        <v>0</v>
      </c>
      <c r="AH54" s="430">
        <f t="shared" si="56"/>
        <v>0</v>
      </c>
      <c r="AI54" s="430">
        <f t="shared" si="56"/>
        <v>0</v>
      </c>
      <c r="AJ54" s="430">
        <f t="shared" si="56"/>
        <v>0</v>
      </c>
      <c r="AK54" s="430">
        <f t="shared" si="56"/>
        <v>0</v>
      </c>
      <c r="AL54" s="430">
        <f t="shared" si="56"/>
        <v>0</v>
      </c>
      <c r="AM54" s="430">
        <f t="shared" si="56"/>
        <v>0</v>
      </c>
      <c r="AN54" s="430">
        <f t="shared" si="56"/>
        <v>0</v>
      </c>
      <c r="AO54" s="430">
        <f t="shared" si="56"/>
        <v>0</v>
      </c>
      <c r="AP54" s="430">
        <f t="shared" si="56"/>
        <v>0</v>
      </c>
      <c r="AQ54" s="430">
        <f t="shared" si="56"/>
        <v>0</v>
      </c>
      <c r="AR54" s="430">
        <f t="shared" si="56"/>
        <v>0</v>
      </c>
      <c r="AS54" s="430">
        <f t="shared" si="56"/>
        <v>0</v>
      </c>
      <c r="AT54" s="430">
        <f t="shared" si="56"/>
        <v>0</v>
      </c>
      <c r="AU54" s="430">
        <f t="shared" si="56"/>
        <v>0</v>
      </c>
      <c r="AV54" s="430">
        <f t="shared" si="56"/>
        <v>0</v>
      </c>
      <c r="AW54" s="430">
        <f t="shared" si="56"/>
        <v>0</v>
      </c>
      <c r="AX54" s="430">
        <f t="shared" si="56"/>
        <v>0</v>
      </c>
      <c r="AY54" s="430">
        <f t="shared" si="56"/>
        <v>0</v>
      </c>
      <c r="AZ54" s="430">
        <f t="shared" si="56"/>
        <v>0</v>
      </c>
      <c r="BA54" s="430">
        <f t="shared" si="56"/>
        <v>0</v>
      </c>
      <c r="BB54" s="430">
        <f t="shared" si="56"/>
        <v>0</v>
      </c>
      <c r="BC54" s="430">
        <f t="shared" si="56"/>
        <v>0</v>
      </c>
      <c r="BD54" s="430">
        <f t="shared" si="56"/>
        <v>0</v>
      </c>
      <c r="BE54" s="430">
        <f t="shared" si="56"/>
        <v>0</v>
      </c>
      <c r="BF54" s="430">
        <f t="shared" si="56"/>
        <v>1</v>
      </c>
      <c r="BG54" s="430">
        <f t="shared" si="56"/>
        <v>30000000</v>
      </c>
      <c r="BH54" s="430">
        <f t="shared" si="56"/>
        <v>1</v>
      </c>
      <c r="BI54" s="430">
        <f t="shared" si="56"/>
        <v>30000000</v>
      </c>
      <c r="BJ54" s="430">
        <f t="shared" si="56"/>
        <v>0</v>
      </c>
      <c r="BK54" s="430">
        <f t="shared" si="56"/>
        <v>0</v>
      </c>
      <c r="BL54" s="430">
        <f t="shared" si="56"/>
        <v>0</v>
      </c>
      <c r="BM54" s="430">
        <f t="shared" si="56"/>
        <v>30000000</v>
      </c>
      <c r="BN54" s="430">
        <f t="shared" si="56"/>
        <v>0</v>
      </c>
      <c r="BO54" s="430">
        <f t="shared" si="56"/>
        <v>0</v>
      </c>
      <c r="BP54" s="430">
        <f t="shared" si="56"/>
        <v>30000000</v>
      </c>
      <c r="BQ54" s="430">
        <f t="shared" si="56"/>
        <v>0</v>
      </c>
      <c r="BR54" s="430">
        <f t="shared" si="56"/>
        <v>0</v>
      </c>
      <c r="BS54" s="430">
        <f t="shared" si="56"/>
        <v>0</v>
      </c>
      <c r="BT54" s="430">
        <f t="shared" si="56"/>
        <v>30000000</v>
      </c>
    </row>
    <row r="55" spans="1:72" s="90" customFormat="1" ht="15.75">
      <c r="A55" s="332" t="s">
        <v>644</v>
      </c>
      <c r="B55" s="362"/>
      <c r="C55" s="362"/>
      <c r="D55" s="79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81"/>
      <c r="Q55" s="81"/>
      <c r="R55" s="81"/>
      <c r="S55" s="81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8"/>
      <c r="BI55" s="162"/>
      <c r="BJ55" s="362"/>
      <c r="BL55" s="98">
        <v>0</v>
      </c>
      <c r="BM55" s="98">
        <v>0</v>
      </c>
      <c r="BN55" s="98">
        <v>0</v>
      </c>
      <c r="BO55" s="98">
        <v>0</v>
      </c>
      <c r="BP55" s="98">
        <f>BL55+BM55+BN55+BO55</f>
        <v>0</v>
      </c>
      <c r="BQ55" s="98">
        <v>0</v>
      </c>
      <c r="BR55" s="98">
        <v>0</v>
      </c>
      <c r="BS55" s="98">
        <f>BQ55+BR55</f>
        <v>0</v>
      </c>
      <c r="BT55" s="102">
        <f t="shared" si="1"/>
        <v>0</v>
      </c>
    </row>
    <row r="56" spans="1:72" s="90" customFormat="1" ht="15.75">
      <c r="A56" s="332" t="s">
        <v>645</v>
      </c>
      <c r="B56" s="362"/>
      <c r="C56" s="362"/>
      <c r="D56" s="79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81"/>
      <c r="Q56" s="81"/>
      <c r="R56" s="81"/>
      <c r="S56" s="81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8"/>
      <c r="BI56" s="162"/>
      <c r="BJ56" s="362"/>
      <c r="BL56" s="98">
        <v>0</v>
      </c>
      <c r="BM56" s="98">
        <v>0</v>
      </c>
      <c r="BN56" s="98">
        <v>0</v>
      </c>
      <c r="BO56" s="98">
        <v>0</v>
      </c>
      <c r="BP56" s="98">
        <f>BL56+BM56+BN56+BO56</f>
        <v>0</v>
      </c>
      <c r="BQ56" s="98">
        <v>0</v>
      </c>
      <c r="BR56" s="98">
        <v>0</v>
      </c>
      <c r="BS56" s="98">
        <f>BQ56+BR56</f>
        <v>0</v>
      </c>
      <c r="BT56" s="102">
        <f t="shared" si="1"/>
        <v>0</v>
      </c>
    </row>
    <row r="57" spans="1:72" s="234" customFormat="1" ht="15.75">
      <c r="A57" s="656" t="s">
        <v>646</v>
      </c>
      <c r="B57" s="657" t="s">
        <v>16</v>
      </c>
      <c r="C57" s="658" t="s">
        <v>656</v>
      </c>
      <c r="D57" s="659">
        <f>BH57</f>
        <v>235</v>
      </c>
      <c r="E57" s="660">
        <f>D57*C57</f>
        <v>470000</v>
      </c>
      <c r="F57" s="660">
        <f>E57*0.2</f>
        <v>94000</v>
      </c>
      <c r="G57" s="660">
        <f>E57*0.8</f>
        <v>376000</v>
      </c>
      <c r="H57" s="660"/>
      <c r="I57" s="660"/>
      <c r="J57" s="660"/>
      <c r="K57" s="660"/>
      <c r="L57" s="660"/>
      <c r="M57" s="660"/>
      <c r="N57" s="660"/>
      <c r="O57" s="660"/>
      <c r="P57" s="661">
        <f>D57*0.25</f>
        <v>58.75</v>
      </c>
      <c r="Q57" s="661">
        <f>D57*0.25</f>
        <v>58.75</v>
      </c>
      <c r="R57" s="661">
        <f>D57*0.25</f>
        <v>58.75</v>
      </c>
      <c r="S57" s="661">
        <f>D57*0.25</f>
        <v>58.75</v>
      </c>
      <c r="T57" s="660">
        <f>P57*C57</f>
        <v>117500</v>
      </c>
      <c r="U57" s="660">
        <f>Q57*C57</f>
        <v>117500</v>
      </c>
      <c r="V57" s="660">
        <f>R57*C57</f>
        <v>117500</v>
      </c>
      <c r="W57" s="660">
        <f>S57*C57</f>
        <v>117500</v>
      </c>
      <c r="X57" s="660">
        <v>15</v>
      </c>
      <c r="Y57" s="660">
        <f>X57*C57</f>
        <v>30000</v>
      </c>
      <c r="Z57" s="660">
        <v>10</v>
      </c>
      <c r="AA57" s="660">
        <f>Z57*C57</f>
        <v>20000</v>
      </c>
      <c r="AB57" s="660">
        <v>15</v>
      </c>
      <c r="AC57" s="660">
        <f>AB57*C57</f>
        <v>30000</v>
      </c>
      <c r="AD57" s="660">
        <v>15</v>
      </c>
      <c r="AE57" s="660">
        <f>AD57*C57</f>
        <v>30000</v>
      </c>
      <c r="AF57" s="660">
        <v>10</v>
      </c>
      <c r="AG57" s="660">
        <f>AF57*C57</f>
        <v>20000</v>
      </c>
      <c r="AH57" s="660">
        <v>15</v>
      </c>
      <c r="AI57" s="660">
        <f>C57*AH57</f>
        <v>30000</v>
      </c>
      <c r="AJ57" s="660">
        <v>15</v>
      </c>
      <c r="AK57" s="660">
        <f>C57*AJ57</f>
        <v>30000</v>
      </c>
      <c r="AL57" s="660">
        <v>15</v>
      </c>
      <c r="AM57" s="660">
        <f>C57*AL57</f>
        <v>30000</v>
      </c>
      <c r="AN57" s="660">
        <v>10</v>
      </c>
      <c r="AO57" s="660">
        <f>AN57*C57</f>
        <v>20000</v>
      </c>
      <c r="AP57" s="660">
        <v>10</v>
      </c>
      <c r="AQ57" s="660">
        <f>AP57*C57</f>
        <v>20000</v>
      </c>
      <c r="AR57" s="660">
        <v>15</v>
      </c>
      <c r="AS57" s="660">
        <f>AR57*C57</f>
        <v>30000</v>
      </c>
      <c r="AT57" s="660">
        <v>15</v>
      </c>
      <c r="AU57" s="660">
        <f>AT57*C57</f>
        <v>30000</v>
      </c>
      <c r="AV57" s="660">
        <v>15</v>
      </c>
      <c r="AW57" s="660">
        <f>AV57*C57</f>
        <v>30000</v>
      </c>
      <c r="AX57" s="660">
        <v>15</v>
      </c>
      <c r="AY57" s="660">
        <f>AX57*C57</f>
        <v>30000</v>
      </c>
      <c r="AZ57" s="660">
        <v>15</v>
      </c>
      <c r="BA57" s="660">
        <f>C57*AZ57</f>
        <v>30000</v>
      </c>
      <c r="BB57" s="660">
        <v>15</v>
      </c>
      <c r="BC57" s="660">
        <f>BB57*C57</f>
        <v>30000</v>
      </c>
      <c r="BD57" s="660">
        <v>15</v>
      </c>
      <c r="BE57" s="660">
        <f>BD57*C57</f>
        <v>30000</v>
      </c>
      <c r="BF57" s="660"/>
      <c r="BG57" s="660">
        <f>BF57*C57</f>
        <v>0</v>
      </c>
      <c r="BH57" s="662">
        <f t="shared" ref="BH57:BI59" si="57">BF57+BD57+BB57+AZ57+AX57+AV57+AT57+AR57+AP57+AN57+AL57+AJ57+AH57+AF57+AD57+AB57+Z57+X57</f>
        <v>235</v>
      </c>
      <c r="BI57" s="662">
        <f t="shared" si="57"/>
        <v>470000</v>
      </c>
      <c r="BJ57" s="657" t="s">
        <v>224</v>
      </c>
      <c r="BL57" s="663">
        <v>0</v>
      </c>
      <c r="BM57" s="663">
        <v>0</v>
      </c>
      <c r="BN57" s="663">
        <f>E57</f>
        <v>470000</v>
      </c>
      <c r="BO57" s="663">
        <v>0</v>
      </c>
      <c r="BP57" s="663">
        <f>BL57+BM57+BN57+BO57</f>
        <v>470000</v>
      </c>
      <c r="BQ57" s="663">
        <v>0</v>
      </c>
      <c r="BR57" s="663">
        <v>0</v>
      </c>
      <c r="BS57" s="663">
        <f>BQ57+BR57</f>
        <v>0</v>
      </c>
      <c r="BT57" s="664">
        <f t="shared" si="1"/>
        <v>470000</v>
      </c>
    </row>
    <row r="58" spans="1:72" s="234" customFormat="1" ht="15.75">
      <c r="A58" s="656" t="s">
        <v>647</v>
      </c>
      <c r="B58" s="657" t="s">
        <v>69</v>
      </c>
      <c r="C58" s="658" t="s">
        <v>657</v>
      </c>
      <c r="D58" s="659">
        <f>BH58</f>
        <v>235</v>
      </c>
      <c r="E58" s="660">
        <f>D58*C58</f>
        <v>1233750</v>
      </c>
      <c r="F58" s="660">
        <f>E58*0.2</f>
        <v>246750</v>
      </c>
      <c r="G58" s="660">
        <f>E58*0.8</f>
        <v>987000</v>
      </c>
      <c r="H58" s="660"/>
      <c r="I58" s="660"/>
      <c r="J58" s="660"/>
      <c r="K58" s="660"/>
      <c r="L58" s="660"/>
      <c r="M58" s="660"/>
      <c r="N58" s="660"/>
      <c r="O58" s="660"/>
      <c r="P58" s="661">
        <f>D58*0.25</f>
        <v>58.75</v>
      </c>
      <c r="Q58" s="661">
        <f>D58*0.25</f>
        <v>58.75</v>
      </c>
      <c r="R58" s="661">
        <f>D58*0.25</f>
        <v>58.75</v>
      </c>
      <c r="S58" s="661">
        <f>D58*0.25</f>
        <v>58.75</v>
      </c>
      <c r="T58" s="660">
        <f>P58*C58</f>
        <v>308437.5</v>
      </c>
      <c r="U58" s="660">
        <f>Q58*C58</f>
        <v>308437.5</v>
      </c>
      <c r="V58" s="660">
        <f>R58*C58</f>
        <v>308437.5</v>
      </c>
      <c r="W58" s="660">
        <f>S58*C58</f>
        <v>308437.5</v>
      </c>
      <c r="X58" s="660">
        <v>15</v>
      </c>
      <c r="Y58" s="660">
        <f>X58*C58</f>
        <v>78750</v>
      </c>
      <c r="Z58" s="660">
        <v>10</v>
      </c>
      <c r="AA58" s="660">
        <f>Z58*C58</f>
        <v>52500</v>
      </c>
      <c r="AB58" s="660">
        <v>15</v>
      </c>
      <c r="AC58" s="660">
        <f>AB58*C58</f>
        <v>78750</v>
      </c>
      <c r="AD58" s="660">
        <v>15</v>
      </c>
      <c r="AE58" s="660">
        <f>AD58*C58</f>
        <v>78750</v>
      </c>
      <c r="AF58" s="660">
        <v>10</v>
      </c>
      <c r="AG58" s="660">
        <f>AF58*C58</f>
        <v>52500</v>
      </c>
      <c r="AH58" s="660">
        <v>15</v>
      </c>
      <c r="AI58" s="660">
        <f>C58*AH58</f>
        <v>78750</v>
      </c>
      <c r="AJ58" s="660">
        <v>15</v>
      </c>
      <c r="AK58" s="660">
        <f>C58*AJ58</f>
        <v>78750</v>
      </c>
      <c r="AL58" s="660">
        <v>15</v>
      </c>
      <c r="AM58" s="660">
        <f>C58*AL58</f>
        <v>78750</v>
      </c>
      <c r="AN58" s="660">
        <v>10</v>
      </c>
      <c r="AO58" s="660">
        <f>AN58*C58</f>
        <v>52500</v>
      </c>
      <c r="AP58" s="660">
        <v>10</v>
      </c>
      <c r="AQ58" s="660">
        <f>AP58*C58</f>
        <v>52500</v>
      </c>
      <c r="AR58" s="660">
        <v>15</v>
      </c>
      <c r="AS58" s="660">
        <f>AR58*C58</f>
        <v>78750</v>
      </c>
      <c r="AT58" s="660">
        <v>15</v>
      </c>
      <c r="AU58" s="660">
        <f>AT58*C58</f>
        <v>78750</v>
      </c>
      <c r="AV58" s="660">
        <v>15</v>
      </c>
      <c r="AW58" s="660">
        <f>AV58*C58</f>
        <v>78750</v>
      </c>
      <c r="AX58" s="660">
        <v>15</v>
      </c>
      <c r="AY58" s="660">
        <f>AX58*C58</f>
        <v>78750</v>
      </c>
      <c r="AZ58" s="660">
        <v>15</v>
      </c>
      <c r="BA58" s="660">
        <f>C58*AZ58</f>
        <v>78750</v>
      </c>
      <c r="BB58" s="660">
        <v>15</v>
      </c>
      <c r="BC58" s="660">
        <f>BB58*C58</f>
        <v>78750</v>
      </c>
      <c r="BD58" s="660">
        <v>15</v>
      </c>
      <c r="BE58" s="660">
        <f>BD58*C58</f>
        <v>78750</v>
      </c>
      <c r="BF58" s="660"/>
      <c r="BG58" s="660">
        <f>BF58*C58</f>
        <v>0</v>
      </c>
      <c r="BH58" s="662">
        <f t="shared" si="57"/>
        <v>235</v>
      </c>
      <c r="BI58" s="662">
        <f t="shared" si="57"/>
        <v>1233750</v>
      </c>
      <c r="BJ58" s="657" t="s">
        <v>224</v>
      </c>
      <c r="BL58" s="663">
        <v>0</v>
      </c>
      <c r="BM58" s="663">
        <v>0</v>
      </c>
      <c r="BN58" s="663">
        <f t="shared" ref="BN58:BN59" si="58">E58</f>
        <v>1233750</v>
      </c>
      <c r="BO58" s="663">
        <v>0</v>
      </c>
      <c r="BP58" s="663">
        <f>BL58+BM58+BN58+BO58</f>
        <v>1233750</v>
      </c>
      <c r="BQ58" s="663">
        <v>0</v>
      </c>
      <c r="BR58" s="663">
        <v>0</v>
      </c>
      <c r="BS58" s="663">
        <f>BQ58+BR58</f>
        <v>0</v>
      </c>
      <c r="BT58" s="664">
        <f t="shared" si="1"/>
        <v>1233750</v>
      </c>
    </row>
    <row r="59" spans="1:72" s="234" customFormat="1" ht="15.75">
      <c r="A59" s="656" t="s">
        <v>648</v>
      </c>
      <c r="B59" s="657" t="s">
        <v>69</v>
      </c>
      <c r="C59" s="658" t="s">
        <v>654</v>
      </c>
      <c r="D59" s="659">
        <f>BH59</f>
        <v>235</v>
      </c>
      <c r="E59" s="660">
        <f>D59*C59</f>
        <v>117500</v>
      </c>
      <c r="F59" s="660">
        <f>E59*0.2</f>
        <v>23500</v>
      </c>
      <c r="G59" s="660">
        <f>E59*0.8</f>
        <v>94000</v>
      </c>
      <c r="H59" s="660"/>
      <c r="I59" s="660"/>
      <c r="J59" s="660"/>
      <c r="K59" s="660"/>
      <c r="L59" s="660"/>
      <c r="M59" s="660"/>
      <c r="N59" s="660"/>
      <c r="O59" s="660"/>
      <c r="P59" s="661">
        <f>D59*0.25</f>
        <v>58.75</v>
      </c>
      <c r="Q59" s="661">
        <f>D59*0.25</f>
        <v>58.75</v>
      </c>
      <c r="R59" s="661">
        <f>D59*0.25</f>
        <v>58.75</v>
      </c>
      <c r="S59" s="661">
        <f>D59*0.25</f>
        <v>58.75</v>
      </c>
      <c r="T59" s="660">
        <f>P59*C59</f>
        <v>29375</v>
      </c>
      <c r="U59" s="660">
        <f>Q59*C59</f>
        <v>29375</v>
      </c>
      <c r="V59" s="660">
        <f>R59*C59</f>
        <v>29375</v>
      </c>
      <c r="W59" s="660">
        <f>S59*C59</f>
        <v>29375</v>
      </c>
      <c r="X59" s="660">
        <v>15</v>
      </c>
      <c r="Y59" s="660">
        <f>X59*C59</f>
        <v>7500</v>
      </c>
      <c r="Z59" s="660">
        <v>10</v>
      </c>
      <c r="AA59" s="660">
        <f>Z59*C59</f>
        <v>5000</v>
      </c>
      <c r="AB59" s="660">
        <v>15</v>
      </c>
      <c r="AC59" s="660">
        <f>AB59*C59</f>
        <v>7500</v>
      </c>
      <c r="AD59" s="660">
        <v>15</v>
      </c>
      <c r="AE59" s="660">
        <f>AD59*C59</f>
        <v>7500</v>
      </c>
      <c r="AF59" s="660">
        <v>10</v>
      </c>
      <c r="AG59" s="660">
        <f>AF59*C59</f>
        <v>5000</v>
      </c>
      <c r="AH59" s="660">
        <v>15</v>
      </c>
      <c r="AI59" s="660">
        <f>C59*AH59</f>
        <v>7500</v>
      </c>
      <c r="AJ59" s="660">
        <v>15</v>
      </c>
      <c r="AK59" s="660">
        <f>C59*AJ59</f>
        <v>7500</v>
      </c>
      <c r="AL59" s="660">
        <v>15</v>
      </c>
      <c r="AM59" s="660">
        <f>C59*AL59</f>
        <v>7500</v>
      </c>
      <c r="AN59" s="660">
        <v>10</v>
      </c>
      <c r="AO59" s="660">
        <f>AN59*C59</f>
        <v>5000</v>
      </c>
      <c r="AP59" s="660">
        <v>10</v>
      </c>
      <c r="AQ59" s="660">
        <f>AP59*C59</f>
        <v>5000</v>
      </c>
      <c r="AR59" s="660">
        <v>15</v>
      </c>
      <c r="AS59" s="660">
        <f>AR59*C59</f>
        <v>7500</v>
      </c>
      <c r="AT59" s="660">
        <v>15</v>
      </c>
      <c r="AU59" s="660">
        <f>AT59*C59</f>
        <v>7500</v>
      </c>
      <c r="AV59" s="660">
        <v>15</v>
      </c>
      <c r="AW59" s="660">
        <f>AV59*C59</f>
        <v>7500</v>
      </c>
      <c r="AX59" s="660">
        <v>15</v>
      </c>
      <c r="AY59" s="660">
        <f>AX59*C59</f>
        <v>7500</v>
      </c>
      <c r="AZ59" s="660">
        <v>15</v>
      </c>
      <c r="BA59" s="660">
        <f>C59*AZ59</f>
        <v>7500</v>
      </c>
      <c r="BB59" s="660">
        <v>15</v>
      </c>
      <c r="BC59" s="660">
        <f>BB59*C59</f>
        <v>7500</v>
      </c>
      <c r="BD59" s="660">
        <v>15</v>
      </c>
      <c r="BE59" s="660">
        <f>BD59*C59</f>
        <v>7500</v>
      </c>
      <c r="BF59" s="660"/>
      <c r="BG59" s="660">
        <f>BF59*C59</f>
        <v>0</v>
      </c>
      <c r="BH59" s="662">
        <f t="shared" si="57"/>
        <v>235</v>
      </c>
      <c r="BI59" s="662">
        <f t="shared" si="57"/>
        <v>117500</v>
      </c>
      <c r="BJ59" s="657" t="s">
        <v>224</v>
      </c>
      <c r="BL59" s="663">
        <v>0</v>
      </c>
      <c r="BM59" s="663">
        <v>0</v>
      </c>
      <c r="BN59" s="663">
        <f t="shared" si="58"/>
        <v>117500</v>
      </c>
      <c r="BO59" s="663">
        <v>0</v>
      </c>
      <c r="BP59" s="663">
        <f>BL59+BM59+BN59+BO59</f>
        <v>117500</v>
      </c>
      <c r="BQ59" s="663">
        <v>0</v>
      </c>
      <c r="BR59" s="663">
        <v>0</v>
      </c>
      <c r="BS59" s="663">
        <f>BQ59+BR59</f>
        <v>0</v>
      </c>
      <c r="BT59" s="664">
        <f t="shared" si="1"/>
        <v>117500</v>
      </c>
    </row>
    <row r="60" spans="1:72" s="90" customFormat="1" ht="15.75">
      <c r="A60" s="336" t="s">
        <v>649</v>
      </c>
      <c r="B60" s="364" t="s">
        <v>121</v>
      </c>
      <c r="C60" s="347" t="s">
        <v>121</v>
      </c>
      <c r="D60" s="339">
        <f>SUM(D57:D59)</f>
        <v>705</v>
      </c>
      <c r="E60" s="339">
        <f t="shared" ref="E60:O60" si="59">SUM(E57:E59)</f>
        <v>1821250</v>
      </c>
      <c r="F60" s="339">
        <f t="shared" si="59"/>
        <v>364250</v>
      </c>
      <c r="G60" s="339">
        <f t="shared" si="59"/>
        <v>1457000</v>
      </c>
      <c r="H60" s="339">
        <f t="shared" si="59"/>
        <v>0</v>
      </c>
      <c r="I60" s="339">
        <f t="shared" si="59"/>
        <v>0</v>
      </c>
      <c r="J60" s="339">
        <f t="shared" si="59"/>
        <v>0</v>
      </c>
      <c r="K60" s="339">
        <f t="shared" si="59"/>
        <v>0</v>
      </c>
      <c r="L60" s="339">
        <f t="shared" si="59"/>
        <v>0</v>
      </c>
      <c r="M60" s="339">
        <f t="shared" si="59"/>
        <v>0</v>
      </c>
      <c r="N60" s="339">
        <f t="shared" si="59"/>
        <v>0</v>
      </c>
      <c r="O60" s="339">
        <f t="shared" si="59"/>
        <v>0</v>
      </c>
      <c r="P60" s="424"/>
      <c r="Q60" s="424"/>
      <c r="R60" s="424"/>
      <c r="S60" s="424"/>
      <c r="T60" s="430"/>
      <c r="U60" s="430"/>
      <c r="V60" s="430"/>
      <c r="W60" s="430"/>
      <c r="X60" s="430">
        <f>SUM(X57:X59)</f>
        <v>45</v>
      </c>
      <c r="Y60" s="430">
        <f t="shared" ref="Y60:BT60" si="60">SUM(Y57:Y59)</f>
        <v>116250</v>
      </c>
      <c r="Z60" s="430">
        <f t="shared" si="60"/>
        <v>30</v>
      </c>
      <c r="AA60" s="430">
        <f t="shared" si="60"/>
        <v>77500</v>
      </c>
      <c r="AB60" s="430">
        <f t="shared" si="60"/>
        <v>45</v>
      </c>
      <c r="AC60" s="430">
        <f t="shared" si="60"/>
        <v>116250</v>
      </c>
      <c r="AD60" s="430">
        <f t="shared" si="60"/>
        <v>45</v>
      </c>
      <c r="AE60" s="430">
        <f t="shared" si="60"/>
        <v>116250</v>
      </c>
      <c r="AF60" s="430">
        <f t="shared" si="60"/>
        <v>30</v>
      </c>
      <c r="AG60" s="430">
        <f t="shared" si="60"/>
        <v>77500</v>
      </c>
      <c r="AH60" s="430">
        <f t="shared" si="60"/>
        <v>45</v>
      </c>
      <c r="AI60" s="430">
        <f t="shared" si="60"/>
        <v>116250</v>
      </c>
      <c r="AJ60" s="430">
        <f t="shared" si="60"/>
        <v>45</v>
      </c>
      <c r="AK60" s="430">
        <f t="shared" si="60"/>
        <v>116250</v>
      </c>
      <c r="AL60" s="430">
        <f t="shared" si="60"/>
        <v>45</v>
      </c>
      <c r="AM60" s="430">
        <f t="shared" si="60"/>
        <v>116250</v>
      </c>
      <c r="AN60" s="430">
        <f t="shared" si="60"/>
        <v>30</v>
      </c>
      <c r="AO60" s="430">
        <f t="shared" si="60"/>
        <v>77500</v>
      </c>
      <c r="AP60" s="430">
        <f t="shared" si="60"/>
        <v>30</v>
      </c>
      <c r="AQ60" s="430">
        <f t="shared" si="60"/>
        <v>77500</v>
      </c>
      <c r="AR60" s="430">
        <f t="shared" si="60"/>
        <v>45</v>
      </c>
      <c r="AS60" s="430">
        <f t="shared" si="60"/>
        <v>116250</v>
      </c>
      <c r="AT60" s="430">
        <f t="shared" si="60"/>
        <v>45</v>
      </c>
      <c r="AU60" s="430">
        <f t="shared" si="60"/>
        <v>116250</v>
      </c>
      <c r="AV60" s="430">
        <f t="shared" si="60"/>
        <v>45</v>
      </c>
      <c r="AW60" s="430">
        <f t="shared" si="60"/>
        <v>116250</v>
      </c>
      <c r="AX60" s="430">
        <f t="shared" si="60"/>
        <v>45</v>
      </c>
      <c r="AY60" s="430">
        <f t="shared" si="60"/>
        <v>116250</v>
      </c>
      <c r="AZ60" s="430">
        <f t="shared" si="60"/>
        <v>45</v>
      </c>
      <c r="BA60" s="430">
        <f t="shared" si="60"/>
        <v>116250</v>
      </c>
      <c r="BB60" s="430">
        <f t="shared" si="60"/>
        <v>45</v>
      </c>
      <c r="BC60" s="430">
        <f t="shared" si="60"/>
        <v>116250</v>
      </c>
      <c r="BD60" s="430">
        <f t="shared" si="60"/>
        <v>45</v>
      </c>
      <c r="BE60" s="430">
        <f t="shared" si="60"/>
        <v>116250</v>
      </c>
      <c r="BF60" s="430">
        <f t="shared" si="60"/>
        <v>0</v>
      </c>
      <c r="BG60" s="430">
        <f t="shared" si="60"/>
        <v>0</v>
      </c>
      <c r="BH60" s="430">
        <f t="shared" si="60"/>
        <v>705</v>
      </c>
      <c r="BI60" s="430">
        <f t="shared" si="60"/>
        <v>1821250</v>
      </c>
      <c r="BJ60" s="430">
        <f t="shared" si="60"/>
        <v>0</v>
      </c>
      <c r="BK60" s="430">
        <f t="shared" si="60"/>
        <v>0</v>
      </c>
      <c r="BL60" s="430">
        <f t="shared" si="60"/>
        <v>0</v>
      </c>
      <c r="BM60" s="430">
        <f t="shared" si="60"/>
        <v>0</v>
      </c>
      <c r="BN60" s="430">
        <f t="shared" si="60"/>
        <v>1821250</v>
      </c>
      <c r="BO60" s="430">
        <f t="shared" si="60"/>
        <v>0</v>
      </c>
      <c r="BP60" s="430">
        <f t="shared" si="60"/>
        <v>1821250</v>
      </c>
      <c r="BQ60" s="430">
        <f t="shared" si="60"/>
        <v>0</v>
      </c>
      <c r="BR60" s="430">
        <f t="shared" si="60"/>
        <v>0</v>
      </c>
      <c r="BS60" s="430">
        <f t="shared" si="60"/>
        <v>0</v>
      </c>
      <c r="BT60" s="430">
        <f t="shared" si="60"/>
        <v>1821250</v>
      </c>
    </row>
    <row r="61" spans="1:72" s="90" customFormat="1" ht="15.75">
      <c r="A61" s="332" t="s">
        <v>650</v>
      </c>
      <c r="B61" s="362"/>
      <c r="C61" s="362"/>
      <c r="D61" s="79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387"/>
      <c r="Q61" s="387"/>
      <c r="R61" s="387"/>
      <c r="S61" s="387"/>
      <c r="T61" s="241"/>
      <c r="U61" s="241"/>
      <c r="V61" s="241"/>
      <c r="W61" s="241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8"/>
      <c r="BI61" s="162"/>
      <c r="BJ61" s="362"/>
      <c r="BL61" s="241"/>
      <c r="BM61" s="241"/>
      <c r="BN61" s="241"/>
      <c r="BO61" s="241"/>
      <c r="BP61" s="241"/>
      <c r="BQ61" s="241"/>
      <c r="BR61" s="241"/>
      <c r="BS61" s="241"/>
      <c r="BT61" s="380"/>
    </row>
    <row r="62" spans="1:72" s="226" customFormat="1" ht="15.75">
      <c r="A62" s="323" t="s">
        <v>73</v>
      </c>
      <c r="B62" s="362" t="s">
        <v>71</v>
      </c>
      <c r="C62" s="312" t="s">
        <v>441</v>
      </c>
      <c r="D62" s="276">
        <f>BH62</f>
        <v>165</v>
      </c>
      <c r="E62" s="241">
        <f>D62*C62</f>
        <v>1650000</v>
      </c>
      <c r="F62" s="76">
        <f>E62*0.2</f>
        <v>330000</v>
      </c>
      <c r="G62" s="76">
        <f>E62*0.8</f>
        <v>1320000</v>
      </c>
      <c r="H62" s="241"/>
      <c r="I62" s="241"/>
      <c r="J62" s="241"/>
      <c r="K62" s="241"/>
      <c r="L62" s="241"/>
      <c r="M62" s="241"/>
      <c r="N62" s="241"/>
      <c r="O62" s="241"/>
      <c r="P62" s="81">
        <f>D62*0.25</f>
        <v>41.25</v>
      </c>
      <c r="Q62" s="81">
        <f>D62*0.25</f>
        <v>41.25</v>
      </c>
      <c r="R62" s="81">
        <f>D62*0.25</f>
        <v>41.25</v>
      </c>
      <c r="S62" s="81">
        <f>D62*0.25</f>
        <v>41.25</v>
      </c>
      <c r="T62" s="241">
        <f>P62*C62</f>
        <v>412500</v>
      </c>
      <c r="U62" s="241">
        <f>Q62*C62</f>
        <v>412500</v>
      </c>
      <c r="V62" s="241">
        <f>R62*C62</f>
        <v>412500</v>
      </c>
      <c r="W62" s="241">
        <f>S62*C62</f>
        <v>412500</v>
      </c>
      <c r="X62" s="76">
        <v>10</v>
      </c>
      <c r="Y62" s="76">
        <f>X62*C62</f>
        <v>100000</v>
      </c>
      <c r="Z62" s="76">
        <v>10</v>
      </c>
      <c r="AA62" s="76">
        <f>Z62*C62</f>
        <v>100000</v>
      </c>
      <c r="AB62" s="76">
        <v>10</v>
      </c>
      <c r="AC62" s="76">
        <f>AB62*C62</f>
        <v>100000</v>
      </c>
      <c r="AD62" s="76">
        <v>10</v>
      </c>
      <c r="AE62" s="76">
        <f>AD62*C62</f>
        <v>100000</v>
      </c>
      <c r="AF62" s="76">
        <v>10</v>
      </c>
      <c r="AG62" s="76">
        <f>AF62*C62</f>
        <v>100000</v>
      </c>
      <c r="AH62" s="76">
        <v>10</v>
      </c>
      <c r="AI62" s="76">
        <f>C62*AH62</f>
        <v>100000</v>
      </c>
      <c r="AJ62" s="76">
        <v>10</v>
      </c>
      <c r="AK62" s="76">
        <f>C62*AJ62</f>
        <v>100000</v>
      </c>
      <c r="AL62" s="76">
        <v>10</v>
      </c>
      <c r="AM62" s="76">
        <f>C62*AL62</f>
        <v>100000</v>
      </c>
      <c r="AN62" s="76">
        <v>5</v>
      </c>
      <c r="AO62" s="76">
        <f>AN62*C62</f>
        <v>50000</v>
      </c>
      <c r="AP62" s="76">
        <v>10</v>
      </c>
      <c r="AQ62" s="76">
        <f>AP62*C62</f>
        <v>100000</v>
      </c>
      <c r="AR62" s="76">
        <v>10</v>
      </c>
      <c r="AS62" s="76">
        <f>AR62*C62</f>
        <v>100000</v>
      </c>
      <c r="AT62" s="76">
        <v>10</v>
      </c>
      <c r="AU62" s="76">
        <f>AT62*C62</f>
        <v>100000</v>
      </c>
      <c r="AV62" s="76">
        <v>10</v>
      </c>
      <c r="AW62" s="76">
        <f>AV62*C62</f>
        <v>100000</v>
      </c>
      <c r="AX62" s="76">
        <v>10</v>
      </c>
      <c r="AY62" s="76">
        <f>AX62*C62</f>
        <v>100000</v>
      </c>
      <c r="AZ62" s="76">
        <v>10</v>
      </c>
      <c r="BA62" s="76">
        <f>C62*AZ62</f>
        <v>100000</v>
      </c>
      <c r="BB62" s="76">
        <v>10</v>
      </c>
      <c r="BC62" s="76">
        <f>BB62*C62</f>
        <v>100000</v>
      </c>
      <c r="BD62" s="76">
        <v>10</v>
      </c>
      <c r="BE62" s="76">
        <f>BD62*C62</f>
        <v>100000</v>
      </c>
      <c r="BF62" s="76">
        <v>0</v>
      </c>
      <c r="BG62" s="76">
        <f>BF62*C62</f>
        <v>0</v>
      </c>
      <c r="BH62" s="78">
        <f>BF62+BD62+BB62+AZ62+AX62+AV62+AT62+AR62+AP62+AN62+AL62+AJ62+AH62+AF62+AD62+AB62+Z62+X62</f>
        <v>165</v>
      </c>
      <c r="BI62" s="78">
        <f>BG62+BE62+BC62+BA62+AY62+AW62+AU62+AS62+AQ62+AO62+AM62+AK62+AI62+AG62+AE62+AC62+AA62+Y62</f>
        <v>1650000</v>
      </c>
      <c r="BJ62" s="362" t="s">
        <v>224</v>
      </c>
      <c r="BK62" s="415"/>
      <c r="BL62" s="241">
        <f>BL61+BL50+BL43</f>
        <v>0</v>
      </c>
      <c r="BM62" s="98">
        <f>BI62</f>
        <v>1650000</v>
      </c>
      <c r="BN62" s="98"/>
      <c r="BO62" s="98"/>
      <c r="BP62" s="98">
        <f>BL62+BM62+BN62+BO62</f>
        <v>1650000</v>
      </c>
      <c r="BQ62" s="98"/>
      <c r="BR62" s="98"/>
      <c r="BS62" s="98"/>
      <c r="BT62" s="102">
        <f>BP62+BS62</f>
        <v>1650000</v>
      </c>
    </row>
    <row r="63" spans="1:72" s="240" customFormat="1" ht="15.75">
      <c r="A63" s="336" t="s">
        <v>700</v>
      </c>
      <c r="B63" s="364"/>
      <c r="C63" s="347"/>
      <c r="D63" s="429"/>
      <c r="E63" s="235">
        <f>E62</f>
        <v>1650000</v>
      </c>
      <c r="F63" s="235">
        <f t="shared" ref="F63:BH63" si="61">F62</f>
        <v>330000</v>
      </c>
      <c r="G63" s="235">
        <f t="shared" si="61"/>
        <v>1320000</v>
      </c>
      <c r="H63" s="235">
        <f t="shared" si="61"/>
        <v>0</v>
      </c>
      <c r="I63" s="235">
        <f t="shared" si="61"/>
        <v>0</v>
      </c>
      <c r="J63" s="235">
        <f t="shared" si="61"/>
        <v>0</v>
      </c>
      <c r="K63" s="235">
        <f t="shared" si="61"/>
        <v>0</v>
      </c>
      <c r="L63" s="235">
        <f t="shared" si="61"/>
        <v>0</v>
      </c>
      <c r="M63" s="235">
        <f t="shared" si="61"/>
        <v>0</v>
      </c>
      <c r="N63" s="235">
        <f t="shared" si="61"/>
        <v>0</v>
      </c>
      <c r="O63" s="235">
        <f t="shared" si="61"/>
        <v>0</v>
      </c>
      <c r="P63" s="235">
        <f t="shared" si="61"/>
        <v>41.25</v>
      </c>
      <c r="Q63" s="235">
        <f t="shared" si="61"/>
        <v>41.25</v>
      </c>
      <c r="R63" s="235">
        <f t="shared" si="61"/>
        <v>41.25</v>
      </c>
      <c r="S63" s="235">
        <f t="shared" si="61"/>
        <v>41.25</v>
      </c>
      <c r="T63" s="235">
        <f t="shared" si="61"/>
        <v>412500</v>
      </c>
      <c r="U63" s="235">
        <f t="shared" si="61"/>
        <v>412500</v>
      </c>
      <c r="V63" s="235">
        <f t="shared" si="61"/>
        <v>412500</v>
      </c>
      <c r="W63" s="235">
        <f t="shared" si="61"/>
        <v>412500</v>
      </c>
      <c r="X63" s="235">
        <f t="shared" si="61"/>
        <v>10</v>
      </c>
      <c r="Y63" s="235">
        <f t="shared" si="61"/>
        <v>100000</v>
      </c>
      <c r="Z63" s="235">
        <f t="shared" si="61"/>
        <v>10</v>
      </c>
      <c r="AA63" s="235">
        <f t="shared" si="61"/>
        <v>100000</v>
      </c>
      <c r="AB63" s="235">
        <f t="shared" si="61"/>
        <v>10</v>
      </c>
      <c r="AC63" s="235">
        <f t="shared" si="61"/>
        <v>100000</v>
      </c>
      <c r="AD63" s="235">
        <f t="shared" si="61"/>
        <v>10</v>
      </c>
      <c r="AE63" s="235">
        <f t="shared" si="61"/>
        <v>100000</v>
      </c>
      <c r="AF63" s="235">
        <f t="shared" si="61"/>
        <v>10</v>
      </c>
      <c r="AG63" s="235">
        <f t="shared" si="61"/>
        <v>100000</v>
      </c>
      <c r="AH63" s="235">
        <f t="shared" si="61"/>
        <v>10</v>
      </c>
      <c r="AI63" s="235">
        <f t="shared" si="61"/>
        <v>100000</v>
      </c>
      <c r="AJ63" s="235">
        <f t="shared" si="61"/>
        <v>10</v>
      </c>
      <c r="AK63" s="235">
        <f t="shared" si="61"/>
        <v>100000</v>
      </c>
      <c r="AL63" s="235">
        <f t="shared" si="61"/>
        <v>10</v>
      </c>
      <c r="AM63" s="235">
        <f t="shared" si="61"/>
        <v>100000</v>
      </c>
      <c r="AN63" s="235">
        <f t="shared" si="61"/>
        <v>5</v>
      </c>
      <c r="AO63" s="235">
        <f t="shared" si="61"/>
        <v>50000</v>
      </c>
      <c r="AP63" s="235">
        <f t="shared" si="61"/>
        <v>10</v>
      </c>
      <c r="AQ63" s="235">
        <f t="shared" si="61"/>
        <v>100000</v>
      </c>
      <c r="AR63" s="235">
        <f t="shared" si="61"/>
        <v>10</v>
      </c>
      <c r="AS63" s="235">
        <f t="shared" si="61"/>
        <v>100000</v>
      </c>
      <c r="AT63" s="235">
        <f t="shared" si="61"/>
        <v>10</v>
      </c>
      <c r="AU63" s="235">
        <f t="shared" si="61"/>
        <v>100000</v>
      </c>
      <c r="AV63" s="235">
        <f t="shared" si="61"/>
        <v>10</v>
      </c>
      <c r="AW63" s="235">
        <f t="shared" si="61"/>
        <v>100000</v>
      </c>
      <c r="AX63" s="235">
        <f t="shared" si="61"/>
        <v>10</v>
      </c>
      <c r="AY63" s="235">
        <f t="shared" si="61"/>
        <v>100000</v>
      </c>
      <c r="AZ63" s="235">
        <f t="shared" si="61"/>
        <v>10</v>
      </c>
      <c r="BA63" s="235">
        <f t="shared" si="61"/>
        <v>100000</v>
      </c>
      <c r="BB63" s="235">
        <f t="shared" si="61"/>
        <v>10</v>
      </c>
      <c r="BC63" s="235">
        <f t="shared" si="61"/>
        <v>100000</v>
      </c>
      <c r="BD63" s="235">
        <f t="shared" si="61"/>
        <v>10</v>
      </c>
      <c r="BE63" s="235">
        <f t="shared" si="61"/>
        <v>100000</v>
      </c>
      <c r="BF63" s="235">
        <f t="shared" si="61"/>
        <v>0</v>
      </c>
      <c r="BG63" s="235">
        <f t="shared" si="61"/>
        <v>0</v>
      </c>
      <c r="BH63" s="235">
        <f t="shared" si="61"/>
        <v>165</v>
      </c>
      <c r="BI63" s="430">
        <f t="shared" ref="BI63:BT63" si="62">SUM(BI62)</f>
        <v>1650000</v>
      </c>
      <c r="BJ63" s="430">
        <f t="shared" si="62"/>
        <v>0</v>
      </c>
      <c r="BK63" s="430">
        <f t="shared" si="62"/>
        <v>0</v>
      </c>
      <c r="BL63" s="430">
        <f t="shared" si="62"/>
        <v>0</v>
      </c>
      <c r="BM63" s="430">
        <f t="shared" si="62"/>
        <v>1650000</v>
      </c>
      <c r="BN63" s="430">
        <f t="shared" si="62"/>
        <v>0</v>
      </c>
      <c r="BO63" s="430">
        <f t="shared" si="62"/>
        <v>0</v>
      </c>
      <c r="BP63" s="430">
        <f t="shared" si="62"/>
        <v>1650000</v>
      </c>
      <c r="BQ63" s="430">
        <f t="shared" si="62"/>
        <v>0</v>
      </c>
      <c r="BR63" s="430">
        <f t="shared" si="62"/>
        <v>0</v>
      </c>
      <c r="BS63" s="430">
        <f t="shared" si="62"/>
        <v>0</v>
      </c>
      <c r="BT63" s="430">
        <f t="shared" si="62"/>
        <v>1650000</v>
      </c>
    </row>
    <row r="64" spans="1:72" s="226" customFormat="1" ht="15.75">
      <c r="A64" s="372" t="s">
        <v>17</v>
      </c>
      <c r="B64" s="461" t="s">
        <v>121</v>
      </c>
      <c r="C64" s="529" t="s">
        <v>121</v>
      </c>
      <c r="D64" s="530">
        <f>D14+D16+D24+D31+D34+D41+D51+D54+D60+D63</f>
        <v>35563</v>
      </c>
      <c r="E64" s="530">
        <f>E14+E16+E24+E31+E34+E41+E51+E54+E60+E63</f>
        <v>38442800</v>
      </c>
      <c r="F64" s="530">
        <f t="shared" ref="F64:BQ64" si="63">F14+F16+F24+F31+F34+F41+F51+F54+F60+F63</f>
        <v>1688560</v>
      </c>
      <c r="G64" s="530">
        <f t="shared" si="63"/>
        <v>36754240</v>
      </c>
      <c r="H64" s="530">
        <f t="shared" si="63"/>
        <v>0</v>
      </c>
      <c r="I64" s="530">
        <f t="shared" si="63"/>
        <v>0</v>
      </c>
      <c r="J64" s="530">
        <f t="shared" si="63"/>
        <v>0</v>
      </c>
      <c r="K64" s="530">
        <f t="shared" si="63"/>
        <v>0</v>
      </c>
      <c r="L64" s="530">
        <f t="shared" si="63"/>
        <v>0</v>
      </c>
      <c r="M64" s="530">
        <f t="shared" si="63"/>
        <v>0</v>
      </c>
      <c r="N64" s="530">
        <f t="shared" si="63"/>
        <v>0</v>
      </c>
      <c r="O64" s="530">
        <f t="shared" si="63"/>
        <v>0</v>
      </c>
      <c r="P64" s="530">
        <f t="shared" si="63"/>
        <v>5000.95</v>
      </c>
      <c r="Q64" s="530">
        <f t="shared" si="63"/>
        <v>5000.95</v>
      </c>
      <c r="R64" s="530">
        <f t="shared" si="63"/>
        <v>5000.95</v>
      </c>
      <c r="S64" s="530">
        <f t="shared" si="63"/>
        <v>5000.95</v>
      </c>
      <c r="T64" s="530">
        <f t="shared" si="63"/>
        <v>955170</v>
      </c>
      <c r="U64" s="530">
        <f t="shared" si="63"/>
        <v>955170</v>
      </c>
      <c r="V64" s="530">
        <f t="shared" si="63"/>
        <v>955170</v>
      </c>
      <c r="W64" s="530">
        <f t="shared" si="63"/>
        <v>955170</v>
      </c>
      <c r="X64" s="530">
        <f t="shared" si="63"/>
        <v>1607</v>
      </c>
      <c r="Y64" s="530">
        <f t="shared" si="63"/>
        <v>405550</v>
      </c>
      <c r="Z64" s="530">
        <f t="shared" si="63"/>
        <v>1142</v>
      </c>
      <c r="AA64" s="530">
        <f t="shared" si="63"/>
        <v>326550</v>
      </c>
      <c r="AB64" s="530">
        <f t="shared" si="63"/>
        <v>1612</v>
      </c>
      <c r="AC64" s="530">
        <f t="shared" si="63"/>
        <v>417050</v>
      </c>
      <c r="AD64" s="530">
        <f t="shared" si="63"/>
        <v>2861</v>
      </c>
      <c r="AE64" s="530">
        <f t="shared" si="63"/>
        <v>555900</v>
      </c>
      <c r="AF64" s="530">
        <f t="shared" si="63"/>
        <v>1127</v>
      </c>
      <c r="AG64" s="530">
        <f t="shared" si="63"/>
        <v>321550</v>
      </c>
      <c r="AH64" s="530">
        <f t="shared" si="63"/>
        <v>1577</v>
      </c>
      <c r="AI64" s="530">
        <f t="shared" si="63"/>
        <v>413550</v>
      </c>
      <c r="AJ64" s="530">
        <f t="shared" si="63"/>
        <v>1430</v>
      </c>
      <c r="AK64" s="530">
        <f t="shared" si="63"/>
        <v>401250</v>
      </c>
      <c r="AL64" s="530">
        <f t="shared" si="63"/>
        <v>3079</v>
      </c>
      <c r="AM64" s="530">
        <f t="shared" si="63"/>
        <v>625250</v>
      </c>
      <c r="AN64" s="530">
        <f t="shared" si="63"/>
        <v>855</v>
      </c>
      <c r="AO64" s="530">
        <f t="shared" si="63"/>
        <v>234050</v>
      </c>
      <c r="AP64" s="530">
        <f t="shared" si="63"/>
        <v>1844</v>
      </c>
      <c r="AQ64" s="530">
        <f t="shared" si="63"/>
        <v>412600</v>
      </c>
      <c r="AR64" s="530">
        <f t="shared" si="63"/>
        <v>2448</v>
      </c>
      <c r="AS64" s="530">
        <f t="shared" si="63"/>
        <v>494450</v>
      </c>
      <c r="AT64" s="530">
        <f t="shared" si="63"/>
        <v>1944</v>
      </c>
      <c r="AU64" s="530">
        <f t="shared" si="63"/>
        <v>452650</v>
      </c>
      <c r="AV64" s="530">
        <f t="shared" si="63"/>
        <v>3344.9999999999995</v>
      </c>
      <c r="AW64" s="530">
        <f t="shared" si="63"/>
        <v>673850</v>
      </c>
      <c r="AX64" s="530">
        <f t="shared" si="63"/>
        <v>2947</v>
      </c>
      <c r="AY64" s="530">
        <f t="shared" si="63"/>
        <v>606550</v>
      </c>
      <c r="AZ64" s="530">
        <f t="shared" si="63"/>
        <v>1409</v>
      </c>
      <c r="BA64" s="530">
        <f t="shared" si="63"/>
        <v>397100</v>
      </c>
      <c r="BB64" s="530">
        <f t="shared" si="63"/>
        <v>4005.9999999999995</v>
      </c>
      <c r="BC64" s="530">
        <f t="shared" si="63"/>
        <v>930950</v>
      </c>
      <c r="BD64" s="530">
        <f t="shared" si="63"/>
        <v>1983</v>
      </c>
      <c r="BE64" s="530">
        <f t="shared" si="63"/>
        <v>458950</v>
      </c>
      <c r="BF64" s="530">
        <f t="shared" si="63"/>
        <v>512</v>
      </c>
      <c r="BG64" s="530">
        <f t="shared" si="63"/>
        <v>30315000</v>
      </c>
      <c r="BH64" s="530">
        <f t="shared" si="63"/>
        <v>35728</v>
      </c>
      <c r="BI64" s="530">
        <f t="shared" si="63"/>
        <v>38442800</v>
      </c>
      <c r="BJ64" s="530">
        <f t="shared" si="63"/>
        <v>0</v>
      </c>
      <c r="BK64" s="530">
        <f t="shared" si="63"/>
        <v>0</v>
      </c>
      <c r="BL64" s="530">
        <f t="shared" si="63"/>
        <v>0</v>
      </c>
      <c r="BM64" s="530">
        <f t="shared" si="63"/>
        <v>36163300</v>
      </c>
      <c r="BN64" s="530">
        <f t="shared" si="63"/>
        <v>2279500</v>
      </c>
      <c r="BO64" s="530">
        <f t="shared" si="63"/>
        <v>0</v>
      </c>
      <c r="BP64" s="530">
        <f t="shared" si="63"/>
        <v>38442800</v>
      </c>
      <c r="BQ64" s="530">
        <f t="shared" si="63"/>
        <v>0</v>
      </c>
      <c r="BR64" s="530">
        <f>BR14+BR16+BR24+BR31+BR34+BR41+BR51+BR54+BR60+BR63</f>
        <v>0</v>
      </c>
      <c r="BS64" s="530">
        <f>BS14+BS16+BS24+BS31+BS34+BS41+BS51+BS54+BS60+BS63</f>
        <v>0</v>
      </c>
      <c r="BT64" s="530">
        <f>BT14+BT16+BT24+BT31+BT34+BT41+BT51+BT54+BT60+BT63</f>
        <v>38442800</v>
      </c>
    </row>
    <row r="65" spans="1:977" ht="33.75" customHeight="1">
      <c r="A65" s="31" t="s">
        <v>245</v>
      </c>
      <c r="C65" s="299"/>
      <c r="E65" s="237"/>
      <c r="F65" s="237"/>
      <c r="G65" s="237"/>
      <c r="H65" s="237"/>
      <c r="I65" s="237"/>
      <c r="J65" s="237"/>
      <c r="K65" s="237"/>
      <c r="L65" s="237"/>
      <c r="BJ65" s="362"/>
    </row>
    <row r="66" spans="1:977" ht="14.25" customHeight="1">
      <c r="A66" s="31" t="s">
        <v>261</v>
      </c>
    </row>
    <row r="67" spans="1:977" ht="14.25" customHeight="1">
      <c r="A67" s="31" t="s">
        <v>395</v>
      </c>
    </row>
    <row r="68" spans="1:977" ht="14.25" customHeight="1">
      <c r="A68" s="31" t="s">
        <v>262</v>
      </c>
    </row>
    <row r="69" spans="1:977" ht="14.25" customHeight="1">
      <c r="A69" s="31" t="s">
        <v>263</v>
      </c>
    </row>
    <row r="70" spans="1:977" ht="14.25" customHeight="1">
      <c r="A70" s="31" t="s">
        <v>264</v>
      </c>
    </row>
    <row r="71" spans="1:977" s="236" customFormat="1" ht="14.25" customHeight="1">
      <c r="A71" s="31" t="s">
        <v>265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  <c r="SC71" s="31"/>
      <c r="SD71" s="31"/>
      <c r="SE71" s="31"/>
      <c r="SF71" s="31"/>
      <c r="SG71" s="31"/>
      <c r="SH71" s="31"/>
      <c r="SI71" s="31"/>
      <c r="SJ71" s="31"/>
      <c r="SK71" s="31"/>
      <c r="SL71" s="31"/>
      <c r="SM71" s="31"/>
      <c r="SN71" s="31"/>
      <c r="SO71" s="31"/>
      <c r="SP71" s="31"/>
      <c r="SQ71" s="31"/>
      <c r="SR71" s="31"/>
      <c r="SS71" s="31"/>
      <c r="ST71" s="31"/>
      <c r="SU71" s="31"/>
      <c r="SV71" s="31"/>
      <c r="SW71" s="31"/>
      <c r="SX71" s="31"/>
      <c r="SY71" s="31"/>
      <c r="SZ71" s="31"/>
      <c r="TA71" s="31"/>
      <c r="TB71" s="31"/>
      <c r="TC71" s="31"/>
      <c r="TD71" s="31"/>
      <c r="TE71" s="31"/>
      <c r="TF71" s="31"/>
      <c r="TG71" s="31"/>
      <c r="TH71" s="31"/>
      <c r="TI71" s="31"/>
      <c r="TJ71" s="31"/>
      <c r="TK71" s="31"/>
      <c r="TL71" s="31"/>
      <c r="TM71" s="31"/>
      <c r="TN71" s="31"/>
      <c r="TO71" s="31"/>
      <c r="TP71" s="31"/>
      <c r="TQ71" s="31"/>
      <c r="TR71" s="31"/>
      <c r="TS71" s="31"/>
      <c r="TT71" s="31"/>
      <c r="TU71" s="31"/>
      <c r="TV71" s="31"/>
      <c r="TW71" s="31"/>
      <c r="TX71" s="31"/>
      <c r="TY71" s="31"/>
      <c r="TZ71" s="31"/>
      <c r="UA71" s="31"/>
      <c r="UB71" s="31"/>
      <c r="UC71" s="31"/>
      <c r="UD71" s="31"/>
      <c r="UE71" s="31"/>
      <c r="UF71" s="31"/>
      <c r="UG71" s="31"/>
      <c r="UH71" s="31"/>
      <c r="UI71" s="31"/>
      <c r="UJ71" s="31"/>
      <c r="UK71" s="31"/>
      <c r="UL71" s="31"/>
      <c r="UM71" s="31"/>
      <c r="UN71" s="31"/>
      <c r="UO71" s="31"/>
      <c r="UP71" s="31"/>
      <c r="UQ71" s="31"/>
      <c r="UR71" s="31"/>
      <c r="US71" s="31"/>
      <c r="UT71" s="31"/>
      <c r="UU71" s="31"/>
      <c r="UV71" s="31"/>
      <c r="UW71" s="31"/>
      <c r="UX71" s="31"/>
      <c r="UY71" s="31"/>
      <c r="UZ71" s="31"/>
      <c r="VA71" s="31"/>
      <c r="VB71" s="31"/>
      <c r="VC71" s="31"/>
      <c r="VD71" s="31"/>
      <c r="VE71" s="31"/>
      <c r="VF71" s="31"/>
      <c r="VG71" s="31"/>
      <c r="VH71" s="31"/>
      <c r="VI71" s="31"/>
      <c r="VJ71" s="31"/>
      <c r="VK71" s="31"/>
      <c r="VL71" s="31"/>
      <c r="VM71" s="31"/>
      <c r="VN71" s="31"/>
      <c r="VO71" s="31"/>
      <c r="VP71" s="31"/>
      <c r="VQ71" s="31"/>
      <c r="VR71" s="31"/>
      <c r="VS71" s="31"/>
      <c r="VT71" s="31"/>
      <c r="VU71" s="31"/>
      <c r="VV71" s="31"/>
      <c r="VW71" s="31"/>
      <c r="VX71" s="31"/>
      <c r="VY71" s="31"/>
      <c r="VZ71" s="31"/>
      <c r="WA71" s="31"/>
      <c r="WB71" s="31"/>
      <c r="WC71" s="31"/>
      <c r="WD71" s="31"/>
      <c r="WE71" s="31"/>
      <c r="WF71" s="31"/>
      <c r="WG71" s="31"/>
      <c r="WH71" s="31"/>
      <c r="WI71" s="31"/>
      <c r="WJ71" s="31"/>
      <c r="WK71" s="31"/>
      <c r="WL71" s="31"/>
      <c r="WM71" s="31"/>
      <c r="WN71" s="31"/>
      <c r="WO71" s="31"/>
      <c r="WP71" s="31"/>
      <c r="WQ71" s="31"/>
      <c r="WR71" s="31"/>
      <c r="WS71" s="31"/>
      <c r="WT71" s="31"/>
      <c r="WU71" s="31"/>
      <c r="WV71" s="31"/>
      <c r="WW71" s="31"/>
      <c r="WX71" s="31"/>
      <c r="WY71" s="31"/>
      <c r="WZ71" s="31"/>
      <c r="XA71" s="31"/>
      <c r="XB71" s="31"/>
      <c r="XC71" s="31"/>
      <c r="XD71" s="31"/>
      <c r="XE71" s="31"/>
      <c r="XF71" s="31"/>
      <c r="XG71" s="31"/>
      <c r="XH71" s="31"/>
      <c r="XI71" s="31"/>
      <c r="XJ71" s="31"/>
      <c r="XK71" s="31"/>
      <c r="XL71" s="31"/>
      <c r="XM71" s="31"/>
      <c r="XN71" s="31"/>
      <c r="XO71" s="31"/>
      <c r="XP71" s="31"/>
      <c r="XQ71" s="31"/>
      <c r="XR71" s="31"/>
      <c r="XS71" s="31"/>
      <c r="XT71" s="31"/>
      <c r="XU71" s="31"/>
      <c r="XV71" s="31"/>
      <c r="XW71" s="31"/>
      <c r="XX71" s="31"/>
      <c r="XY71" s="31"/>
      <c r="XZ71" s="31"/>
      <c r="YA71" s="31"/>
      <c r="YB71" s="31"/>
      <c r="YC71" s="31"/>
      <c r="YD71" s="31"/>
      <c r="YE71" s="31"/>
      <c r="YF71" s="31"/>
      <c r="YG71" s="31"/>
      <c r="YH71" s="31"/>
      <c r="YI71" s="31"/>
      <c r="YJ71" s="31"/>
      <c r="YK71" s="31"/>
      <c r="YL71" s="31"/>
      <c r="YM71" s="31"/>
      <c r="YN71" s="31"/>
      <c r="YO71" s="31"/>
      <c r="YP71" s="31"/>
      <c r="YQ71" s="31"/>
      <c r="YR71" s="31"/>
      <c r="YS71" s="31"/>
      <c r="YT71" s="31"/>
      <c r="YU71" s="31"/>
      <c r="YV71" s="31"/>
      <c r="YW71" s="31"/>
      <c r="YX71" s="31"/>
      <c r="YY71" s="31"/>
      <c r="YZ71" s="31"/>
      <c r="ZA71" s="31"/>
      <c r="ZB71" s="31"/>
      <c r="ZC71" s="31"/>
      <c r="ZD71" s="31"/>
      <c r="ZE71" s="31"/>
      <c r="ZF71" s="31"/>
      <c r="ZG71" s="31"/>
      <c r="ZH71" s="31"/>
      <c r="ZI71" s="31"/>
      <c r="ZJ71" s="31"/>
      <c r="ZK71" s="31"/>
      <c r="ZL71" s="31"/>
      <c r="ZM71" s="31"/>
      <c r="ZN71" s="31"/>
      <c r="ZO71" s="31"/>
      <c r="ZP71" s="31"/>
      <c r="ZQ71" s="31"/>
      <c r="ZR71" s="31"/>
      <c r="ZS71" s="31"/>
      <c r="ZT71" s="31"/>
      <c r="ZU71" s="31"/>
      <c r="ZV71" s="31"/>
      <c r="ZW71" s="31"/>
      <c r="ZX71" s="31"/>
      <c r="ZY71" s="31"/>
      <c r="ZZ71" s="31"/>
      <c r="AAA71" s="31"/>
      <c r="AAB71" s="31"/>
      <c r="AAC71" s="31"/>
      <c r="AAD71" s="31"/>
      <c r="AAE71" s="31"/>
      <c r="AAF71" s="31"/>
      <c r="AAG71" s="31"/>
      <c r="AAH71" s="31"/>
      <c r="AAI71" s="31"/>
      <c r="AAJ71" s="31"/>
      <c r="AAK71" s="31"/>
      <c r="AAL71" s="31"/>
      <c r="AAM71" s="31"/>
      <c r="AAN71" s="31"/>
      <c r="AAO71" s="31"/>
      <c r="AAP71" s="31"/>
      <c r="AAQ71" s="31"/>
      <c r="AAR71" s="31"/>
      <c r="AAS71" s="31"/>
      <c r="AAT71" s="31"/>
      <c r="AAU71" s="31"/>
      <c r="AAV71" s="31"/>
      <c r="AAW71" s="31"/>
      <c r="AAX71" s="31"/>
      <c r="AAY71" s="31"/>
      <c r="AAZ71" s="31"/>
      <c r="ABA71" s="31"/>
      <c r="ABB71" s="31"/>
      <c r="ABC71" s="31"/>
      <c r="ABD71" s="31"/>
      <c r="ABE71" s="31"/>
      <c r="ABF71" s="31"/>
      <c r="ABG71" s="31"/>
      <c r="ABH71" s="31"/>
      <c r="ABI71" s="31"/>
      <c r="ABJ71" s="31"/>
      <c r="ABK71" s="31"/>
      <c r="ABL71" s="31"/>
      <c r="ABM71" s="31"/>
      <c r="ABN71" s="31"/>
      <c r="ABO71" s="31"/>
      <c r="ABP71" s="31"/>
      <c r="ABQ71" s="31"/>
      <c r="ABR71" s="31"/>
      <c r="ABS71" s="31"/>
      <c r="ABT71" s="31"/>
      <c r="ABU71" s="31"/>
      <c r="ABV71" s="31"/>
      <c r="ABW71" s="31"/>
      <c r="ABX71" s="31"/>
      <c r="ABY71" s="31"/>
      <c r="ABZ71" s="31"/>
      <c r="ACA71" s="31"/>
      <c r="ACB71" s="31"/>
      <c r="ACC71" s="31"/>
      <c r="ACD71" s="31"/>
      <c r="ACE71" s="31"/>
      <c r="ACF71" s="31"/>
      <c r="ACG71" s="31"/>
      <c r="ACH71" s="31"/>
      <c r="ACI71" s="31"/>
      <c r="ACJ71" s="31"/>
      <c r="ACK71" s="31"/>
      <c r="ACL71" s="31"/>
      <c r="ACM71" s="31"/>
      <c r="ACN71" s="31"/>
      <c r="ACO71" s="31"/>
      <c r="ACP71" s="31"/>
      <c r="ACQ71" s="31"/>
      <c r="ACR71" s="31"/>
      <c r="ACS71" s="31"/>
      <c r="ACT71" s="31"/>
      <c r="ACU71" s="31"/>
      <c r="ACV71" s="31"/>
      <c r="ACW71" s="31"/>
      <c r="ACX71" s="31"/>
      <c r="ACY71" s="31"/>
      <c r="ACZ71" s="31"/>
      <c r="ADA71" s="31"/>
      <c r="ADB71" s="31"/>
      <c r="ADC71" s="31"/>
      <c r="ADD71" s="31"/>
      <c r="ADE71" s="31"/>
      <c r="ADF71" s="31"/>
      <c r="ADG71" s="31"/>
      <c r="ADH71" s="31"/>
      <c r="ADI71" s="31"/>
      <c r="ADJ71" s="31"/>
      <c r="ADK71" s="31"/>
      <c r="ADL71" s="31"/>
      <c r="ADM71" s="31"/>
      <c r="ADN71" s="31"/>
      <c r="ADO71" s="31"/>
      <c r="ADP71" s="31"/>
      <c r="ADQ71" s="31"/>
      <c r="ADR71" s="31"/>
      <c r="ADS71" s="31"/>
      <c r="ADT71" s="31"/>
      <c r="ADU71" s="31"/>
      <c r="ADV71" s="31"/>
      <c r="ADW71" s="31"/>
      <c r="ADX71" s="31"/>
      <c r="ADY71" s="31"/>
      <c r="ADZ71" s="31"/>
      <c r="AEA71" s="31"/>
      <c r="AEB71" s="31"/>
      <c r="AEC71" s="31"/>
      <c r="AED71" s="31"/>
      <c r="AEE71" s="31"/>
      <c r="AEF71" s="31"/>
      <c r="AEG71" s="31"/>
      <c r="AEH71" s="31"/>
      <c r="AEI71" s="31"/>
      <c r="AEJ71" s="31"/>
      <c r="AEK71" s="31"/>
      <c r="AEL71" s="31"/>
      <c r="AEM71" s="31"/>
      <c r="AEN71" s="31"/>
      <c r="AEO71" s="31"/>
      <c r="AEP71" s="31"/>
      <c r="AEQ71" s="31"/>
      <c r="AER71" s="31"/>
      <c r="AES71" s="31"/>
      <c r="AET71" s="31"/>
      <c r="AEU71" s="31"/>
      <c r="AEV71" s="31"/>
      <c r="AEW71" s="31"/>
      <c r="AEX71" s="31"/>
      <c r="AEY71" s="31"/>
      <c r="AEZ71" s="31"/>
      <c r="AFA71" s="31"/>
      <c r="AFB71" s="31"/>
      <c r="AFC71" s="31"/>
      <c r="AFD71" s="31"/>
      <c r="AFE71" s="31"/>
      <c r="AFF71" s="31"/>
      <c r="AFG71" s="31"/>
      <c r="AFH71" s="31"/>
      <c r="AFI71" s="31"/>
      <c r="AFJ71" s="31"/>
      <c r="AFK71" s="31"/>
      <c r="AFL71" s="31"/>
      <c r="AFM71" s="31"/>
      <c r="AFN71" s="31"/>
      <c r="AFO71" s="31"/>
      <c r="AFP71" s="31"/>
      <c r="AFQ71" s="31"/>
      <c r="AFR71" s="31"/>
      <c r="AFS71" s="31"/>
      <c r="AFT71" s="31"/>
      <c r="AFU71" s="31"/>
      <c r="AFV71" s="31"/>
      <c r="AFW71" s="31"/>
      <c r="AFX71" s="31"/>
      <c r="AFY71" s="31"/>
      <c r="AFZ71" s="31"/>
      <c r="AGA71" s="31"/>
      <c r="AGB71" s="31"/>
      <c r="AGC71" s="31"/>
      <c r="AGD71" s="31"/>
      <c r="AGE71" s="31"/>
      <c r="AGF71" s="31"/>
      <c r="AGG71" s="31"/>
      <c r="AGH71" s="31"/>
      <c r="AGI71" s="31"/>
      <c r="AGJ71" s="31"/>
      <c r="AGK71" s="31"/>
      <c r="AGL71" s="31"/>
      <c r="AGM71" s="31"/>
      <c r="AGN71" s="31"/>
      <c r="AGO71" s="31"/>
      <c r="AGP71" s="31"/>
      <c r="AGQ71" s="31"/>
      <c r="AGR71" s="31"/>
      <c r="AGS71" s="31"/>
      <c r="AGT71" s="31"/>
      <c r="AGU71" s="31"/>
      <c r="AGV71" s="31"/>
      <c r="AGW71" s="31"/>
      <c r="AGX71" s="31"/>
      <c r="AGY71" s="31"/>
      <c r="AGZ71" s="31"/>
      <c r="AHA71" s="31"/>
      <c r="AHB71" s="31"/>
      <c r="AHC71" s="31"/>
      <c r="AHD71" s="31"/>
      <c r="AHE71" s="31"/>
      <c r="AHF71" s="31"/>
      <c r="AHG71" s="31"/>
      <c r="AHH71" s="31"/>
      <c r="AHI71" s="31"/>
      <c r="AHJ71" s="31"/>
      <c r="AHK71" s="31"/>
      <c r="AHL71" s="31"/>
      <c r="AHM71" s="31"/>
      <c r="AHN71" s="31"/>
      <c r="AHO71" s="31"/>
      <c r="AHP71" s="31"/>
      <c r="AHQ71" s="31"/>
      <c r="AHR71" s="31"/>
      <c r="AHS71" s="31"/>
      <c r="AHT71" s="31"/>
      <c r="AHU71" s="31"/>
      <c r="AHV71" s="31"/>
      <c r="AHW71" s="31"/>
      <c r="AHX71" s="31"/>
      <c r="AHY71" s="31"/>
      <c r="AHZ71" s="31"/>
      <c r="AIA71" s="31"/>
      <c r="AIB71" s="31"/>
      <c r="AIC71" s="31"/>
      <c r="AID71" s="31"/>
      <c r="AIE71" s="31"/>
      <c r="AIF71" s="31"/>
      <c r="AIG71" s="31"/>
      <c r="AIH71" s="31"/>
      <c r="AII71" s="31"/>
      <c r="AIJ71" s="31"/>
      <c r="AIK71" s="31"/>
      <c r="AIL71" s="31"/>
      <c r="AIM71" s="31"/>
      <c r="AIN71" s="31"/>
      <c r="AIO71" s="31"/>
      <c r="AIP71" s="31"/>
      <c r="AIQ71" s="31"/>
      <c r="AIR71" s="31"/>
      <c r="AIS71" s="31"/>
      <c r="AIT71" s="31"/>
      <c r="AIU71" s="31"/>
      <c r="AIV71" s="31"/>
      <c r="AIW71" s="31"/>
      <c r="AIX71" s="31"/>
      <c r="AIY71" s="31"/>
      <c r="AIZ71" s="31"/>
      <c r="AJA71" s="31"/>
      <c r="AJB71" s="31"/>
      <c r="AJC71" s="31"/>
      <c r="AJD71" s="31"/>
      <c r="AJE71" s="31"/>
      <c r="AJF71" s="31"/>
      <c r="AJG71" s="31"/>
      <c r="AJH71" s="31"/>
      <c r="AJI71" s="31"/>
      <c r="AJJ71" s="31"/>
      <c r="AJK71" s="31"/>
      <c r="AJL71" s="31"/>
      <c r="AJM71" s="31"/>
      <c r="AJN71" s="31"/>
      <c r="AJO71" s="31"/>
      <c r="AJP71" s="31"/>
      <c r="AJQ71" s="31"/>
      <c r="AJR71" s="31"/>
      <c r="AJS71" s="31"/>
      <c r="AJT71" s="31"/>
      <c r="AJU71" s="31"/>
      <c r="AJV71" s="31"/>
      <c r="AJW71" s="31"/>
      <c r="AJX71" s="31"/>
      <c r="AJY71" s="31"/>
      <c r="AJZ71" s="31"/>
      <c r="AKA71" s="31"/>
      <c r="AKB71" s="31"/>
      <c r="AKC71" s="31"/>
      <c r="AKD71" s="31"/>
      <c r="AKE71" s="31"/>
      <c r="AKF71" s="31"/>
      <c r="AKG71" s="31"/>
      <c r="AKH71" s="31"/>
      <c r="AKI71" s="31"/>
      <c r="AKJ71" s="31"/>
      <c r="AKK71" s="31"/>
      <c r="AKL71" s="31"/>
      <c r="AKM71" s="31"/>
      <c r="AKN71" s="31"/>
      <c r="AKO71" s="31"/>
    </row>
    <row r="72" spans="1:977" s="236" customFormat="1" ht="14.25" customHeight="1">
      <c r="A72" s="31" t="s">
        <v>266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  <c r="QZ72" s="31"/>
      <c r="RA72" s="31"/>
      <c r="RB72" s="31"/>
      <c r="RC72" s="31"/>
      <c r="RD72" s="31"/>
      <c r="RE72" s="31"/>
      <c r="RF72" s="31"/>
      <c r="RG72" s="31"/>
      <c r="RH72" s="31"/>
      <c r="RI72" s="31"/>
      <c r="RJ72" s="31"/>
      <c r="RK72" s="31"/>
      <c r="RL72" s="31"/>
      <c r="RM72" s="31"/>
      <c r="RN72" s="31"/>
      <c r="RO72" s="31"/>
      <c r="RP72" s="31"/>
      <c r="RQ72" s="31"/>
      <c r="RR72" s="31"/>
      <c r="RS72" s="31"/>
      <c r="RT72" s="31"/>
      <c r="RU72" s="31"/>
      <c r="RV72" s="31"/>
      <c r="RW72" s="31"/>
      <c r="RX72" s="31"/>
      <c r="RY72" s="31"/>
      <c r="RZ72" s="31"/>
      <c r="SA72" s="31"/>
      <c r="SB72" s="31"/>
      <c r="SC72" s="31"/>
      <c r="SD72" s="31"/>
      <c r="SE72" s="31"/>
      <c r="SF72" s="31"/>
      <c r="SG72" s="31"/>
      <c r="SH72" s="31"/>
      <c r="SI72" s="31"/>
      <c r="SJ72" s="31"/>
      <c r="SK72" s="31"/>
      <c r="SL72" s="31"/>
      <c r="SM72" s="31"/>
      <c r="SN72" s="31"/>
      <c r="SO72" s="31"/>
      <c r="SP72" s="31"/>
      <c r="SQ72" s="31"/>
      <c r="SR72" s="31"/>
      <c r="SS72" s="31"/>
      <c r="ST72" s="31"/>
      <c r="SU72" s="31"/>
      <c r="SV72" s="31"/>
      <c r="SW72" s="31"/>
      <c r="SX72" s="31"/>
      <c r="SY72" s="31"/>
      <c r="SZ72" s="31"/>
      <c r="TA72" s="31"/>
      <c r="TB72" s="31"/>
      <c r="TC72" s="31"/>
      <c r="TD72" s="31"/>
      <c r="TE72" s="31"/>
      <c r="TF72" s="31"/>
      <c r="TG72" s="31"/>
      <c r="TH72" s="31"/>
      <c r="TI72" s="31"/>
      <c r="TJ72" s="31"/>
      <c r="TK72" s="31"/>
      <c r="TL72" s="31"/>
      <c r="TM72" s="31"/>
      <c r="TN72" s="31"/>
      <c r="TO72" s="31"/>
      <c r="TP72" s="31"/>
      <c r="TQ72" s="31"/>
      <c r="TR72" s="31"/>
      <c r="TS72" s="31"/>
      <c r="TT72" s="31"/>
      <c r="TU72" s="31"/>
      <c r="TV72" s="31"/>
      <c r="TW72" s="31"/>
      <c r="TX72" s="31"/>
      <c r="TY72" s="31"/>
      <c r="TZ72" s="31"/>
      <c r="UA72" s="31"/>
      <c r="UB72" s="31"/>
      <c r="UC72" s="31"/>
      <c r="UD72" s="31"/>
      <c r="UE72" s="31"/>
      <c r="UF72" s="31"/>
      <c r="UG72" s="31"/>
      <c r="UH72" s="31"/>
      <c r="UI72" s="31"/>
      <c r="UJ72" s="31"/>
      <c r="UK72" s="31"/>
      <c r="UL72" s="31"/>
      <c r="UM72" s="31"/>
      <c r="UN72" s="31"/>
      <c r="UO72" s="31"/>
      <c r="UP72" s="31"/>
      <c r="UQ72" s="31"/>
      <c r="UR72" s="31"/>
      <c r="US72" s="31"/>
      <c r="UT72" s="31"/>
      <c r="UU72" s="31"/>
      <c r="UV72" s="31"/>
      <c r="UW72" s="31"/>
      <c r="UX72" s="31"/>
      <c r="UY72" s="31"/>
      <c r="UZ72" s="31"/>
      <c r="VA72" s="31"/>
      <c r="VB72" s="31"/>
      <c r="VC72" s="31"/>
      <c r="VD72" s="31"/>
      <c r="VE72" s="31"/>
      <c r="VF72" s="31"/>
      <c r="VG72" s="31"/>
      <c r="VH72" s="31"/>
      <c r="VI72" s="31"/>
      <c r="VJ72" s="31"/>
      <c r="VK72" s="31"/>
      <c r="VL72" s="31"/>
      <c r="VM72" s="31"/>
      <c r="VN72" s="31"/>
      <c r="VO72" s="31"/>
      <c r="VP72" s="31"/>
      <c r="VQ72" s="31"/>
      <c r="VR72" s="31"/>
      <c r="VS72" s="31"/>
      <c r="VT72" s="31"/>
      <c r="VU72" s="31"/>
      <c r="VV72" s="31"/>
      <c r="VW72" s="31"/>
      <c r="VX72" s="31"/>
      <c r="VY72" s="31"/>
      <c r="VZ72" s="31"/>
      <c r="WA72" s="31"/>
      <c r="WB72" s="31"/>
      <c r="WC72" s="31"/>
      <c r="WD72" s="31"/>
      <c r="WE72" s="31"/>
      <c r="WF72" s="31"/>
      <c r="WG72" s="31"/>
      <c r="WH72" s="31"/>
      <c r="WI72" s="31"/>
      <c r="WJ72" s="31"/>
      <c r="WK72" s="31"/>
      <c r="WL72" s="31"/>
      <c r="WM72" s="31"/>
      <c r="WN72" s="31"/>
      <c r="WO72" s="31"/>
      <c r="WP72" s="31"/>
      <c r="WQ72" s="31"/>
      <c r="WR72" s="31"/>
      <c r="WS72" s="31"/>
      <c r="WT72" s="31"/>
      <c r="WU72" s="31"/>
      <c r="WV72" s="31"/>
      <c r="WW72" s="31"/>
      <c r="WX72" s="31"/>
      <c r="WY72" s="31"/>
      <c r="WZ72" s="31"/>
      <c r="XA72" s="31"/>
      <c r="XB72" s="31"/>
      <c r="XC72" s="31"/>
      <c r="XD72" s="31"/>
      <c r="XE72" s="31"/>
      <c r="XF72" s="31"/>
      <c r="XG72" s="31"/>
      <c r="XH72" s="31"/>
      <c r="XI72" s="31"/>
      <c r="XJ72" s="31"/>
      <c r="XK72" s="31"/>
      <c r="XL72" s="31"/>
      <c r="XM72" s="31"/>
      <c r="XN72" s="31"/>
      <c r="XO72" s="31"/>
      <c r="XP72" s="31"/>
      <c r="XQ72" s="31"/>
      <c r="XR72" s="31"/>
      <c r="XS72" s="31"/>
      <c r="XT72" s="31"/>
      <c r="XU72" s="31"/>
      <c r="XV72" s="31"/>
      <c r="XW72" s="31"/>
      <c r="XX72" s="31"/>
      <c r="XY72" s="31"/>
      <c r="XZ72" s="31"/>
      <c r="YA72" s="31"/>
      <c r="YB72" s="31"/>
      <c r="YC72" s="31"/>
      <c r="YD72" s="31"/>
      <c r="YE72" s="31"/>
      <c r="YF72" s="31"/>
      <c r="YG72" s="31"/>
      <c r="YH72" s="31"/>
      <c r="YI72" s="31"/>
      <c r="YJ72" s="31"/>
      <c r="YK72" s="31"/>
      <c r="YL72" s="31"/>
      <c r="YM72" s="31"/>
      <c r="YN72" s="31"/>
      <c r="YO72" s="31"/>
      <c r="YP72" s="31"/>
      <c r="YQ72" s="31"/>
      <c r="YR72" s="31"/>
      <c r="YS72" s="31"/>
      <c r="YT72" s="31"/>
      <c r="YU72" s="31"/>
      <c r="YV72" s="31"/>
      <c r="YW72" s="31"/>
      <c r="YX72" s="31"/>
      <c r="YY72" s="31"/>
      <c r="YZ72" s="31"/>
      <c r="ZA72" s="31"/>
      <c r="ZB72" s="31"/>
      <c r="ZC72" s="31"/>
      <c r="ZD72" s="31"/>
      <c r="ZE72" s="31"/>
      <c r="ZF72" s="31"/>
      <c r="ZG72" s="31"/>
      <c r="ZH72" s="31"/>
      <c r="ZI72" s="31"/>
      <c r="ZJ72" s="31"/>
      <c r="ZK72" s="31"/>
      <c r="ZL72" s="31"/>
      <c r="ZM72" s="31"/>
      <c r="ZN72" s="31"/>
      <c r="ZO72" s="31"/>
      <c r="ZP72" s="31"/>
      <c r="ZQ72" s="31"/>
      <c r="ZR72" s="31"/>
      <c r="ZS72" s="31"/>
      <c r="ZT72" s="31"/>
      <c r="ZU72" s="31"/>
      <c r="ZV72" s="31"/>
      <c r="ZW72" s="31"/>
      <c r="ZX72" s="31"/>
      <c r="ZY72" s="31"/>
      <c r="ZZ72" s="31"/>
      <c r="AAA72" s="31"/>
      <c r="AAB72" s="31"/>
      <c r="AAC72" s="31"/>
      <c r="AAD72" s="31"/>
      <c r="AAE72" s="31"/>
      <c r="AAF72" s="31"/>
      <c r="AAG72" s="31"/>
      <c r="AAH72" s="31"/>
      <c r="AAI72" s="31"/>
      <c r="AAJ72" s="31"/>
      <c r="AAK72" s="31"/>
      <c r="AAL72" s="31"/>
      <c r="AAM72" s="31"/>
      <c r="AAN72" s="31"/>
      <c r="AAO72" s="31"/>
      <c r="AAP72" s="31"/>
      <c r="AAQ72" s="31"/>
      <c r="AAR72" s="31"/>
      <c r="AAS72" s="31"/>
      <c r="AAT72" s="31"/>
      <c r="AAU72" s="31"/>
      <c r="AAV72" s="31"/>
      <c r="AAW72" s="31"/>
      <c r="AAX72" s="31"/>
      <c r="AAY72" s="31"/>
      <c r="AAZ72" s="31"/>
      <c r="ABA72" s="31"/>
      <c r="ABB72" s="31"/>
      <c r="ABC72" s="31"/>
      <c r="ABD72" s="31"/>
      <c r="ABE72" s="31"/>
      <c r="ABF72" s="31"/>
      <c r="ABG72" s="31"/>
      <c r="ABH72" s="31"/>
      <c r="ABI72" s="31"/>
      <c r="ABJ72" s="31"/>
      <c r="ABK72" s="31"/>
      <c r="ABL72" s="31"/>
      <c r="ABM72" s="31"/>
      <c r="ABN72" s="31"/>
      <c r="ABO72" s="31"/>
      <c r="ABP72" s="31"/>
      <c r="ABQ72" s="31"/>
      <c r="ABR72" s="31"/>
      <c r="ABS72" s="31"/>
      <c r="ABT72" s="31"/>
      <c r="ABU72" s="31"/>
      <c r="ABV72" s="31"/>
      <c r="ABW72" s="31"/>
      <c r="ABX72" s="31"/>
      <c r="ABY72" s="31"/>
      <c r="ABZ72" s="31"/>
      <c r="ACA72" s="31"/>
      <c r="ACB72" s="31"/>
      <c r="ACC72" s="31"/>
      <c r="ACD72" s="31"/>
      <c r="ACE72" s="31"/>
      <c r="ACF72" s="31"/>
      <c r="ACG72" s="31"/>
      <c r="ACH72" s="31"/>
      <c r="ACI72" s="31"/>
      <c r="ACJ72" s="31"/>
      <c r="ACK72" s="31"/>
      <c r="ACL72" s="31"/>
      <c r="ACM72" s="31"/>
      <c r="ACN72" s="31"/>
      <c r="ACO72" s="31"/>
      <c r="ACP72" s="31"/>
      <c r="ACQ72" s="31"/>
      <c r="ACR72" s="31"/>
      <c r="ACS72" s="31"/>
      <c r="ACT72" s="31"/>
      <c r="ACU72" s="31"/>
      <c r="ACV72" s="31"/>
      <c r="ACW72" s="31"/>
      <c r="ACX72" s="31"/>
      <c r="ACY72" s="31"/>
      <c r="ACZ72" s="31"/>
      <c r="ADA72" s="31"/>
      <c r="ADB72" s="31"/>
      <c r="ADC72" s="31"/>
      <c r="ADD72" s="31"/>
      <c r="ADE72" s="31"/>
      <c r="ADF72" s="31"/>
      <c r="ADG72" s="31"/>
      <c r="ADH72" s="31"/>
      <c r="ADI72" s="31"/>
      <c r="ADJ72" s="31"/>
      <c r="ADK72" s="31"/>
      <c r="ADL72" s="31"/>
      <c r="ADM72" s="31"/>
      <c r="ADN72" s="31"/>
      <c r="ADO72" s="31"/>
      <c r="ADP72" s="31"/>
      <c r="ADQ72" s="31"/>
      <c r="ADR72" s="31"/>
      <c r="ADS72" s="31"/>
      <c r="ADT72" s="31"/>
      <c r="ADU72" s="31"/>
      <c r="ADV72" s="31"/>
      <c r="ADW72" s="31"/>
      <c r="ADX72" s="31"/>
      <c r="ADY72" s="31"/>
      <c r="ADZ72" s="31"/>
      <c r="AEA72" s="31"/>
      <c r="AEB72" s="31"/>
      <c r="AEC72" s="31"/>
      <c r="AED72" s="31"/>
      <c r="AEE72" s="31"/>
      <c r="AEF72" s="31"/>
      <c r="AEG72" s="31"/>
      <c r="AEH72" s="31"/>
      <c r="AEI72" s="31"/>
      <c r="AEJ72" s="31"/>
      <c r="AEK72" s="31"/>
      <c r="AEL72" s="31"/>
      <c r="AEM72" s="31"/>
      <c r="AEN72" s="31"/>
      <c r="AEO72" s="31"/>
      <c r="AEP72" s="31"/>
      <c r="AEQ72" s="31"/>
      <c r="AER72" s="31"/>
      <c r="AES72" s="31"/>
      <c r="AET72" s="31"/>
      <c r="AEU72" s="31"/>
      <c r="AEV72" s="31"/>
      <c r="AEW72" s="31"/>
      <c r="AEX72" s="31"/>
      <c r="AEY72" s="31"/>
      <c r="AEZ72" s="31"/>
      <c r="AFA72" s="31"/>
      <c r="AFB72" s="31"/>
      <c r="AFC72" s="31"/>
      <c r="AFD72" s="31"/>
      <c r="AFE72" s="31"/>
      <c r="AFF72" s="31"/>
      <c r="AFG72" s="31"/>
      <c r="AFH72" s="31"/>
      <c r="AFI72" s="31"/>
      <c r="AFJ72" s="31"/>
      <c r="AFK72" s="31"/>
      <c r="AFL72" s="31"/>
      <c r="AFM72" s="31"/>
      <c r="AFN72" s="31"/>
      <c r="AFO72" s="31"/>
      <c r="AFP72" s="31"/>
      <c r="AFQ72" s="31"/>
      <c r="AFR72" s="31"/>
      <c r="AFS72" s="31"/>
      <c r="AFT72" s="31"/>
      <c r="AFU72" s="31"/>
      <c r="AFV72" s="31"/>
      <c r="AFW72" s="31"/>
      <c r="AFX72" s="31"/>
      <c r="AFY72" s="31"/>
      <c r="AFZ72" s="31"/>
      <c r="AGA72" s="31"/>
      <c r="AGB72" s="31"/>
      <c r="AGC72" s="31"/>
      <c r="AGD72" s="31"/>
      <c r="AGE72" s="31"/>
      <c r="AGF72" s="31"/>
      <c r="AGG72" s="31"/>
      <c r="AGH72" s="31"/>
      <c r="AGI72" s="31"/>
      <c r="AGJ72" s="31"/>
      <c r="AGK72" s="31"/>
      <c r="AGL72" s="31"/>
      <c r="AGM72" s="31"/>
      <c r="AGN72" s="31"/>
      <c r="AGO72" s="31"/>
      <c r="AGP72" s="31"/>
      <c r="AGQ72" s="31"/>
      <c r="AGR72" s="31"/>
      <c r="AGS72" s="31"/>
      <c r="AGT72" s="31"/>
      <c r="AGU72" s="31"/>
      <c r="AGV72" s="31"/>
      <c r="AGW72" s="31"/>
      <c r="AGX72" s="31"/>
      <c r="AGY72" s="31"/>
      <c r="AGZ72" s="31"/>
      <c r="AHA72" s="31"/>
      <c r="AHB72" s="31"/>
      <c r="AHC72" s="31"/>
      <c r="AHD72" s="31"/>
      <c r="AHE72" s="31"/>
      <c r="AHF72" s="31"/>
      <c r="AHG72" s="31"/>
      <c r="AHH72" s="31"/>
      <c r="AHI72" s="31"/>
      <c r="AHJ72" s="31"/>
      <c r="AHK72" s="31"/>
      <c r="AHL72" s="31"/>
      <c r="AHM72" s="31"/>
      <c r="AHN72" s="31"/>
      <c r="AHO72" s="31"/>
      <c r="AHP72" s="31"/>
      <c r="AHQ72" s="31"/>
      <c r="AHR72" s="31"/>
      <c r="AHS72" s="31"/>
      <c r="AHT72" s="31"/>
      <c r="AHU72" s="31"/>
      <c r="AHV72" s="31"/>
      <c r="AHW72" s="31"/>
      <c r="AHX72" s="31"/>
      <c r="AHY72" s="31"/>
      <c r="AHZ72" s="31"/>
      <c r="AIA72" s="31"/>
      <c r="AIB72" s="31"/>
      <c r="AIC72" s="31"/>
      <c r="AID72" s="31"/>
      <c r="AIE72" s="31"/>
      <c r="AIF72" s="31"/>
      <c r="AIG72" s="31"/>
      <c r="AIH72" s="31"/>
      <c r="AII72" s="31"/>
      <c r="AIJ72" s="31"/>
      <c r="AIK72" s="31"/>
      <c r="AIL72" s="31"/>
      <c r="AIM72" s="31"/>
      <c r="AIN72" s="31"/>
      <c r="AIO72" s="31"/>
      <c r="AIP72" s="31"/>
      <c r="AIQ72" s="31"/>
      <c r="AIR72" s="31"/>
      <c r="AIS72" s="31"/>
      <c r="AIT72" s="31"/>
      <c r="AIU72" s="31"/>
      <c r="AIV72" s="31"/>
      <c r="AIW72" s="31"/>
      <c r="AIX72" s="31"/>
      <c r="AIY72" s="31"/>
      <c r="AIZ72" s="31"/>
      <c r="AJA72" s="31"/>
      <c r="AJB72" s="31"/>
      <c r="AJC72" s="31"/>
      <c r="AJD72" s="31"/>
      <c r="AJE72" s="31"/>
      <c r="AJF72" s="31"/>
      <c r="AJG72" s="31"/>
      <c r="AJH72" s="31"/>
      <c r="AJI72" s="31"/>
      <c r="AJJ72" s="31"/>
      <c r="AJK72" s="31"/>
      <c r="AJL72" s="31"/>
      <c r="AJM72" s="31"/>
      <c r="AJN72" s="31"/>
      <c r="AJO72" s="31"/>
      <c r="AJP72" s="31"/>
      <c r="AJQ72" s="31"/>
      <c r="AJR72" s="31"/>
      <c r="AJS72" s="31"/>
      <c r="AJT72" s="31"/>
      <c r="AJU72" s="31"/>
      <c r="AJV72" s="31"/>
      <c r="AJW72" s="31"/>
      <c r="AJX72" s="31"/>
      <c r="AJY72" s="31"/>
      <c r="AJZ72" s="31"/>
      <c r="AKA72" s="31"/>
      <c r="AKB72" s="31"/>
      <c r="AKC72" s="31"/>
      <c r="AKD72" s="31"/>
      <c r="AKE72" s="31"/>
      <c r="AKF72" s="31"/>
      <c r="AKG72" s="31"/>
      <c r="AKH72" s="31"/>
      <c r="AKI72" s="31"/>
      <c r="AKJ72" s="31"/>
      <c r="AKK72" s="31"/>
      <c r="AKL72" s="31"/>
      <c r="AKM72" s="31"/>
      <c r="AKN72" s="31"/>
      <c r="AKO72" s="31"/>
    </row>
    <row r="73" spans="1:977" s="236" customFormat="1" ht="14.25" customHeight="1">
      <c r="A73" s="31" t="s">
        <v>267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  <c r="UC73" s="31"/>
      <c r="UD73" s="31"/>
      <c r="UE73" s="31"/>
      <c r="UF73" s="31"/>
      <c r="UG73" s="31"/>
      <c r="UH73" s="31"/>
      <c r="UI73" s="31"/>
      <c r="UJ73" s="31"/>
      <c r="UK73" s="31"/>
      <c r="UL73" s="31"/>
      <c r="UM73" s="31"/>
      <c r="UN73" s="31"/>
      <c r="UO73" s="31"/>
      <c r="UP73" s="31"/>
      <c r="UQ73" s="31"/>
      <c r="UR73" s="31"/>
      <c r="US73" s="31"/>
      <c r="UT73" s="31"/>
      <c r="UU73" s="31"/>
      <c r="UV73" s="31"/>
      <c r="UW73" s="31"/>
      <c r="UX73" s="31"/>
      <c r="UY73" s="31"/>
      <c r="UZ73" s="31"/>
      <c r="VA73" s="31"/>
      <c r="VB73" s="31"/>
      <c r="VC73" s="31"/>
      <c r="VD73" s="31"/>
      <c r="VE73" s="31"/>
      <c r="VF73" s="31"/>
      <c r="VG73" s="31"/>
      <c r="VH73" s="31"/>
      <c r="VI73" s="31"/>
      <c r="VJ73" s="31"/>
      <c r="VK73" s="31"/>
      <c r="VL73" s="31"/>
      <c r="VM73" s="31"/>
      <c r="VN73" s="31"/>
      <c r="VO73" s="31"/>
      <c r="VP73" s="31"/>
      <c r="VQ73" s="31"/>
      <c r="VR73" s="31"/>
      <c r="VS73" s="31"/>
      <c r="VT73" s="31"/>
      <c r="VU73" s="31"/>
      <c r="VV73" s="31"/>
      <c r="VW73" s="31"/>
      <c r="VX73" s="31"/>
      <c r="VY73" s="31"/>
      <c r="VZ73" s="31"/>
      <c r="WA73" s="31"/>
      <c r="WB73" s="31"/>
      <c r="WC73" s="31"/>
      <c r="WD73" s="31"/>
      <c r="WE73" s="31"/>
      <c r="WF73" s="31"/>
      <c r="WG73" s="31"/>
      <c r="WH73" s="31"/>
      <c r="WI73" s="31"/>
      <c r="WJ73" s="31"/>
      <c r="WK73" s="31"/>
      <c r="WL73" s="31"/>
      <c r="WM73" s="31"/>
      <c r="WN73" s="31"/>
      <c r="WO73" s="31"/>
      <c r="WP73" s="31"/>
      <c r="WQ73" s="31"/>
      <c r="WR73" s="31"/>
      <c r="WS73" s="31"/>
      <c r="WT73" s="31"/>
      <c r="WU73" s="31"/>
      <c r="WV73" s="31"/>
      <c r="WW73" s="31"/>
      <c r="WX73" s="31"/>
      <c r="WY73" s="31"/>
      <c r="WZ73" s="31"/>
      <c r="XA73" s="31"/>
      <c r="XB73" s="31"/>
      <c r="XC73" s="31"/>
      <c r="XD73" s="31"/>
      <c r="XE73" s="31"/>
      <c r="XF73" s="31"/>
      <c r="XG73" s="31"/>
      <c r="XH73" s="31"/>
      <c r="XI73" s="31"/>
      <c r="XJ73" s="31"/>
      <c r="XK73" s="31"/>
      <c r="XL73" s="31"/>
      <c r="XM73" s="31"/>
      <c r="XN73" s="31"/>
      <c r="XO73" s="31"/>
      <c r="XP73" s="31"/>
      <c r="XQ73" s="31"/>
      <c r="XR73" s="31"/>
      <c r="XS73" s="31"/>
      <c r="XT73" s="31"/>
      <c r="XU73" s="31"/>
      <c r="XV73" s="31"/>
      <c r="XW73" s="31"/>
      <c r="XX73" s="31"/>
      <c r="XY73" s="31"/>
      <c r="XZ73" s="31"/>
      <c r="YA73" s="31"/>
      <c r="YB73" s="31"/>
      <c r="YC73" s="31"/>
      <c r="YD73" s="31"/>
      <c r="YE73" s="31"/>
      <c r="YF73" s="31"/>
      <c r="YG73" s="31"/>
      <c r="YH73" s="31"/>
      <c r="YI73" s="31"/>
      <c r="YJ73" s="31"/>
      <c r="YK73" s="31"/>
      <c r="YL73" s="31"/>
      <c r="YM73" s="31"/>
      <c r="YN73" s="31"/>
      <c r="YO73" s="31"/>
      <c r="YP73" s="31"/>
      <c r="YQ73" s="31"/>
      <c r="YR73" s="31"/>
      <c r="YS73" s="31"/>
      <c r="YT73" s="31"/>
      <c r="YU73" s="31"/>
      <c r="YV73" s="31"/>
      <c r="YW73" s="31"/>
      <c r="YX73" s="31"/>
      <c r="YY73" s="31"/>
      <c r="YZ73" s="31"/>
      <c r="ZA73" s="31"/>
      <c r="ZB73" s="31"/>
      <c r="ZC73" s="31"/>
      <c r="ZD73" s="31"/>
      <c r="ZE73" s="31"/>
      <c r="ZF73" s="31"/>
      <c r="ZG73" s="31"/>
      <c r="ZH73" s="31"/>
      <c r="ZI73" s="31"/>
      <c r="ZJ73" s="31"/>
      <c r="ZK73" s="31"/>
      <c r="ZL73" s="31"/>
      <c r="ZM73" s="31"/>
      <c r="ZN73" s="31"/>
      <c r="ZO73" s="31"/>
      <c r="ZP73" s="31"/>
      <c r="ZQ73" s="31"/>
      <c r="ZR73" s="31"/>
      <c r="ZS73" s="31"/>
      <c r="ZT73" s="31"/>
      <c r="ZU73" s="31"/>
      <c r="ZV73" s="31"/>
      <c r="ZW73" s="31"/>
      <c r="ZX73" s="31"/>
      <c r="ZY73" s="31"/>
      <c r="ZZ73" s="31"/>
      <c r="AAA73" s="31"/>
      <c r="AAB73" s="31"/>
      <c r="AAC73" s="31"/>
      <c r="AAD73" s="31"/>
      <c r="AAE73" s="31"/>
      <c r="AAF73" s="31"/>
      <c r="AAG73" s="31"/>
      <c r="AAH73" s="31"/>
      <c r="AAI73" s="31"/>
      <c r="AAJ73" s="31"/>
      <c r="AAK73" s="31"/>
      <c r="AAL73" s="31"/>
      <c r="AAM73" s="31"/>
      <c r="AAN73" s="31"/>
      <c r="AAO73" s="31"/>
      <c r="AAP73" s="31"/>
      <c r="AAQ73" s="31"/>
      <c r="AAR73" s="31"/>
      <c r="AAS73" s="31"/>
      <c r="AAT73" s="31"/>
      <c r="AAU73" s="31"/>
      <c r="AAV73" s="31"/>
      <c r="AAW73" s="31"/>
      <c r="AAX73" s="31"/>
      <c r="AAY73" s="31"/>
      <c r="AAZ73" s="31"/>
      <c r="ABA73" s="31"/>
      <c r="ABB73" s="31"/>
      <c r="ABC73" s="31"/>
      <c r="ABD73" s="31"/>
      <c r="ABE73" s="31"/>
      <c r="ABF73" s="31"/>
      <c r="ABG73" s="31"/>
      <c r="ABH73" s="31"/>
      <c r="ABI73" s="31"/>
      <c r="ABJ73" s="31"/>
      <c r="ABK73" s="31"/>
      <c r="ABL73" s="31"/>
      <c r="ABM73" s="31"/>
      <c r="ABN73" s="31"/>
      <c r="ABO73" s="31"/>
      <c r="ABP73" s="31"/>
      <c r="ABQ73" s="31"/>
      <c r="ABR73" s="31"/>
      <c r="ABS73" s="31"/>
      <c r="ABT73" s="31"/>
      <c r="ABU73" s="31"/>
      <c r="ABV73" s="31"/>
      <c r="ABW73" s="31"/>
      <c r="ABX73" s="31"/>
      <c r="ABY73" s="31"/>
      <c r="ABZ73" s="31"/>
      <c r="ACA73" s="31"/>
      <c r="ACB73" s="31"/>
      <c r="ACC73" s="31"/>
      <c r="ACD73" s="31"/>
      <c r="ACE73" s="31"/>
      <c r="ACF73" s="31"/>
      <c r="ACG73" s="31"/>
      <c r="ACH73" s="31"/>
      <c r="ACI73" s="31"/>
      <c r="ACJ73" s="31"/>
      <c r="ACK73" s="31"/>
      <c r="ACL73" s="31"/>
      <c r="ACM73" s="31"/>
      <c r="ACN73" s="31"/>
      <c r="ACO73" s="31"/>
      <c r="ACP73" s="31"/>
      <c r="ACQ73" s="31"/>
      <c r="ACR73" s="31"/>
      <c r="ACS73" s="31"/>
      <c r="ACT73" s="31"/>
      <c r="ACU73" s="31"/>
      <c r="ACV73" s="31"/>
      <c r="ACW73" s="31"/>
      <c r="ACX73" s="31"/>
      <c r="ACY73" s="31"/>
      <c r="ACZ73" s="31"/>
      <c r="ADA73" s="31"/>
      <c r="ADB73" s="31"/>
      <c r="ADC73" s="31"/>
      <c r="ADD73" s="31"/>
      <c r="ADE73" s="31"/>
      <c r="ADF73" s="31"/>
      <c r="ADG73" s="31"/>
      <c r="ADH73" s="31"/>
      <c r="ADI73" s="31"/>
      <c r="ADJ73" s="31"/>
      <c r="ADK73" s="31"/>
      <c r="ADL73" s="31"/>
      <c r="ADM73" s="31"/>
      <c r="ADN73" s="31"/>
      <c r="ADO73" s="31"/>
      <c r="ADP73" s="31"/>
      <c r="ADQ73" s="31"/>
      <c r="ADR73" s="31"/>
      <c r="ADS73" s="31"/>
      <c r="ADT73" s="31"/>
      <c r="ADU73" s="31"/>
      <c r="ADV73" s="31"/>
      <c r="ADW73" s="31"/>
      <c r="ADX73" s="31"/>
      <c r="ADY73" s="31"/>
      <c r="ADZ73" s="31"/>
      <c r="AEA73" s="31"/>
      <c r="AEB73" s="31"/>
      <c r="AEC73" s="31"/>
      <c r="AED73" s="31"/>
      <c r="AEE73" s="31"/>
      <c r="AEF73" s="31"/>
      <c r="AEG73" s="31"/>
      <c r="AEH73" s="31"/>
      <c r="AEI73" s="31"/>
      <c r="AEJ73" s="31"/>
      <c r="AEK73" s="31"/>
      <c r="AEL73" s="31"/>
      <c r="AEM73" s="31"/>
      <c r="AEN73" s="31"/>
      <c r="AEO73" s="31"/>
      <c r="AEP73" s="31"/>
      <c r="AEQ73" s="31"/>
      <c r="AER73" s="31"/>
      <c r="AES73" s="31"/>
      <c r="AET73" s="31"/>
      <c r="AEU73" s="31"/>
      <c r="AEV73" s="31"/>
      <c r="AEW73" s="31"/>
      <c r="AEX73" s="31"/>
      <c r="AEY73" s="31"/>
      <c r="AEZ73" s="31"/>
      <c r="AFA73" s="31"/>
      <c r="AFB73" s="31"/>
      <c r="AFC73" s="31"/>
      <c r="AFD73" s="31"/>
      <c r="AFE73" s="31"/>
      <c r="AFF73" s="31"/>
      <c r="AFG73" s="31"/>
      <c r="AFH73" s="31"/>
      <c r="AFI73" s="31"/>
      <c r="AFJ73" s="31"/>
      <c r="AFK73" s="31"/>
      <c r="AFL73" s="31"/>
      <c r="AFM73" s="31"/>
      <c r="AFN73" s="31"/>
      <c r="AFO73" s="31"/>
      <c r="AFP73" s="31"/>
      <c r="AFQ73" s="31"/>
      <c r="AFR73" s="31"/>
      <c r="AFS73" s="31"/>
      <c r="AFT73" s="31"/>
      <c r="AFU73" s="31"/>
      <c r="AFV73" s="31"/>
      <c r="AFW73" s="31"/>
      <c r="AFX73" s="31"/>
      <c r="AFY73" s="31"/>
      <c r="AFZ73" s="31"/>
      <c r="AGA73" s="31"/>
      <c r="AGB73" s="31"/>
      <c r="AGC73" s="31"/>
      <c r="AGD73" s="31"/>
      <c r="AGE73" s="31"/>
      <c r="AGF73" s="31"/>
      <c r="AGG73" s="31"/>
      <c r="AGH73" s="31"/>
      <c r="AGI73" s="31"/>
      <c r="AGJ73" s="31"/>
      <c r="AGK73" s="31"/>
      <c r="AGL73" s="31"/>
      <c r="AGM73" s="31"/>
      <c r="AGN73" s="31"/>
      <c r="AGO73" s="31"/>
      <c r="AGP73" s="31"/>
      <c r="AGQ73" s="31"/>
      <c r="AGR73" s="31"/>
      <c r="AGS73" s="31"/>
      <c r="AGT73" s="31"/>
      <c r="AGU73" s="31"/>
      <c r="AGV73" s="31"/>
      <c r="AGW73" s="31"/>
      <c r="AGX73" s="31"/>
      <c r="AGY73" s="31"/>
      <c r="AGZ73" s="31"/>
      <c r="AHA73" s="31"/>
      <c r="AHB73" s="31"/>
      <c r="AHC73" s="31"/>
      <c r="AHD73" s="31"/>
      <c r="AHE73" s="31"/>
      <c r="AHF73" s="31"/>
      <c r="AHG73" s="31"/>
      <c r="AHH73" s="31"/>
      <c r="AHI73" s="31"/>
      <c r="AHJ73" s="31"/>
      <c r="AHK73" s="31"/>
      <c r="AHL73" s="31"/>
      <c r="AHM73" s="31"/>
      <c r="AHN73" s="31"/>
      <c r="AHO73" s="31"/>
      <c r="AHP73" s="31"/>
      <c r="AHQ73" s="31"/>
      <c r="AHR73" s="31"/>
      <c r="AHS73" s="31"/>
      <c r="AHT73" s="31"/>
      <c r="AHU73" s="31"/>
      <c r="AHV73" s="31"/>
      <c r="AHW73" s="31"/>
      <c r="AHX73" s="31"/>
      <c r="AHY73" s="31"/>
      <c r="AHZ73" s="31"/>
      <c r="AIA73" s="31"/>
      <c r="AIB73" s="31"/>
      <c r="AIC73" s="31"/>
      <c r="AID73" s="31"/>
      <c r="AIE73" s="31"/>
      <c r="AIF73" s="31"/>
      <c r="AIG73" s="31"/>
      <c r="AIH73" s="31"/>
      <c r="AII73" s="31"/>
      <c r="AIJ73" s="31"/>
      <c r="AIK73" s="31"/>
      <c r="AIL73" s="31"/>
      <c r="AIM73" s="31"/>
      <c r="AIN73" s="31"/>
      <c r="AIO73" s="31"/>
      <c r="AIP73" s="31"/>
      <c r="AIQ73" s="31"/>
      <c r="AIR73" s="31"/>
      <c r="AIS73" s="31"/>
      <c r="AIT73" s="31"/>
      <c r="AIU73" s="31"/>
      <c r="AIV73" s="31"/>
      <c r="AIW73" s="31"/>
      <c r="AIX73" s="31"/>
      <c r="AIY73" s="31"/>
      <c r="AIZ73" s="31"/>
      <c r="AJA73" s="31"/>
      <c r="AJB73" s="31"/>
      <c r="AJC73" s="31"/>
      <c r="AJD73" s="31"/>
      <c r="AJE73" s="31"/>
      <c r="AJF73" s="31"/>
      <c r="AJG73" s="31"/>
      <c r="AJH73" s="31"/>
      <c r="AJI73" s="31"/>
      <c r="AJJ73" s="31"/>
      <c r="AJK73" s="31"/>
      <c r="AJL73" s="31"/>
      <c r="AJM73" s="31"/>
      <c r="AJN73" s="31"/>
      <c r="AJO73" s="31"/>
      <c r="AJP73" s="31"/>
      <c r="AJQ73" s="31"/>
      <c r="AJR73" s="31"/>
      <c r="AJS73" s="31"/>
      <c r="AJT73" s="31"/>
      <c r="AJU73" s="31"/>
      <c r="AJV73" s="31"/>
      <c r="AJW73" s="31"/>
      <c r="AJX73" s="31"/>
      <c r="AJY73" s="31"/>
      <c r="AJZ73" s="31"/>
      <c r="AKA73" s="31"/>
      <c r="AKB73" s="31"/>
      <c r="AKC73" s="31"/>
      <c r="AKD73" s="31"/>
      <c r="AKE73" s="31"/>
      <c r="AKF73" s="31"/>
      <c r="AKG73" s="31"/>
      <c r="AKH73" s="31"/>
      <c r="AKI73" s="31"/>
      <c r="AKJ73" s="31"/>
      <c r="AKK73" s="31"/>
      <c r="AKL73" s="31"/>
      <c r="AKM73" s="31"/>
      <c r="AKN73" s="31"/>
      <c r="AKO73" s="31"/>
    </row>
    <row r="74" spans="1:977" s="236" customFormat="1" ht="14.25" customHeight="1">
      <c r="A74" s="31" t="s">
        <v>268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  <c r="UC74" s="31"/>
      <c r="UD74" s="31"/>
      <c r="UE74" s="31"/>
      <c r="UF74" s="31"/>
      <c r="UG74" s="31"/>
      <c r="UH74" s="31"/>
      <c r="UI74" s="31"/>
      <c r="UJ74" s="31"/>
      <c r="UK74" s="31"/>
      <c r="UL74" s="31"/>
      <c r="UM74" s="31"/>
      <c r="UN74" s="31"/>
      <c r="UO74" s="31"/>
      <c r="UP74" s="31"/>
      <c r="UQ74" s="31"/>
      <c r="UR74" s="31"/>
      <c r="US74" s="31"/>
      <c r="UT74" s="31"/>
      <c r="UU74" s="31"/>
      <c r="UV74" s="31"/>
      <c r="UW74" s="31"/>
      <c r="UX74" s="31"/>
      <c r="UY74" s="31"/>
      <c r="UZ74" s="31"/>
      <c r="VA74" s="31"/>
      <c r="VB74" s="31"/>
      <c r="VC74" s="31"/>
      <c r="VD74" s="31"/>
      <c r="VE74" s="31"/>
      <c r="VF74" s="31"/>
      <c r="VG74" s="31"/>
      <c r="VH74" s="31"/>
      <c r="VI74" s="31"/>
      <c r="VJ74" s="31"/>
      <c r="VK74" s="31"/>
      <c r="VL74" s="31"/>
      <c r="VM74" s="31"/>
      <c r="VN74" s="31"/>
      <c r="VO74" s="31"/>
      <c r="VP74" s="31"/>
      <c r="VQ74" s="31"/>
      <c r="VR74" s="31"/>
      <c r="VS74" s="31"/>
      <c r="VT74" s="31"/>
      <c r="VU74" s="31"/>
      <c r="VV74" s="31"/>
      <c r="VW74" s="31"/>
      <c r="VX74" s="31"/>
      <c r="VY74" s="31"/>
      <c r="VZ74" s="31"/>
      <c r="WA74" s="31"/>
      <c r="WB74" s="31"/>
      <c r="WC74" s="31"/>
      <c r="WD74" s="31"/>
      <c r="WE74" s="31"/>
      <c r="WF74" s="31"/>
      <c r="WG74" s="31"/>
      <c r="WH74" s="31"/>
      <c r="WI74" s="31"/>
      <c r="WJ74" s="31"/>
      <c r="WK74" s="31"/>
      <c r="WL74" s="31"/>
      <c r="WM74" s="31"/>
      <c r="WN74" s="31"/>
      <c r="WO74" s="31"/>
      <c r="WP74" s="31"/>
      <c r="WQ74" s="31"/>
      <c r="WR74" s="31"/>
      <c r="WS74" s="31"/>
      <c r="WT74" s="31"/>
      <c r="WU74" s="31"/>
      <c r="WV74" s="31"/>
      <c r="WW74" s="31"/>
      <c r="WX74" s="31"/>
      <c r="WY74" s="31"/>
      <c r="WZ74" s="31"/>
      <c r="XA74" s="31"/>
      <c r="XB74" s="31"/>
      <c r="XC74" s="31"/>
      <c r="XD74" s="31"/>
      <c r="XE74" s="31"/>
      <c r="XF74" s="31"/>
      <c r="XG74" s="31"/>
      <c r="XH74" s="31"/>
      <c r="XI74" s="31"/>
      <c r="XJ74" s="31"/>
      <c r="XK74" s="31"/>
      <c r="XL74" s="31"/>
      <c r="XM74" s="31"/>
      <c r="XN74" s="31"/>
      <c r="XO74" s="31"/>
      <c r="XP74" s="31"/>
      <c r="XQ74" s="31"/>
      <c r="XR74" s="31"/>
      <c r="XS74" s="31"/>
      <c r="XT74" s="31"/>
      <c r="XU74" s="31"/>
      <c r="XV74" s="31"/>
      <c r="XW74" s="31"/>
      <c r="XX74" s="31"/>
      <c r="XY74" s="31"/>
      <c r="XZ74" s="31"/>
      <c r="YA74" s="31"/>
      <c r="YB74" s="31"/>
      <c r="YC74" s="31"/>
      <c r="YD74" s="31"/>
      <c r="YE74" s="31"/>
      <c r="YF74" s="31"/>
      <c r="YG74" s="31"/>
      <c r="YH74" s="31"/>
      <c r="YI74" s="31"/>
      <c r="YJ74" s="31"/>
      <c r="YK74" s="31"/>
      <c r="YL74" s="31"/>
      <c r="YM74" s="31"/>
      <c r="YN74" s="31"/>
      <c r="YO74" s="31"/>
      <c r="YP74" s="31"/>
      <c r="YQ74" s="31"/>
      <c r="YR74" s="31"/>
      <c r="YS74" s="31"/>
      <c r="YT74" s="31"/>
      <c r="YU74" s="31"/>
      <c r="YV74" s="31"/>
      <c r="YW74" s="31"/>
      <c r="YX74" s="31"/>
      <c r="YY74" s="31"/>
      <c r="YZ74" s="31"/>
      <c r="ZA74" s="31"/>
      <c r="ZB74" s="31"/>
      <c r="ZC74" s="31"/>
      <c r="ZD74" s="31"/>
      <c r="ZE74" s="31"/>
      <c r="ZF74" s="31"/>
      <c r="ZG74" s="31"/>
      <c r="ZH74" s="31"/>
      <c r="ZI74" s="31"/>
      <c r="ZJ74" s="31"/>
      <c r="ZK74" s="31"/>
      <c r="ZL74" s="31"/>
      <c r="ZM74" s="31"/>
      <c r="ZN74" s="31"/>
      <c r="ZO74" s="31"/>
      <c r="ZP74" s="31"/>
      <c r="ZQ74" s="31"/>
      <c r="ZR74" s="31"/>
      <c r="ZS74" s="31"/>
      <c r="ZT74" s="31"/>
      <c r="ZU74" s="31"/>
      <c r="ZV74" s="31"/>
      <c r="ZW74" s="31"/>
      <c r="ZX74" s="31"/>
      <c r="ZY74" s="31"/>
      <c r="ZZ74" s="31"/>
      <c r="AAA74" s="31"/>
      <c r="AAB74" s="31"/>
      <c r="AAC74" s="31"/>
      <c r="AAD74" s="31"/>
      <c r="AAE74" s="31"/>
      <c r="AAF74" s="31"/>
      <c r="AAG74" s="31"/>
      <c r="AAH74" s="31"/>
      <c r="AAI74" s="31"/>
      <c r="AAJ74" s="31"/>
      <c r="AAK74" s="31"/>
      <c r="AAL74" s="31"/>
      <c r="AAM74" s="31"/>
      <c r="AAN74" s="31"/>
      <c r="AAO74" s="31"/>
      <c r="AAP74" s="31"/>
      <c r="AAQ74" s="31"/>
      <c r="AAR74" s="31"/>
      <c r="AAS74" s="31"/>
      <c r="AAT74" s="31"/>
      <c r="AAU74" s="31"/>
      <c r="AAV74" s="31"/>
      <c r="AAW74" s="31"/>
      <c r="AAX74" s="31"/>
      <c r="AAY74" s="31"/>
      <c r="AAZ74" s="31"/>
      <c r="ABA74" s="31"/>
      <c r="ABB74" s="31"/>
      <c r="ABC74" s="31"/>
      <c r="ABD74" s="31"/>
      <c r="ABE74" s="31"/>
      <c r="ABF74" s="31"/>
      <c r="ABG74" s="31"/>
      <c r="ABH74" s="31"/>
      <c r="ABI74" s="31"/>
      <c r="ABJ74" s="31"/>
      <c r="ABK74" s="31"/>
      <c r="ABL74" s="31"/>
      <c r="ABM74" s="31"/>
      <c r="ABN74" s="31"/>
      <c r="ABO74" s="31"/>
      <c r="ABP74" s="31"/>
      <c r="ABQ74" s="31"/>
      <c r="ABR74" s="31"/>
      <c r="ABS74" s="31"/>
      <c r="ABT74" s="31"/>
      <c r="ABU74" s="31"/>
      <c r="ABV74" s="31"/>
      <c r="ABW74" s="31"/>
      <c r="ABX74" s="31"/>
      <c r="ABY74" s="31"/>
      <c r="ABZ74" s="31"/>
      <c r="ACA74" s="31"/>
      <c r="ACB74" s="31"/>
      <c r="ACC74" s="31"/>
      <c r="ACD74" s="31"/>
      <c r="ACE74" s="31"/>
      <c r="ACF74" s="31"/>
      <c r="ACG74" s="31"/>
      <c r="ACH74" s="31"/>
      <c r="ACI74" s="31"/>
      <c r="ACJ74" s="31"/>
      <c r="ACK74" s="31"/>
      <c r="ACL74" s="31"/>
      <c r="ACM74" s="31"/>
      <c r="ACN74" s="31"/>
      <c r="ACO74" s="31"/>
      <c r="ACP74" s="31"/>
      <c r="ACQ74" s="31"/>
      <c r="ACR74" s="31"/>
      <c r="ACS74" s="31"/>
      <c r="ACT74" s="31"/>
      <c r="ACU74" s="31"/>
      <c r="ACV74" s="31"/>
      <c r="ACW74" s="31"/>
      <c r="ACX74" s="31"/>
      <c r="ACY74" s="31"/>
      <c r="ACZ74" s="31"/>
      <c r="ADA74" s="31"/>
      <c r="ADB74" s="31"/>
      <c r="ADC74" s="31"/>
      <c r="ADD74" s="31"/>
      <c r="ADE74" s="31"/>
      <c r="ADF74" s="31"/>
      <c r="ADG74" s="31"/>
      <c r="ADH74" s="31"/>
      <c r="ADI74" s="31"/>
      <c r="ADJ74" s="31"/>
      <c r="ADK74" s="31"/>
      <c r="ADL74" s="31"/>
      <c r="ADM74" s="31"/>
      <c r="ADN74" s="31"/>
      <c r="ADO74" s="31"/>
      <c r="ADP74" s="31"/>
      <c r="ADQ74" s="31"/>
      <c r="ADR74" s="31"/>
      <c r="ADS74" s="31"/>
      <c r="ADT74" s="31"/>
      <c r="ADU74" s="31"/>
      <c r="ADV74" s="31"/>
      <c r="ADW74" s="31"/>
      <c r="ADX74" s="31"/>
      <c r="ADY74" s="31"/>
      <c r="ADZ74" s="31"/>
      <c r="AEA74" s="31"/>
      <c r="AEB74" s="31"/>
      <c r="AEC74" s="31"/>
      <c r="AED74" s="31"/>
      <c r="AEE74" s="31"/>
      <c r="AEF74" s="31"/>
      <c r="AEG74" s="31"/>
      <c r="AEH74" s="31"/>
      <c r="AEI74" s="31"/>
      <c r="AEJ74" s="31"/>
      <c r="AEK74" s="31"/>
      <c r="AEL74" s="31"/>
      <c r="AEM74" s="31"/>
      <c r="AEN74" s="31"/>
      <c r="AEO74" s="31"/>
      <c r="AEP74" s="31"/>
      <c r="AEQ74" s="31"/>
      <c r="AER74" s="31"/>
      <c r="AES74" s="31"/>
      <c r="AET74" s="31"/>
      <c r="AEU74" s="31"/>
      <c r="AEV74" s="31"/>
      <c r="AEW74" s="31"/>
      <c r="AEX74" s="31"/>
      <c r="AEY74" s="31"/>
      <c r="AEZ74" s="31"/>
      <c r="AFA74" s="31"/>
      <c r="AFB74" s="31"/>
      <c r="AFC74" s="31"/>
      <c r="AFD74" s="31"/>
      <c r="AFE74" s="31"/>
      <c r="AFF74" s="31"/>
      <c r="AFG74" s="31"/>
      <c r="AFH74" s="31"/>
      <c r="AFI74" s="31"/>
      <c r="AFJ74" s="31"/>
      <c r="AFK74" s="31"/>
      <c r="AFL74" s="31"/>
      <c r="AFM74" s="31"/>
      <c r="AFN74" s="31"/>
      <c r="AFO74" s="31"/>
      <c r="AFP74" s="31"/>
      <c r="AFQ74" s="31"/>
      <c r="AFR74" s="31"/>
      <c r="AFS74" s="31"/>
      <c r="AFT74" s="31"/>
      <c r="AFU74" s="31"/>
      <c r="AFV74" s="31"/>
      <c r="AFW74" s="31"/>
      <c r="AFX74" s="31"/>
      <c r="AFY74" s="31"/>
      <c r="AFZ74" s="31"/>
      <c r="AGA74" s="31"/>
      <c r="AGB74" s="31"/>
      <c r="AGC74" s="31"/>
      <c r="AGD74" s="31"/>
      <c r="AGE74" s="31"/>
      <c r="AGF74" s="31"/>
      <c r="AGG74" s="31"/>
      <c r="AGH74" s="31"/>
      <c r="AGI74" s="31"/>
      <c r="AGJ74" s="31"/>
      <c r="AGK74" s="31"/>
      <c r="AGL74" s="31"/>
      <c r="AGM74" s="31"/>
      <c r="AGN74" s="31"/>
      <c r="AGO74" s="31"/>
      <c r="AGP74" s="31"/>
      <c r="AGQ74" s="31"/>
      <c r="AGR74" s="31"/>
      <c r="AGS74" s="31"/>
      <c r="AGT74" s="31"/>
      <c r="AGU74" s="31"/>
      <c r="AGV74" s="31"/>
      <c r="AGW74" s="31"/>
      <c r="AGX74" s="31"/>
      <c r="AGY74" s="31"/>
      <c r="AGZ74" s="31"/>
      <c r="AHA74" s="31"/>
      <c r="AHB74" s="31"/>
      <c r="AHC74" s="31"/>
      <c r="AHD74" s="31"/>
      <c r="AHE74" s="31"/>
      <c r="AHF74" s="31"/>
      <c r="AHG74" s="31"/>
      <c r="AHH74" s="31"/>
      <c r="AHI74" s="31"/>
      <c r="AHJ74" s="31"/>
      <c r="AHK74" s="31"/>
      <c r="AHL74" s="31"/>
      <c r="AHM74" s="31"/>
      <c r="AHN74" s="31"/>
      <c r="AHO74" s="31"/>
      <c r="AHP74" s="31"/>
      <c r="AHQ74" s="31"/>
      <c r="AHR74" s="31"/>
      <c r="AHS74" s="31"/>
      <c r="AHT74" s="31"/>
      <c r="AHU74" s="31"/>
      <c r="AHV74" s="31"/>
      <c r="AHW74" s="31"/>
      <c r="AHX74" s="31"/>
      <c r="AHY74" s="31"/>
      <c r="AHZ74" s="31"/>
      <c r="AIA74" s="31"/>
      <c r="AIB74" s="31"/>
      <c r="AIC74" s="31"/>
      <c r="AID74" s="31"/>
      <c r="AIE74" s="31"/>
      <c r="AIF74" s="31"/>
      <c r="AIG74" s="31"/>
      <c r="AIH74" s="31"/>
      <c r="AII74" s="31"/>
      <c r="AIJ74" s="31"/>
      <c r="AIK74" s="31"/>
      <c r="AIL74" s="31"/>
      <c r="AIM74" s="31"/>
      <c r="AIN74" s="31"/>
      <c r="AIO74" s="31"/>
      <c r="AIP74" s="31"/>
      <c r="AIQ74" s="31"/>
      <c r="AIR74" s="31"/>
      <c r="AIS74" s="31"/>
      <c r="AIT74" s="31"/>
      <c r="AIU74" s="31"/>
      <c r="AIV74" s="31"/>
      <c r="AIW74" s="31"/>
      <c r="AIX74" s="31"/>
      <c r="AIY74" s="31"/>
      <c r="AIZ74" s="31"/>
      <c r="AJA74" s="31"/>
      <c r="AJB74" s="31"/>
      <c r="AJC74" s="31"/>
      <c r="AJD74" s="31"/>
      <c r="AJE74" s="31"/>
      <c r="AJF74" s="31"/>
      <c r="AJG74" s="31"/>
      <c r="AJH74" s="31"/>
      <c r="AJI74" s="31"/>
      <c r="AJJ74" s="31"/>
      <c r="AJK74" s="31"/>
      <c r="AJL74" s="31"/>
      <c r="AJM74" s="31"/>
      <c r="AJN74" s="31"/>
      <c r="AJO74" s="31"/>
      <c r="AJP74" s="31"/>
      <c r="AJQ74" s="31"/>
      <c r="AJR74" s="31"/>
      <c r="AJS74" s="31"/>
      <c r="AJT74" s="31"/>
      <c r="AJU74" s="31"/>
      <c r="AJV74" s="31"/>
      <c r="AJW74" s="31"/>
      <c r="AJX74" s="31"/>
      <c r="AJY74" s="31"/>
      <c r="AJZ74" s="31"/>
      <c r="AKA74" s="31"/>
      <c r="AKB74" s="31"/>
      <c r="AKC74" s="31"/>
      <c r="AKD74" s="31"/>
      <c r="AKE74" s="31"/>
      <c r="AKF74" s="31"/>
      <c r="AKG74" s="31"/>
      <c r="AKH74" s="31"/>
      <c r="AKI74" s="31"/>
      <c r="AKJ74" s="31"/>
      <c r="AKK74" s="31"/>
      <c r="AKL74" s="31"/>
      <c r="AKM74" s="31"/>
      <c r="AKN74" s="31"/>
      <c r="AKO74" s="31"/>
    </row>
    <row r="75" spans="1:977" s="236" customFormat="1" ht="14.25" customHeight="1">
      <c r="A75" s="31" t="s">
        <v>269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1"/>
      <c r="JD75" s="31"/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  <c r="NN75" s="31"/>
      <c r="NO75" s="31"/>
      <c r="NP75" s="31"/>
      <c r="NQ75" s="31"/>
      <c r="NR75" s="31"/>
      <c r="NS75" s="31"/>
      <c r="NT75" s="31"/>
      <c r="NU75" s="31"/>
      <c r="NV75" s="31"/>
      <c r="NW75" s="31"/>
      <c r="NX75" s="31"/>
      <c r="NY75" s="31"/>
      <c r="NZ75" s="31"/>
      <c r="OA75" s="31"/>
      <c r="OB75" s="31"/>
      <c r="OC75" s="31"/>
      <c r="OD75" s="31"/>
      <c r="OE75" s="31"/>
      <c r="OF75" s="31"/>
      <c r="OG75" s="31"/>
      <c r="OH75" s="31"/>
      <c r="OI75" s="31"/>
      <c r="OJ75" s="31"/>
      <c r="OK75" s="31"/>
      <c r="OL75" s="31"/>
      <c r="OM75" s="31"/>
      <c r="ON75" s="31"/>
      <c r="OO75" s="31"/>
      <c r="OP75" s="31"/>
      <c r="OQ75" s="31"/>
      <c r="OR75" s="31"/>
      <c r="OS75" s="31"/>
      <c r="OT75" s="31"/>
      <c r="OU75" s="31"/>
      <c r="OV75" s="31"/>
      <c r="OW75" s="31"/>
      <c r="OX75" s="31"/>
      <c r="OY75" s="31"/>
      <c r="OZ75" s="31"/>
      <c r="PA75" s="31"/>
      <c r="PB75" s="31"/>
      <c r="PC75" s="31"/>
      <c r="PD75" s="31"/>
      <c r="PE75" s="31"/>
      <c r="PF75" s="31"/>
      <c r="PG75" s="31"/>
      <c r="PH75" s="31"/>
      <c r="PI75" s="31"/>
      <c r="PJ75" s="31"/>
      <c r="PK75" s="31"/>
      <c r="PL75" s="31"/>
      <c r="PM75" s="31"/>
      <c r="PN75" s="31"/>
      <c r="PO75" s="31"/>
      <c r="PP75" s="31"/>
      <c r="PQ75" s="31"/>
      <c r="PR75" s="31"/>
      <c r="PS75" s="31"/>
      <c r="PT75" s="31"/>
      <c r="PU75" s="31"/>
      <c r="PV75" s="31"/>
      <c r="PW75" s="31"/>
      <c r="PX75" s="31"/>
      <c r="PY75" s="31"/>
      <c r="PZ75" s="31"/>
      <c r="QA75" s="31"/>
      <c r="QB75" s="31"/>
      <c r="QC75" s="31"/>
      <c r="QD75" s="31"/>
      <c r="QE75" s="31"/>
      <c r="QF75" s="31"/>
      <c r="QG75" s="31"/>
      <c r="QH75" s="31"/>
      <c r="QI75" s="31"/>
      <c r="QJ75" s="31"/>
      <c r="QK75" s="31"/>
      <c r="QL75" s="31"/>
      <c r="QM75" s="31"/>
      <c r="QN75" s="31"/>
      <c r="QO75" s="31"/>
      <c r="QP75" s="31"/>
      <c r="QQ75" s="31"/>
      <c r="QR75" s="31"/>
      <c r="QS75" s="31"/>
      <c r="QT75" s="31"/>
      <c r="QU75" s="31"/>
      <c r="QV75" s="31"/>
      <c r="QW75" s="31"/>
      <c r="QX75" s="31"/>
      <c r="QY75" s="31"/>
      <c r="QZ75" s="31"/>
      <c r="RA75" s="31"/>
      <c r="RB75" s="31"/>
      <c r="RC75" s="31"/>
      <c r="RD75" s="31"/>
      <c r="RE75" s="31"/>
      <c r="RF75" s="31"/>
      <c r="RG75" s="31"/>
      <c r="RH75" s="31"/>
      <c r="RI75" s="31"/>
      <c r="RJ75" s="31"/>
      <c r="RK75" s="31"/>
      <c r="RL75" s="31"/>
      <c r="RM75" s="31"/>
      <c r="RN75" s="31"/>
      <c r="RO75" s="31"/>
      <c r="RP75" s="31"/>
      <c r="RQ75" s="31"/>
      <c r="RR75" s="31"/>
      <c r="RS75" s="31"/>
      <c r="RT75" s="31"/>
      <c r="RU75" s="31"/>
      <c r="RV75" s="31"/>
      <c r="RW75" s="31"/>
      <c r="RX75" s="31"/>
      <c r="RY75" s="31"/>
      <c r="RZ75" s="31"/>
      <c r="SA75" s="31"/>
      <c r="SB75" s="31"/>
      <c r="SC75" s="31"/>
      <c r="SD75" s="31"/>
      <c r="SE75" s="31"/>
      <c r="SF75" s="31"/>
      <c r="SG75" s="31"/>
      <c r="SH75" s="31"/>
      <c r="SI75" s="31"/>
      <c r="SJ75" s="31"/>
      <c r="SK75" s="31"/>
      <c r="SL75" s="31"/>
      <c r="SM75" s="31"/>
      <c r="SN75" s="31"/>
      <c r="SO75" s="31"/>
      <c r="SP75" s="31"/>
      <c r="SQ75" s="31"/>
      <c r="SR75" s="31"/>
      <c r="SS75" s="31"/>
      <c r="ST75" s="31"/>
      <c r="SU75" s="31"/>
      <c r="SV75" s="31"/>
      <c r="SW75" s="31"/>
      <c r="SX75" s="31"/>
      <c r="SY75" s="31"/>
      <c r="SZ75" s="31"/>
      <c r="TA75" s="31"/>
      <c r="TB75" s="31"/>
      <c r="TC75" s="31"/>
      <c r="TD75" s="31"/>
      <c r="TE75" s="31"/>
      <c r="TF75" s="31"/>
      <c r="TG75" s="31"/>
      <c r="TH75" s="31"/>
      <c r="TI75" s="31"/>
      <c r="TJ75" s="31"/>
      <c r="TK75" s="31"/>
      <c r="TL75" s="31"/>
      <c r="TM75" s="31"/>
      <c r="TN75" s="31"/>
      <c r="TO75" s="31"/>
      <c r="TP75" s="31"/>
      <c r="TQ75" s="31"/>
      <c r="TR75" s="31"/>
      <c r="TS75" s="31"/>
      <c r="TT75" s="31"/>
      <c r="TU75" s="31"/>
      <c r="TV75" s="31"/>
      <c r="TW75" s="31"/>
      <c r="TX75" s="31"/>
      <c r="TY75" s="31"/>
      <c r="TZ75" s="31"/>
      <c r="UA75" s="31"/>
      <c r="UB75" s="31"/>
      <c r="UC75" s="31"/>
      <c r="UD75" s="31"/>
      <c r="UE75" s="31"/>
      <c r="UF75" s="31"/>
      <c r="UG75" s="31"/>
      <c r="UH75" s="31"/>
      <c r="UI75" s="31"/>
      <c r="UJ75" s="31"/>
      <c r="UK75" s="31"/>
      <c r="UL75" s="31"/>
      <c r="UM75" s="31"/>
      <c r="UN75" s="31"/>
      <c r="UO75" s="31"/>
      <c r="UP75" s="31"/>
      <c r="UQ75" s="31"/>
      <c r="UR75" s="31"/>
      <c r="US75" s="31"/>
      <c r="UT75" s="31"/>
      <c r="UU75" s="31"/>
      <c r="UV75" s="31"/>
      <c r="UW75" s="31"/>
      <c r="UX75" s="31"/>
      <c r="UY75" s="31"/>
      <c r="UZ75" s="31"/>
      <c r="VA75" s="31"/>
      <c r="VB75" s="31"/>
      <c r="VC75" s="31"/>
      <c r="VD75" s="31"/>
      <c r="VE75" s="31"/>
      <c r="VF75" s="31"/>
      <c r="VG75" s="31"/>
      <c r="VH75" s="31"/>
      <c r="VI75" s="31"/>
      <c r="VJ75" s="31"/>
      <c r="VK75" s="31"/>
      <c r="VL75" s="31"/>
      <c r="VM75" s="31"/>
      <c r="VN75" s="31"/>
      <c r="VO75" s="31"/>
      <c r="VP75" s="31"/>
      <c r="VQ75" s="31"/>
      <c r="VR75" s="31"/>
      <c r="VS75" s="31"/>
      <c r="VT75" s="31"/>
      <c r="VU75" s="31"/>
      <c r="VV75" s="31"/>
      <c r="VW75" s="31"/>
      <c r="VX75" s="31"/>
      <c r="VY75" s="31"/>
      <c r="VZ75" s="31"/>
      <c r="WA75" s="31"/>
      <c r="WB75" s="31"/>
      <c r="WC75" s="31"/>
      <c r="WD75" s="31"/>
      <c r="WE75" s="31"/>
      <c r="WF75" s="31"/>
      <c r="WG75" s="31"/>
      <c r="WH75" s="31"/>
      <c r="WI75" s="31"/>
      <c r="WJ75" s="31"/>
      <c r="WK75" s="31"/>
      <c r="WL75" s="31"/>
      <c r="WM75" s="31"/>
      <c r="WN75" s="31"/>
      <c r="WO75" s="31"/>
      <c r="WP75" s="31"/>
      <c r="WQ75" s="31"/>
      <c r="WR75" s="31"/>
      <c r="WS75" s="31"/>
      <c r="WT75" s="31"/>
      <c r="WU75" s="31"/>
      <c r="WV75" s="31"/>
      <c r="WW75" s="31"/>
      <c r="WX75" s="31"/>
      <c r="WY75" s="31"/>
      <c r="WZ75" s="31"/>
      <c r="XA75" s="31"/>
      <c r="XB75" s="31"/>
      <c r="XC75" s="31"/>
      <c r="XD75" s="31"/>
      <c r="XE75" s="31"/>
      <c r="XF75" s="31"/>
      <c r="XG75" s="31"/>
      <c r="XH75" s="31"/>
      <c r="XI75" s="31"/>
      <c r="XJ75" s="31"/>
      <c r="XK75" s="31"/>
      <c r="XL75" s="31"/>
      <c r="XM75" s="31"/>
      <c r="XN75" s="31"/>
      <c r="XO75" s="31"/>
      <c r="XP75" s="31"/>
      <c r="XQ75" s="31"/>
      <c r="XR75" s="31"/>
      <c r="XS75" s="31"/>
      <c r="XT75" s="31"/>
      <c r="XU75" s="31"/>
      <c r="XV75" s="31"/>
      <c r="XW75" s="31"/>
      <c r="XX75" s="31"/>
      <c r="XY75" s="31"/>
      <c r="XZ75" s="31"/>
      <c r="YA75" s="31"/>
      <c r="YB75" s="31"/>
      <c r="YC75" s="31"/>
      <c r="YD75" s="31"/>
      <c r="YE75" s="31"/>
      <c r="YF75" s="31"/>
      <c r="YG75" s="31"/>
      <c r="YH75" s="31"/>
      <c r="YI75" s="31"/>
      <c r="YJ75" s="31"/>
      <c r="YK75" s="31"/>
      <c r="YL75" s="31"/>
      <c r="YM75" s="31"/>
      <c r="YN75" s="31"/>
      <c r="YO75" s="31"/>
      <c r="YP75" s="31"/>
      <c r="YQ75" s="31"/>
      <c r="YR75" s="31"/>
      <c r="YS75" s="31"/>
      <c r="YT75" s="31"/>
      <c r="YU75" s="31"/>
      <c r="YV75" s="31"/>
      <c r="YW75" s="31"/>
      <c r="YX75" s="31"/>
      <c r="YY75" s="31"/>
      <c r="YZ75" s="31"/>
      <c r="ZA75" s="31"/>
      <c r="ZB75" s="31"/>
      <c r="ZC75" s="31"/>
      <c r="ZD75" s="31"/>
      <c r="ZE75" s="31"/>
      <c r="ZF75" s="31"/>
      <c r="ZG75" s="31"/>
      <c r="ZH75" s="31"/>
      <c r="ZI75" s="31"/>
      <c r="ZJ75" s="31"/>
      <c r="ZK75" s="31"/>
      <c r="ZL75" s="31"/>
      <c r="ZM75" s="31"/>
      <c r="ZN75" s="31"/>
      <c r="ZO75" s="31"/>
      <c r="ZP75" s="31"/>
      <c r="ZQ75" s="31"/>
      <c r="ZR75" s="31"/>
      <c r="ZS75" s="31"/>
      <c r="ZT75" s="31"/>
      <c r="ZU75" s="31"/>
      <c r="ZV75" s="31"/>
      <c r="ZW75" s="31"/>
      <c r="ZX75" s="31"/>
      <c r="ZY75" s="31"/>
      <c r="ZZ75" s="31"/>
      <c r="AAA75" s="31"/>
      <c r="AAB75" s="31"/>
      <c r="AAC75" s="31"/>
      <c r="AAD75" s="31"/>
      <c r="AAE75" s="31"/>
      <c r="AAF75" s="31"/>
      <c r="AAG75" s="31"/>
      <c r="AAH75" s="31"/>
      <c r="AAI75" s="31"/>
      <c r="AAJ75" s="31"/>
      <c r="AAK75" s="31"/>
      <c r="AAL75" s="31"/>
      <c r="AAM75" s="31"/>
      <c r="AAN75" s="31"/>
      <c r="AAO75" s="31"/>
      <c r="AAP75" s="31"/>
      <c r="AAQ75" s="31"/>
      <c r="AAR75" s="31"/>
      <c r="AAS75" s="31"/>
      <c r="AAT75" s="31"/>
      <c r="AAU75" s="31"/>
      <c r="AAV75" s="31"/>
      <c r="AAW75" s="31"/>
      <c r="AAX75" s="31"/>
      <c r="AAY75" s="31"/>
      <c r="AAZ75" s="31"/>
      <c r="ABA75" s="31"/>
      <c r="ABB75" s="31"/>
      <c r="ABC75" s="31"/>
      <c r="ABD75" s="31"/>
      <c r="ABE75" s="31"/>
      <c r="ABF75" s="31"/>
      <c r="ABG75" s="31"/>
      <c r="ABH75" s="31"/>
      <c r="ABI75" s="31"/>
      <c r="ABJ75" s="31"/>
      <c r="ABK75" s="31"/>
      <c r="ABL75" s="31"/>
      <c r="ABM75" s="31"/>
      <c r="ABN75" s="31"/>
      <c r="ABO75" s="31"/>
      <c r="ABP75" s="31"/>
      <c r="ABQ75" s="31"/>
      <c r="ABR75" s="31"/>
      <c r="ABS75" s="31"/>
      <c r="ABT75" s="31"/>
      <c r="ABU75" s="31"/>
      <c r="ABV75" s="31"/>
      <c r="ABW75" s="31"/>
      <c r="ABX75" s="31"/>
      <c r="ABY75" s="31"/>
      <c r="ABZ75" s="31"/>
      <c r="ACA75" s="31"/>
      <c r="ACB75" s="31"/>
      <c r="ACC75" s="31"/>
      <c r="ACD75" s="31"/>
      <c r="ACE75" s="31"/>
      <c r="ACF75" s="31"/>
      <c r="ACG75" s="31"/>
      <c r="ACH75" s="31"/>
      <c r="ACI75" s="31"/>
      <c r="ACJ75" s="31"/>
      <c r="ACK75" s="31"/>
      <c r="ACL75" s="31"/>
      <c r="ACM75" s="31"/>
      <c r="ACN75" s="31"/>
      <c r="ACO75" s="31"/>
      <c r="ACP75" s="31"/>
      <c r="ACQ75" s="31"/>
      <c r="ACR75" s="31"/>
      <c r="ACS75" s="31"/>
      <c r="ACT75" s="31"/>
      <c r="ACU75" s="31"/>
      <c r="ACV75" s="31"/>
      <c r="ACW75" s="31"/>
      <c r="ACX75" s="31"/>
      <c r="ACY75" s="31"/>
      <c r="ACZ75" s="31"/>
      <c r="ADA75" s="31"/>
      <c r="ADB75" s="31"/>
      <c r="ADC75" s="31"/>
      <c r="ADD75" s="31"/>
      <c r="ADE75" s="31"/>
      <c r="ADF75" s="31"/>
      <c r="ADG75" s="31"/>
      <c r="ADH75" s="31"/>
      <c r="ADI75" s="31"/>
      <c r="ADJ75" s="31"/>
      <c r="ADK75" s="31"/>
      <c r="ADL75" s="31"/>
      <c r="ADM75" s="31"/>
      <c r="ADN75" s="31"/>
      <c r="ADO75" s="31"/>
      <c r="ADP75" s="31"/>
      <c r="ADQ75" s="31"/>
      <c r="ADR75" s="31"/>
      <c r="ADS75" s="31"/>
      <c r="ADT75" s="31"/>
      <c r="ADU75" s="31"/>
      <c r="ADV75" s="31"/>
      <c r="ADW75" s="31"/>
      <c r="ADX75" s="31"/>
      <c r="ADY75" s="31"/>
      <c r="ADZ75" s="31"/>
      <c r="AEA75" s="31"/>
      <c r="AEB75" s="31"/>
      <c r="AEC75" s="31"/>
      <c r="AED75" s="31"/>
      <c r="AEE75" s="31"/>
      <c r="AEF75" s="31"/>
      <c r="AEG75" s="31"/>
      <c r="AEH75" s="31"/>
      <c r="AEI75" s="31"/>
      <c r="AEJ75" s="31"/>
      <c r="AEK75" s="31"/>
      <c r="AEL75" s="31"/>
      <c r="AEM75" s="31"/>
      <c r="AEN75" s="31"/>
      <c r="AEO75" s="31"/>
      <c r="AEP75" s="31"/>
      <c r="AEQ75" s="31"/>
      <c r="AER75" s="31"/>
      <c r="AES75" s="31"/>
      <c r="AET75" s="31"/>
      <c r="AEU75" s="31"/>
      <c r="AEV75" s="31"/>
      <c r="AEW75" s="31"/>
      <c r="AEX75" s="31"/>
      <c r="AEY75" s="31"/>
      <c r="AEZ75" s="31"/>
      <c r="AFA75" s="31"/>
      <c r="AFB75" s="31"/>
      <c r="AFC75" s="31"/>
      <c r="AFD75" s="31"/>
      <c r="AFE75" s="31"/>
      <c r="AFF75" s="31"/>
      <c r="AFG75" s="31"/>
      <c r="AFH75" s="31"/>
      <c r="AFI75" s="31"/>
      <c r="AFJ75" s="31"/>
      <c r="AFK75" s="31"/>
      <c r="AFL75" s="31"/>
      <c r="AFM75" s="31"/>
      <c r="AFN75" s="31"/>
      <c r="AFO75" s="31"/>
      <c r="AFP75" s="31"/>
      <c r="AFQ75" s="31"/>
      <c r="AFR75" s="31"/>
      <c r="AFS75" s="31"/>
      <c r="AFT75" s="31"/>
      <c r="AFU75" s="31"/>
      <c r="AFV75" s="31"/>
      <c r="AFW75" s="31"/>
      <c r="AFX75" s="31"/>
      <c r="AFY75" s="31"/>
      <c r="AFZ75" s="31"/>
      <c r="AGA75" s="31"/>
      <c r="AGB75" s="31"/>
      <c r="AGC75" s="31"/>
      <c r="AGD75" s="31"/>
      <c r="AGE75" s="31"/>
      <c r="AGF75" s="31"/>
      <c r="AGG75" s="31"/>
      <c r="AGH75" s="31"/>
      <c r="AGI75" s="31"/>
      <c r="AGJ75" s="31"/>
      <c r="AGK75" s="31"/>
      <c r="AGL75" s="31"/>
      <c r="AGM75" s="31"/>
      <c r="AGN75" s="31"/>
      <c r="AGO75" s="31"/>
      <c r="AGP75" s="31"/>
      <c r="AGQ75" s="31"/>
      <c r="AGR75" s="31"/>
      <c r="AGS75" s="31"/>
      <c r="AGT75" s="31"/>
      <c r="AGU75" s="31"/>
      <c r="AGV75" s="31"/>
      <c r="AGW75" s="31"/>
      <c r="AGX75" s="31"/>
      <c r="AGY75" s="31"/>
      <c r="AGZ75" s="31"/>
      <c r="AHA75" s="31"/>
      <c r="AHB75" s="31"/>
      <c r="AHC75" s="31"/>
      <c r="AHD75" s="31"/>
      <c r="AHE75" s="31"/>
      <c r="AHF75" s="31"/>
      <c r="AHG75" s="31"/>
      <c r="AHH75" s="31"/>
      <c r="AHI75" s="31"/>
      <c r="AHJ75" s="31"/>
      <c r="AHK75" s="31"/>
      <c r="AHL75" s="31"/>
      <c r="AHM75" s="31"/>
      <c r="AHN75" s="31"/>
      <c r="AHO75" s="31"/>
      <c r="AHP75" s="31"/>
      <c r="AHQ75" s="31"/>
      <c r="AHR75" s="31"/>
      <c r="AHS75" s="31"/>
      <c r="AHT75" s="31"/>
      <c r="AHU75" s="31"/>
      <c r="AHV75" s="31"/>
      <c r="AHW75" s="31"/>
      <c r="AHX75" s="31"/>
      <c r="AHY75" s="31"/>
      <c r="AHZ75" s="31"/>
      <c r="AIA75" s="31"/>
      <c r="AIB75" s="31"/>
      <c r="AIC75" s="31"/>
      <c r="AID75" s="31"/>
      <c r="AIE75" s="31"/>
      <c r="AIF75" s="31"/>
      <c r="AIG75" s="31"/>
      <c r="AIH75" s="31"/>
      <c r="AII75" s="31"/>
      <c r="AIJ75" s="31"/>
      <c r="AIK75" s="31"/>
      <c r="AIL75" s="31"/>
      <c r="AIM75" s="31"/>
      <c r="AIN75" s="31"/>
      <c r="AIO75" s="31"/>
      <c r="AIP75" s="31"/>
      <c r="AIQ75" s="31"/>
      <c r="AIR75" s="31"/>
      <c r="AIS75" s="31"/>
      <c r="AIT75" s="31"/>
      <c r="AIU75" s="31"/>
      <c r="AIV75" s="31"/>
      <c r="AIW75" s="31"/>
      <c r="AIX75" s="31"/>
      <c r="AIY75" s="31"/>
      <c r="AIZ75" s="31"/>
      <c r="AJA75" s="31"/>
      <c r="AJB75" s="31"/>
      <c r="AJC75" s="31"/>
      <c r="AJD75" s="31"/>
      <c r="AJE75" s="31"/>
      <c r="AJF75" s="31"/>
      <c r="AJG75" s="31"/>
      <c r="AJH75" s="31"/>
      <c r="AJI75" s="31"/>
      <c r="AJJ75" s="31"/>
      <c r="AJK75" s="31"/>
      <c r="AJL75" s="31"/>
      <c r="AJM75" s="31"/>
      <c r="AJN75" s="31"/>
      <c r="AJO75" s="31"/>
      <c r="AJP75" s="31"/>
      <c r="AJQ75" s="31"/>
      <c r="AJR75" s="31"/>
      <c r="AJS75" s="31"/>
      <c r="AJT75" s="31"/>
      <c r="AJU75" s="31"/>
      <c r="AJV75" s="31"/>
      <c r="AJW75" s="31"/>
      <c r="AJX75" s="31"/>
      <c r="AJY75" s="31"/>
      <c r="AJZ75" s="31"/>
      <c r="AKA75" s="31"/>
      <c r="AKB75" s="31"/>
      <c r="AKC75" s="31"/>
      <c r="AKD75" s="31"/>
      <c r="AKE75" s="31"/>
      <c r="AKF75" s="31"/>
      <c r="AKG75" s="31"/>
      <c r="AKH75" s="31"/>
      <c r="AKI75" s="31"/>
      <c r="AKJ75" s="31"/>
      <c r="AKK75" s="31"/>
      <c r="AKL75" s="31"/>
      <c r="AKM75" s="31"/>
      <c r="AKN75" s="31"/>
      <c r="AKO75" s="31"/>
    </row>
    <row r="76" spans="1:977" s="236" customFormat="1" ht="14.25" customHeight="1">
      <c r="A76" s="31" t="s">
        <v>270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  <c r="OP76" s="31"/>
      <c r="OQ76" s="31"/>
      <c r="OR76" s="31"/>
      <c r="OS76" s="31"/>
      <c r="OT76" s="31"/>
      <c r="OU76" s="31"/>
      <c r="OV76" s="31"/>
      <c r="OW76" s="31"/>
      <c r="OX76" s="31"/>
      <c r="OY76" s="31"/>
      <c r="OZ76" s="31"/>
      <c r="PA76" s="31"/>
      <c r="PB76" s="31"/>
      <c r="PC76" s="31"/>
      <c r="PD76" s="31"/>
      <c r="PE76" s="31"/>
      <c r="PF76" s="31"/>
      <c r="PG76" s="31"/>
      <c r="PH76" s="31"/>
      <c r="PI76" s="31"/>
      <c r="PJ76" s="31"/>
      <c r="PK76" s="31"/>
      <c r="PL76" s="31"/>
      <c r="PM76" s="31"/>
      <c r="PN76" s="31"/>
      <c r="PO76" s="31"/>
      <c r="PP76" s="31"/>
      <c r="PQ76" s="31"/>
      <c r="PR76" s="31"/>
      <c r="PS76" s="31"/>
      <c r="PT76" s="31"/>
      <c r="PU76" s="31"/>
      <c r="PV76" s="31"/>
      <c r="PW76" s="31"/>
      <c r="PX76" s="31"/>
      <c r="PY76" s="31"/>
      <c r="PZ76" s="31"/>
      <c r="QA76" s="31"/>
      <c r="QB76" s="31"/>
      <c r="QC76" s="31"/>
      <c r="QD76" s="31"/>
      <c r="QE76" s="31"/>
      <c r="QF76" s="31"/>
      <c r="QG76" s="31"/>
      <c r="QH76" s="31"/>
      <c r="QI76" s="31"/>
      <c r="QJ76" s="31"/>
      <c r="QK76" s="31"/>
      <c r="QL76" s="31"/>
      <c r="QM76" s="31"/>
      <c r="QN76" s="31"/>
      <c r="QO76" s="31"/>
      <c r="QP76" s="31"/>
      <c r="QQ76" s="31"/>
      <c r="QR76" s="31"/>
      <c r="QS76" s="31"/>
      <c r="QT76" s="31"/>
      <c r="QU76" s="31"/>
      <c r="QV76" s="31"/>
      <c r="QW76" s="31"/>
      <c r="QX76" s="31"/>
      <c r="QY76" s="31"/>
      <c r="QZ76" s="31"/>
      <c r="RA76" s="31"/>
      <c r="RB76" s="31"/>
      <c r="RC76" s="31"/>
      <c r="RD76" s="31"/>
      <c r="RE76" s="31"/>
      <c r="RF76" s="31"/>
      <c r="RG76" s="31"/>
      <c r="RH76" s="31"/>
      <c r="RI76" s="31"/>
      <c r="RJ76" s="31"/>
      <c r="RK76" s="31"/>
      <c r="RL76" s="31"/>
      <c r="RM76" s="31"/>
      <c r="RN76" s="31"/>
      <c r="RO76" s="31"/>
      <c r="RP76" s="31"/>
      <c r="RQ76" s="31"/>
      <c r="RR76" s="31"/>
      <c r="RS76" s="31"/>
      <c r="RT76" s="31"/>
      <c r="RU76" s="31"/>
      <c r="RV76" s="31"/>
      <c r="RW76" s="31"/>
      <c r="RX76" s="31"/>
      <c r="RY76" s="31"/>
      <c r="RZ76" s="31"/>
      <c r="SA76" s="31"/>
      <c r="SB76" s="31"/>
      <c r="SC76" s="31"/>
      <c r="SD76" s="31"/>
      <c r="SE76" s="31"/>
      <c r="SF76" s="31"/>
      <c r="SG76" s="31"/>
      <c r="SH76" s="31"/>
      <c r="SI76" s="31"/>
      <c r="SJ76" s="31"/>
      <c r="SK76" s="31"/>
      <c r="SL76" s="31"/>
      <c r="SM76" s="31"/>
      <c r="SN76" s="31"/>
      <c r="SO76" s="31"/>
      <c r="SP76" s="31"/>
      <c r="SQ76" s="31"/>
      <c r="SR76" s="31"/>
      <c r="SS76" s="31"/>
      <c r="ST76" s="31"/>
      <c r="SU76" s="31"/>
      <c r="SV76" s="31"/>
      <c r="SW76" s="31"/>
      <c r="SX76" s="31"/>
      <c r="SY76" s="31"/>
      <c r="SZ76" s="31"/>
      <c r="TA76" s="31"/>
      <c r="TB76" s="31"/>
      <c r="TC76" s="31"/>
      <c r="TD76" s="31"/>
      <c r="TE76" s="31"/>
      <c r="TF76" s="31"/>
      <c r="TG76" s="31"/>
      <c r="TH76" s="31"/>
      <c r="TI76" s="31"/>
      <c r="TJ76" s="31"/>
      <c r="TK76" s="31"/>
      <c r="TL76" s="31"/>
      <c r="TM76" s="31"/>
      <c r="TN76" s="31"/>
      <c r="TO76" s="31"/>
      <c r="TP76" s="31"/>
      <c r="TQ76" s="31"/>
      <c r="TR76" s="31"/>
      <c r="TS76" s="31"/>
      <c r="TT76" s="31"/>
      <c r="TU76" s="31"/>
      <c r="TV76" s="31"/>
      <c r="TW76" s="31"/>
      <c r="TX76" s="31"/>
      <c r="TY76" s="31"/>
      <c r="TZ76" s="31"/>
      <c r="UA76" s="31"/>
      <c r="UB76" s="31"/>
      <c r="UC76" s="31"/>
      <c r="UD76" s="31"/>
      <c r="UE76" s="31"/>
      <c r="UF76" s="31"/>
      <c r="UG76" s="31"/>
      <c r="UH76" s="31"/>
      <c r="UI76" s="31"/>
      <c r="UJ76" s="31"/>
      <c r="UK76" s="31"/>
      <c r="UL76" s="31"/>
      <c r="UM76" s="31"/>
      <c r="UN76" s="31"/>
      <c r="UO76" s="31"/>
      <c r="UP76" s="31"/>
      <c r="UQ76" s="31"/>
      <c r="UR76" s="31"/>
      <c r="US76" s="31"/>
      <c r="UT76" s="31"/>
      <c r="UU76" s="31"/>
      <c r="UV76" s="31"/>
      <c r="UW76" s="31"/>
      <c r="UX76" s="31"/>
      <c r="UY76" s="31"/>
      <c r="UZ76" s="31"/>
      <c r="VA76" s="31"/>
      <c r="VB76" s="31"/>
      <c r="VC76" s="31"/>
      <c r="VD76" s="31"/>
      <c r="VE76" s="31"/>
      <c r="VF76" s="31"/>
      <c r="VG76" s="31"/>
      <c r="VH76" s="31"/>
      <c r="VI76" s="31"/>
      <c r="VJ76" s="31"/>
      <c r="VK76" s="31"/>
      <c r="VL76" s="31"/>
      <c r="VM76" s="31"/>
      <c r="VN76" s="31"/>
      <c r="VO76" s="31"/>
      <c r="VP76" s="31"/>
      <c r="VQ76" s="31"/>
      <c r="VR76" s="31"/>
      <c r="VS76" s="31"/>
      <c r="VT76" s="31"/>
      <c r="VU76" s="31"/>
      <c r="VV76" s="31"/>
      <c r="VW76" s="31"/>
      <c r="VX76" s="31"/>
      <c r="VY76" s="31"/>
      <c r="VZ76" s="31"/>
      <c r="WA76" s="31"/>
      <c r="WB76" s="31"/>
      <c r="WC76" s="31"/>
      <c r="WD76" s="31"/>
      <c r="WE76" s="31"/>
      <c r="WF76" s="31"/>
      <c r="WG76" s="31"/>
      <c r="WH76" s="31"/>
      <c r="WI76" s="31"/>
      <c r="WJ76" s="31"/>
      <c r="WK76" s="31"/>
      <c r="WL76" s="31"/>
      <c r="WM76" s="31"/>
      <c r="WN76" s="31"/>
      <c r="WO76" s="31"/>
      <c r="WP76" s="31"/>
      <c r="WQ76" s="31"/>
      <c r="WR76" s="31"/>
      <c r="WS76" s="31"/>
      <c r="WT76" s="31"/>
      <c r="WU76" s="31"/>
      <c r="WV76" s="31"/>
      <c r="WW76" s="31"/>
      <c r="WX76" s="31"/>
      <c r="WY76" s="31"/>
      <c r="WZ76" s="31"/>
      <c r="XA76" s="31"/>
      <c r="XB76" s="31"/>
      <c r="XC76" s="31"/>
      <c r="XD76" s="31"/>
      <c r="XE76" s="31"/>
      <c r="XF76" s="31"/>
      <c r="XG76" s="31"/>
      <c r="XH76" s="31"/>
      <c r="XI76" s="31"/>
      <c r="XJ76" s="31"/>
      <c r="XK76" s="31"/>
      <c r="XL76" s="31"/>
      <c r="XM76" s="31"/>
      <c r="XN76" s="31"/>
      <c r="XO76" s="31"/>
      <c r="XP76" s="31"/>
      <c r="XQ76" s="31"/>
      <c r="XR76" s="31"/>
      <c r="XS76" s="31"/>
      <c r="XT76" s="31"/>
      <c r="XU76" s="31"/>
      <c r="XV76" s="31"/>
      <c r="XW76" s="31"/>
      <c r="XX76" s="31"/>
      <c r="XY76" s="31"/>
      <c r="XZ76" s="31"/>
      <c r="YA76" s="31"/>
      <c r="YB76" s="31"/>
      <c r="YC76" s="31"/>
      <c r="YD76" s="31"/>
      <c r="YE76" s="31"/>
      <c r="YF76" s="31"/>
      <c r="YG76" s="31"/>
      <c r="YH76" s="31"/>
      <c r="YI76" s="31"/>
      <c r="YJ76" s="31"/>
      <c r="YK76" s="31"/>
      <c r="YL76" s="31"/>
      <c r="YM76" s="31"/>
      <c r="YN76" s="31"/>
      <c r="YO76" s="31"/>
      <c r="YP76" s="31"/>
      <c r="YQ76" s="31"/>
      <c r="YR76" s="31"/>
      <c r="YS76" s="31"/>
      <c r="YT76" s="31"/>
      <c r="YU76" s="31"/>
      <c r="YV76" s="31"/>
      <c r="YW76" s="31"/>
      <c r="YX76" s="31"/>
      <c r="YY76" s="31"/>
      <c r="YZ76" s="31"/>
      <c r="ZA76" s="31"/>
      <c r="ZB76" s="31"/>
      <c r="ZC76" s="31"/>
      <c r="ZD76" s="31"/>
      <c r="ZE76" s="31"/>
      <c r="ZF76" s="31"/>
      <c r="ZG76" s="31"/>
      <c r="ZH76" s="31"/>
      <c r="ZI76" s="31"/>
      <c r="ZJ76" s="31"/>
      <c r="ZK76" s="31"/>
      <c r="ZL76" s="31"/>
      <c r="ZM76" s="31"/>
      <c r="ZN76" s="31"/>
      <c r="ZO76" s="31"/>
      <c r="ZP76" s="31"/>
      <c r="ZQ76" s="31"/>
      <c r="ZR76" s="31"/>
      <c r="ZS76" s="31"/>
      <c r="ZT76" s="31"/>
      <c r="ZU76" s="31"/>
      <c r="ZV76" s="31"/>
      <c r="ZW76" s="31"/>
      <c r="ZX76" s="31"/>
      <c r="ZY76" s="31"/>
      <c r="ZZ76" s="31"/>
      <c r="AAA76" s="31"/>
      <c r="AAB76" s="31"/>
      <c r="AAC76" s="31"/>
      <c r="AAD76" s="31"/>
      <c r="AAE76" s="31"/>
      <c r="AAF76" s="31"/>
      <c r="AAG76" s="31"/>
      <c r="AAH76" s="31"/>
      <c r="AAI76" s="31"/>
      <c r="AAJ76" s="31"/>
      <c r="AAK76" s="31"/>
      <c r="AAL76" s="31"/>
      <c r="AAM76" s="31"/>
      <c r="AAN76" s="31"/>
      <c r="AAO76" s="31"/>
      <c r="AAP76" s="31"/>
      <c r="AAQ76" s="31"/>
      <c r="AAR76" s="31"/>
      <c r="AAS76" s="31"/>
      <c r="AAT76" s="31"/>
      <c r="AAU76" s="31"/>
      <c r="AAV76" s="31"/>
      <c r="AAW76" s="31"/>
      <c r="AAX76" s="31"/>
      <c r="AAY76" s="31"/>
      <c r="AAZ76" s="31"/>
      <c r="ABA76" s="31"/>
      <c r="ABB76" s="31"/>
      <c r="ABC76" s="31"/>
      <c r="ABD76" s="31"/>
      <c r="ABE76" s="31"/>
      <c r="ABF76" s="31"/>
      <c r="ABG76" s="31"/>
      <c r="ABH76" s="31"/>
      <c r="ABI76" s="31"/>
      <c r="ABJ76" s="31"/>
      <c r="ABK76" s="31"/>
      <c r="ABL76" s="31"/>
      <c r="ABM76" s="31"/>
      <c r="ABN76" s="31"/>
      <c r="ABO76" s="31"/>
      <c r="ABP76" s="31"/>
      <c r="ABQ76" s="31"/>
      <c r="ABR76" s="31"/>
      <c r="ABS76" s="31"/>
      <c r="ABT76" s="31"/>
      <c r="ABU76" s="31"/>
      <c r="ABV76" s="31"/>
      <c r="ABW76" s="31"/>
      <c r="ABX76" s="31"/>
      <c r="ABY76" s="31"/>
      <c r="ABZ76" s="31"/>
      <c r="ACA76" s="31"/>
      <c r="ACB76" s="31"/>
      <c r="ACC76" s="31"/>
      <c r="ACD76" s="31"/>
      <c r="ACE76" s="31"/>
      <c r="ACF76" s="31"/>
      <c r="ACG76" s="31"/>
      <c r="ACH76" s="31"/>
      <c r="ACI76" s="31"/>
      <c r="ACJ76" s="31"/>
      <c r="ACK76" s="31"/>
      <c r="ACL76" s="31"/>
      <c r="ACM76" s="31"/>
      <c r="ACN76" s="31"/>
      <c r="ACO76" s="31"/>
      <c r="ACP76" s="31"/>
      <c r="ACQ76" s="31"/>
      <c r="ACR76" s="31"/>
      <c r="ACS76" s="31"/>
      <c r="ACT76" s="31"/>
      <c r="ACU76" s="31"/>
      <c r="ACV76" s="31"/>
      <c r="ACW76" s="31"/>
      <c r="ACX76" s="31"/>
      <c r="ACY76" s="31"/>
      <c r="ACZ76" s="31"/>
      <c r="ADA76" s="31"/>
      <c r="ADB76" s="31"/>
      <c r="ADC76" s="31"/>
      <c r="ADD76" s="31"/>
      <c r="ADE76" s="31"/>
      <c r="ADF76" s="31"/>
      <c r="ADG76" s="31"/>
      <c r="ADH76" s="31"/>
      <c r="ADI76" s="31"/>
      <c r="ADJ76" s="31"/>
      <c r="ADK76" s="31"/>
      <c r="ADL76" s="31"/>
      <c r="ADM76" s="31"/>
      <c r="ADN76" s="31"/>
      <c r="ADO76" s="31"/>
      <c r="ADP76" s="31"/>
      <c r="ADQ76" s="31"/>
      <c r="ADR76" s="31"/>
      <c r="ADS76" s="31"/>
      <c r="ADT76" s="31"/>
      <c r="ADU76" s="31"/>
      <c r="ADV76" s="31"/>
      <c r="ADW76" s="31"/>
      <c r="ADX76" s="31"/>
      <c r="ADY76" s="31"/>
      <c r="ADZ76" s="31"/>
      <c r="AEA76" s="31"/>
      <c r="AEB76" s="31"/>
      <c r="AEC76" s="31"/>
      <c r="AED76" s="31"/>
      <c r="AEE76" s="31"/>
      <c r="AEF76" s="31"/>
      <c r="AEG76" s="31"/>
      <c r="AEH76" s="31"/>
      <c r="AEI76" s="31"/>
      <c r="AEJ76" s="31"/>
      <c r="AEK76" s="31"/>
      <c r="AEL76" s="31"/>
      <c r="AEM76" s="31"/>
      <c r="AEN76" s="31"/>
      <c r="AEO76" s="31"/>
      <c r="AEP76" s="31"/>
      <c r="AEQ76" s="31"/>
      <c r="AER76" s="31"/>
      <c r="AES76" s="31"/>
      <c r="AET76" s="31"/>
      <c r="AEU76" s="31"/>
      <c r="AEV76" s="31"/>
      <c r="AEW76" s="31"/>
      <c r="AEX76" s="31"/>
      <c r="AEY76" s="31"/>
      <c r="AEZ76" s="31"/>
      <c r="AFA76" s="31"/>
      <c r="AFB76" s="31"/>
      <c r="AFC76" s="31"/>
      <c r="AFD76" s="31"/>
      <c r="AFE76" s="31"/>
      <c r="AFF76" s="31"/>
      <c r="AFG76" s="31"/>
      <c r="AFH76" s="31"/>
      <c r="AFI76" s="31"/>
      <c r="AFJ76" s="31"/>
      <c r="AFK76" s="31"/>
      <c r="AFL76" s="31"/>
      <c r="AFM76" s="31"/>
      <c r="AFN76" s="31"/>
      <c r="AFO76" s="31"/>
      <c r="AFP76" s="31"/>
      <c r="AFQ76" s="31"/>
      <c r="AFR76" s="31"/>
      <c r="AFS76" s="31"/>
      <c r="AFT76" s="31"/>
      <c r="AFU76" s="31"/>
      <c r="AFV76" s="31"/>
      <c r="AFW76" s="31"/>
      <c r="AFX76" s="31"/>
      <c r="AFY76" s="31"/>
      <c r="AFZ76" s="31"/>
      <c r="AGA76" s="31"/>
      <c r="AGB76" s="31"/>
      <c r="AGC76" s="31"/>
      <c r="AGD76" s="31"/>
      <c r="AGE76" s="31"/>
      <c r="AGF76" s="31"/>
      <c r="AGG76" s="31"/>
      <c r="AGH76" s="31"/>
      <c r="AGI76" s="31"/>
      <c r="AGJ76" s="31"/>
      <c r="AGK76" s="31"/>
      <c r="AGL76" s="31"/>
      <c r="AGM76" s="31"/>
      <c r="AGN76" s="31"/>
      <c r="AGO76" s="31"/>
      <c r="AGP76" s="31"/>
      <c r="AGQ76" s="31"/>
      <c r="AGR76" s="31"/>
      <c r="AGS76" s="31"/>
      <c r="AGT76" s="31"/>
      <c r="AGU76" s="31"/>
      <c r="AGV76" s="31"/>
      <c r="AGW76" s="31"/>
      <c r="AGX76" s="31"/>
      <c r="AGY76" s="31"/>
      <c r="AGZ76" s="31"/>
      <c r="AHA76" s="31"/>
      <c r="AHB76" s="31"/>
      <c r="AHC76" s="31"/>
      <c r="AHD76" s="31"/>
      <c r="AHE76" s="31"/>
      <c r="AHF76" s="31"/>
      <c r="AHG76" s="31"/>
      <c r="AHH76" s="31"/>
      <c r="AHI76" s="31"/>
      <c r="AHJ76" s="31"/>
      <c r="AHK76" s="31"/>
      <c r="AHL76" s="31"/>
      <c r="AHM76" s="31"/>
      <c r="AHN76" s="31"/>
      <c r="AHO76" s="31"/>
      <c r="AHP76" s="31"/>
      <c r="AHQ76" s="31"/>
      <c r="AHR76" s="31"/>
      <c r="AHS76" s="31"/>
      <c r="AHT76" s="31"/>
      <c r="AHU76" s="31"/>
      <c r="AHV76" s="31"/>
      <c r="AHW76" s="31"/>
      <c r="AHX76" s="31"/>
      <c r="AHY76" s="31"/>
      <c r="AHZ76" s="31"/>
      <c r="AIA76" s="31"/>
      <c r="AIB76" s="31"/>
      <c r="AIC76" s="31"/>
      <c r="AID76" s="31"/>
      <c r="AIE76" s="31"/>
      <c r="AIF76" s="31"/>
      <c r="AIG76" s="31"/>
      <c r="AIH76" s="31"/>
      <c r="AII76" s="31"/>
      <c r="AIJ76" s="31"/>
      <c r="AIK76" s="31"/>
      <c r="AIL76" s="31"/>
      <c r="AIM76" s="31"/>
      <c r="AIN76" s="31"/>
      <c r="AIO76" s="31"/>
      <c r="AIP76" s="31"/>
      <c r="AIQ76" s="31"/>
      <c r="AIR76" s="31"/>
      <c r="AIS76" s="31"/>
      <c r="AIT76" s="31"/>
      <c r="AIU76" s="31"/>
      <c r="AIV76" s="31"/>
      <c r="AIW76" s="31"/>
      <c r="AIX76" s="31"/>
      <c r="AIY76" s="31"/>
      <c r="AIZ76" s="31"/>
      <c r="AJA76" s="31"/>
      <c r="AJB76" s="31"/>
      <c r="AJC76" s="31"/>
      <c r="AJD76" s="31"/>
      <c r="AJE76" s="31"/>
      <c r="AJF76" s="31"/>
      <c r="AJG76" s="31"/>
      <c r="AJH76" s="31"/>
      <c r="AJI76" s="31"/>
      <c r="AJJ76" s="31"/>
      <c r="AJK76" s="31"/>
      <c r="AJL76" s="31"/>
      <c r="AJM76" s="31"/>
      <c r="AJN76" s="31"/>
      <c r="AJO76" s="31"/>
      <c r="AJP76" s="31"/>
      <c r="AJQ76" s="31"/>
      <c r="AJR76" s="31"/>
      <c r="AJS76" s="31"/>
      <c r="AJT76" s="31"/>
      <c r="AJU76" s="31"/>
      <c r="AJV76" s="31"/>
      <c r="AJW76" s="31"/>
      <c r="AJX76" s="31"/>
      <c r="AJY76" s="31"/>
      <c r="AJZ76" s="31"/>
      <c r="AKA76" s="31"/>
      <c r="AKB76" s="31"/>
      <c r="AKC76" s="31"/>
      <c r="AKD76" s="31"/>
      <c r="AKE76" s="31"/>
      <c r="AKF76" s="31"/>
      <c r="AKG76" s="31"/>
      <c r="AKH76" s="31"/>
      <c r="AKI76" s="31"/>
      <c r="AKJ76" s="31"/>
      <c r="AKK76" s="31"/>
      <c r="AKL76" s="31"/>
      <c r="AKM76" s="31"/>
      <c r="AKN76" s="31"/>
      <c r="AKO76" s="31"/>
    </row>
    <row r="77" spans="1:977" s="236" customFormat="1" ht="14.25" customHeight="1">
      <c r="A77" s="31" t="s">
        <v>271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  <c r="NN77" s="31"/>
      <c r="NO77" s="31"/>
      <c r="NP77" s="31"/>
      <c r="NQ77" s="31"/>
      <c r="NR77" s="31"/>
      <c r="NS77" s="31"/>
      <c r="NT77" s="31"/>
      <c r="NU77" s="31"/>
      <c r="NV77" s="31"/>
      <c r="NW77" s="31"/>
      <c r="NX77" s="31"/>
      <c r="NY77" s="31"/>
      <c r="NZ77" s="31"/>
      <c r="OA77" s="31"/>
      <c r="OB77" s="31"/>
      <c r="OC77" s="31"/>
      <c r="OD77" s="31"/>
      <c r="OE77" s="31"/>
      <c r="OF77" s="31"/>
      <c r="OG77" s="31"/>
      <c r="OH77" s="31"/>
      <c r="OI77" s="31"/>
      <c r="OJ77" s="31"/>
      <c r="OK77" s="31"/>
      <c r="OL77" s="31"/>
      <c r="OM77" s="31"/>
      <c r="ON77" s="31"/>
      <c r="OO77" s="31"/>
      <c r="OP77" s="31"/>
      <c r="OQ77" s="31"/>
      <c r="OR77" s="31"/>
      <c r="OS77" s="31"/>
      <c r="OT77" s="31"/>
      <c r="OU77" s="31"/>
      <c r="OV77" s="31"/>
      <c r="OW77" s="31"/>
      <c r="OX77" s="31"/>
      <c r="OY77" s="31"/>
      <c r="OZ77" s="31"/>
      <c r="PA77" s="31"/>
      <c r="PB77" s="31"/>
      <c r="PC77" s="31"/>
      <c r="PD77" s="31"/>
      <c r="PE77" s="31"/>
      <c r="PF77" s="31"/>
      <c r="PG77" s="31"/>
      <c r="PH77" s="31"/>
      <c r="PI77" s="31"/>
      <c r="PJ77" s="31"/>
      <c r="PK77" s="31"/>
      <c r="PL77" s="31"/>
      <c r="PM77" s="31"/>
      <c r="PN77" s="31"/>
      <c r="PO77" s="31"/>
      <c r="PP77" s="31"/>
      <c r="PQ77" s="31"/>
      <c r="PR77" s="31"/>
      <c r="PS77" s="31"/>
      <c r="PT77" s="31"/>
      <c r="PU77" s="31"/>
      <c r="PV77" s="31"/>
      <c r="PW77" s="31"/>
      <c r="PX77" s="31"/>
      <c r="PY77" s="31"/>
      <c r="PZ77" s="31"/>
      <c r="QA77" s="31"/>
      <c r="QB77" s="31"/>
      <c r="QC77" s="31"/>
      <c r="QD77" s="31"/>
      <c r="QE77" s="31"/>
      <c r="QF77" s="31"/>
      <c r="QG77" s="31"/>
      <c r="QH77" s="31"/>
      <c r="QI77" s="31"/>
      <c r="QJ77" s="31"/>
      <c r="QK77" s="31"/>
      <c r="QL77" s="31"/>
      <c r="QM77" s="31"/>
      <c r="QN77" s="31"/>
      <c r="QO77" s="31"/>
      <c r="QP77" s="31"/>
      <c r="QQ77" s="31"/>
      <c r="QR77" s="31"/>
      <c r="QS77" s="31"/>
      <c r="QT77" s="31"/>
      <c r="QU77" s="31"/>
      <c r="QV77" s="31"/>
      <c r="QW77" s="31"/>
      <c r="QX77" s="31"/>
      <c r="QY77" s="31"/>
      <c r="QZ77" s="31"/>
      <c r="RA77" s="31"/>
      <c r="RB77" s="31"/>
      <c r="RC77" s="31"/>
      <c r="RD77" s="31"/>
      <c r="RE77" s="31"/>
      <c r="RF77" s="31"/>
      <c r="RG77" s="31"/>
      <c r="RH77" s="31"/>
      <c r="RI77" s="31"/>
      <c r="RJ77" s="31"/>
      <c r="RK77" s="31"/>
      <c r="RL77" s="31"/>
      <c r="RM77" s="31"/>
      <c r="RN77" s="31"/>
      <c r="RO77" s="31"/>
      <c r="RP77" s="31"/>
      <c r="RQ77" s="31"/>
      <c r="RR77" s="31"/>
      <c r="RS77" s="31"/>
      <c r="RT77" s="31"/>
      <c r="RU77" s="31"/>
      <c r="RV77" s="31"/>
      <c r="RW77" s="31"/>
      <c r="RX77" s="31"/>
      <c r="RY77" s="31"/>
      <c r="RZ77" s="31"/>
      <c r="SA77" s="31"/>
      <c r="SB77" s="31"/>
      <c r="SC77" s="31"/>
      <c r="SD77" s="31"/>
      <c r="SE77" s="31"/>
      <c r="SF77" s="31"/>
      <c r="SG77" s="31"/>
      <c r="SH77" s="31"/>
      <c r="SI77" s="31"/>
      <c r="SJ77" s="31"/>
      <c r="SK77" s="31"/>
      <c r="SL77" s="31"/>
      <c r="SM77" s="31"/>
      <c r="SN77" s="31"/>
      <c r="SO77" s="31"/>
      <c r="SP77" s="31"/>
      <c r="SQ77" s="31"/>
      <c r="SR77" s="31"/>
      <c r="SS77" s="31"/>
      <c r="ST77" s="31"/>
      <c r="SU77" s="31"/>
      <c r="SV77" s="31"/>
      <c r="SW77" s="31"/>
      <c r="SX77" s="31"/>
      <c r="SY77" s="31"/>
      <c r="SZ77" s="31"/>
      <c r="TA77" s="31"/>
      <c r="TB77" s="31"/>
      <c r="TC77" s="31"/>
      <c r="TD77" s="31"/>
      <c r="TE77" s="31"/>
      <c r="TF77" s="31"/>
      <c r="TG77" s="31"/>
      <c r="TH77" s="31"/>
      <c r="TI77" s="31"/>
      <c r="TJ77" s="31"/>
      <c r="TK77" s="31"/>
      <c r="TL77" s="31"/>
      <c r="TM77" s="31"/>
      <c r="TN77" s="31"/>
      <c r="TO77" s="31"/>
      <c r="TP77" s="31"/>
      <c r="TQ77" s="31"/>
      <c r="TR77" s="31"/>
      <c r="TS77" s="31"/>
      <c r="TT77" s="31"/>
      <c r="TU77" s="31"/>
      <c r="TV77" s="31"/>
      <c r="TW77" s="31"/>
      <c r="TX77" s="31"/>
      <c r="TY77" s="31"/>
      <c r="TZ77" s="31"/>
      <c r="UA77" s="31"/>
      <c r="UB77" s="31"/>
      <c r="UC77" s="31"/>
      <c r="UD77" s="31"/>
      <c r="UE77" s="31"/>
      <c r="UF77" s="31"/>
      <c r="UG77" s="31"/>
      <c r="UH77" s="31"/>
      <c r="UI77" s="31"/>
      <c r="UJ77" s="31"/>
      <c r="UK77" s="31"/>
      <c r="UL77" s="31"/>
      <c r="UM77" s="31"/>
      <c r="UN77" s="31"/>
      <c r="UO77" s="31"/>
      <c r="UP77" s="31"/>
      <c r="UQ77" s="31"/>
      <c r="UR77" s="31"/>
      <c r="US77" s="31"/>
      <c r="UT77" s="31"/>
      <c r="UU77" s="31"/>
      <c r="UV77" s="31"/>
      <c r="UW77" s="31"/>
      <c r="UX77" s="31"/>
      <c r="UY77" s="31"/>
      <c r="UZ77" s="31"/>
      <c r="VA77" s="31"/>
      <c r="VB77" s="31"/>
      <c r="VC77" s="31"/>
      <c r="VD77" s="31"/>
      <c r="VE77" s="31"/>
      <c r="VF77" s="31"/>
      <c r="VG77" s="31"/>
      <c r="VH77" s="31"/>
      <c r="VI77" s="31"/>
      <c r="VJ77" s="31"/>
      <c r="VK77" s="31"/>
      <c r="VL77" s="31"/>
      <c r="VM77" s="31"/>
      <c r="VN77" s="31"/>
      <c r="VO77" s="31"/>
      <c r="VP77" s="31"/>
      <c r="VQ77" s="31"/>
      <c r="VR77" s="31"/>
      <c r="VS77" s="31"/>
      <c r="VT77" s="31"/>
      <c r="VU77" s="31"/>
      <c r="VV77" s="31"/>
      <c r="VW77" s="31"/>
      <c r="VX77" s="31"/>
      <c r="VY77" s="31"/>
      <c r="VZ77" s="31"/>
      <c r="WA77" s="31"/>
      <c r="WB77" s="31"/>
      <c r="WC77" s="31"/>
      <c r="WD77" s="31"/>
      <c r="WE77" s="31"/>
      <c r="WF77" s="31"/>
      <c r="WG77" s="31"/>
      <c r="WH77" s="31"/>
      <c r="WI77" s="31"/>
      <c r="WJ77" s="31"/>
      <c r="WK77" s="31"/>
      <c r="WL77" s="31"/>
      <c r="WM77" s="31"/>
      <c r="WN77" s="31"/>
      <c r="WO77" s="31"/>
      <c r="WP77" s="31"/>
      <c r="WQ77" s="31"/>
      <c r="WR77" s="31"/>
      <c r="WS77" s="31"/>
      <c r="WT77" s="31"/>
      <c r="WU77" s="31"/>
      <c r="WV77" s="31"/>
      <c r="WW77" s="31"/>
      <c r="WX77" s="31"/>
      <c r="WY77" s="31"/>
      <c r="WZ77" s="31"/>
      <c r="XA77" s="31"/>
      <c r="XB77" s="31"/>
      <c r="XC77" s="31"/>
      <c r="XD77" s="31"/>
      <c r="XE77" s="31"/>
      <c r="XF77" s="31"/>
      <c r="XG77" s="31"/>
      <c r="XH77" s="31"/>
      <c r="XI77" s="31"/>
      <c r="XJ77" s="31"/>
      <c r="XK77" s="31"/>
      <c r="XL77" s="31"/>
      <c r="XM77" s="31"/>
      <c r="XN77" s="31"/>
      <c r="XO77" s="31"/>
      <c r="XP77" s="31"/>
      <c r="XQ77" s="31"/>
      <c r="XR77" s="31"/>
      <c r="XS77" s="31"/>
      <c r="XT77" s="31"/>
      <c r="XU77" s="31"/>
      <c r="XV77" s="31"/>
      <c r="XW77" s="31"/>
      <c r="XX77" s="31"/>
      <c r="XY77" s="31"/>
      <c r="XZ77" s="31"/>
      <c r="YA77" s="31"/>
      <c r="YB77" s="31"/>
      <c r="YC77" s="31"/>
      <c r="YD77" s="31"/>
      <c r="YE77" s="31"/>
      <c r="YF77" s="31"/>
      <c r="YG77" s="31"/>
      <c r="YH77" s="31"/>
      <c r="YI77" s="31"/>
      <c r="YJ77" s="31"/>
      <c r="YK77" s="31"/>
      <c r="YL77" s="31"/>
      <c r="YM77" s="31"/>
      <c r="YN77" s="31"/>
      <c r="YO77" s="31"/>
      <c r="YP77" s="31"/>
      <c r="YQ77" s="31"/>
      <c r="YR77" s="31"/>
      <c r="YS77" s="31"/>
      <c r="YT77" s="31"/>
      <c r="YU77" s="31"/>
      <c r="YV77" s="31"/>
      <c r="YW77" s="31"/>
      <c r="YX77" s="31"/>
      <c r="YY77" s="31"/>
      <c r="YZ77" s="31"/>
      <c r="ZA77" s="31"/>
      <c r="ZB77" s="31"/>
      <c r="ZC77" s="31"/>
      <c r="ZD77" s="31"/>
      <c r="ZE77" s="31"/>
      <c r="ZF77" s="31"/>
      <c r="ZG77" s="31"/>
      <c r="ZH77" s="31"/>
      <c r="ZI77" s="31"/>
      <c r="ZJ77" s="31"/>
      <c r="ZK77" s="31"/>
      <c r="ZL77" s="31"/>
      <c r="ZM77" s="31"/>
      <c r="ZN77" s="31"/>
      <c r="ZO77" s="31"/>
      <c r="ZP77" s="31"/>
      <c r="ZQ77" s="31"/>
      <c r="ZR77" s="31"/>
      <c r="ZS77" s="31"/>
      <c r="ZT77" s="31"/>
      <c r="ZU77" s="31"/>
      <c r="ZV77" s="31"/>
      <c r="ZW77" s="31"/>
      <c r="ZX77" s="31"/>
      <c r="ZY77" s="31"/>
      <c r="ZZ77" s="31"/>
      <c r="AAA77" s="31"/>
      <c r="AAB77" s="31"/>
      <c r="AAC77" s="31"/>
      <c r="AAD77" s="31"/>
      <c r="AAE77" s="31"/>
      <c r="AAF77" s="31"/>
      <c r="AAG77" s="31"/>
      <c r="AAH77" s="31"/>
      <c r="AAI77" s="31"/>
      <c r="AAJ77" s="31"/>
      <c r="AAK77" s="31"/>
      <c r="AAL77" s="31"/>
      <c r="AAM77" s="31"/>
      <c r="AAN77" s="31"/>
      <c r="AAO77" s="31"/>
      <c r="AAP77" s="31"/>
      <c r="AAQ77" s="31"/>
      <c r="AAR77" s="31"/>
      <c r="AAS77" s="31"/>
      <c r="AAT77" s="31"/>
      <c r="AAU77" s="31"/>
      <c r="AAV77" s="31"/>
      <c r="AAW77" s="31"/>
      <c r="AAX77" s="31"/>
      <c r="AAY77" s="31"/>
      <c r="AAZ77" s="31"/>
      <c r="ABA77" s="31"/>
      <c r="ABB77" s="31"/>
      <c r="ABC77" s="31"/>
      <c r="ABD77" s="31"/>
      <c r="ABE77" s="31"/>
      <c r="ABF77" s="31"/>
      <c r="ABG77" s="31"/>
      <c r="ABH77" s="31"/>
      <c r="ABI77" s="31"/>
      <c r="ABJ77" s="31"/>
      <c r="ABK77" s="31"/>
      <c r="ABL77" s="31"/>
      <c r="ABM77" s="31"/>
      <c r="ABN77" s="31"/>
      <c r="ABO77" s="31"/>
      <c r="ABP77" s="31"/>
      <c r="ABQ77" s="31"/>
      <c r="ABR77" s="31"/>
      <c r="ABS77" s="31"/>
      <c r="ABT77" s="31"/>
      <c r="ABU77" s="31"/>
      <c r="ABV77" s="31"/>
      <c r="ABW77" s="31"/>
      <c r="ABX77" s="31"/>
      <c r="ABY77" s="31"/>
      <c r="ABZ77" s="31"/>
      <c r="ACA77" s="31"/>
      <c r="ACB77" s="31"/>
      <c r="ACC77" s="31"/>
      <c r="ACD77" s="31"/>
      <c r="ACE77" s="31"/>
      <c r="ACF77" s="31"/>
      <c r="ACG77" s="31"/>
      <c r="ACH77" s="31"/>
      <c r="ACI77" s="31"/>
      <c r="ACJ77" s="31"/>
      <c r="ACK77" s="31"/>
      <c r="ACL77" s="31"/>
      <c r="ACM77" s="31"/>
      <c r="ACN77" s="31"/>
      <c r="ACO77" s="31"/>
      <c r="ACP77" s="31"/>
      <c r="ACQ77" s="31"/>
      <c r="ACR77" s="31"/>
      <c r="ACS77" s="31"/>
      <c r="ACT77" s="31"/>
      <c r="ACU77" s="31"/>
      <c r="ACV77" s="31"/>
      <c r="ACW77" s="31"/>
      <c r="ACX77" s="31"/>
      <c r="ACY77" s="31"/>
      <c r="ACZ77" s="31"/>
      <c r="ADA77" s="31"/>
      <c r="ADB77" s="31"/>
      <c r="ADC77" s="31"/>
      <c r="ADD77" s="31"/>
      <c r="ADE77" s="31"/>
      <c r="ADF77" s="31"/>
      <c r="ADG77" s="31"/>
      <c r="ADH77" s="31"/>
      <c r="ADI77" s="31"/>
      <c r="ADJ77" s="31"/>
      <c r="ADK77" s="31"/>
      <c r="ADL77" s="31"/>
      <c r="ADM77" s="31"/>
      <c r="ADN77" s="31"/>
      <c r="ADO77" s="31"/>
      <c r="ADP77" s="31"/>
      <c r="ADQ77" s="31"/>
      <c r="ADR77" s="31"/>
      <c r="ADS77" s="31"/>
      <c r="ADT77" s="31"/>
      <c r="ADU77" s="31"/>
      <c r="ADV77" s="31"/>
      <c r="ADW77" s="31"/>
      <c r="ADX77" s="31"/>
      <c r="ADY77" s="31"/>
      <c r="ADZ77" s="31"/>
      <c r="AEA77" s="31"/>
      <c r="AEB77" s="31"/>
      <c r="AEC77" s="31"/>
      <c r="AED77" s="31"/>
      <c r="AEE77" s="31"/>
      <c r="AEF77" s="31"/>
      <c r="AEG77" s="31"/>
      <c r="AEH77" s="31"/>
      <c r="AEI77" s="31"/>
      <c r="AEJ77" s="31"/>
      <c r="AEK77" s="31"/>
      <c r="AEL77" s="31"/>
      <c r="AEM77" s="31"/>
      <c r="AEN77" s="31"/>
      <c r="AEO77" s="31"/>
      <c r="AEP77" s="31"/>
      <c r="AEQ77" s="31"/>
      <c r="AER77" s="31"/>
      <c r="AES77" s="31"/>
      <c r="AET77" s="31"/>
      <c r="AEU77" s="31"/>
      <c r="AEV77" s="31"/>
      <c r="AEW77" s="31"/>
      <c r="AEX77" s="31"/>
      <c r="AEY77" s="31"/>
      <c r="AEZ77" s="31"/>
      <c r="AFA77" s="31"/>
      <c r="AFB77" s="31"/>
      <c r="AFC77" s="31"/>
      <c r="AFD77" s="31"/>
      <c r="AFE77" s="31"/>
      <c r="AFF77" s="31"/>
      <c r="AFG77" s="31"/>
      <c r="AFH77" s="31"/>
      <c r="AFI77" s="31"/>
      <c r="AFJ77" s="31"/>
      <c r="AFK77" s="31"/>
      <c r="AFL77" s="31"/>
      <c r="AFM77" s="31"/>
      <c r="AFN77" s="31"/>
      <c r="AFO77" s="31"/>
      <c r="AFP77" s="31"/>
      <c r="AFQ77" s="31"/>
      <c r="AFR77" s="31"/>
      <c r="AFS77" s="31"/>
      <c r="AFT77" s="31"/>
      <c r="AFU77" s="31"/>
      <c r="AFV77" s="31"/>
      <c r="AFW77" s="31"/>
      <c r="AFX77" s="31"/>
      <c r="AFY77" s="31"/>
      <c r="AFZ77" s="31"/>
      <c r="AGA77" s="31"/>
      <c r="AGB77" s="31"/>
      <c r="AGC77" s="31"/>
      <c r="AGD77" s="31"/>
      <c r="AGE77" s="31"/>
      <c r="AGF77" s="31"/>
      <c r="AGG77" s="31"/>
      <c r="AGH77" s="31"/>
      <c r="AGI77" s="31"/>
      <c r="AGJ77" s="31"/>
      <c r="AGK77" s="31"/>
      <c r="AGL77" s="31"/>
      <c r="AGM77" s="31"/>
      <c r="AGN77" s="31"/>
      <c r="AGO77" s="31"/>
      <c r="AGP77" s="31"/>
      <c r="AGQ77" s="31"/>
      <c r="AGR77" s="31"/>
      <c r="AGS77" s="31"/>
      <c r="AGT77" s="31"/>
      <c r="AGU77" s="31"/>
      <c r="AGV77" s="31"/>
      <c r="AGW77" s="31"/>
      <c r="AGX77" s="31"/>
      <c r="AGY77" s="31"/>
      <c r="AGZ77" s="31"/>
      <c r="AHA77" s="31"/>
      <c r="AHB77" s="31"/>
      <c r="AHC77" s="31"/>
      <c r="AHD77" s="31"/>
      <c r="AHE77" s="31"/>
      <c r="AHF77" s="31"/>
      <c r="AHG77" s="31"/>
      <c r="AHH77" s="31"/>
      <c r="AHI77" s="31"/>
      <c r="AHJ77" s="31"/>
      <c r="AHK77" s="31"/>
      <c r="AHL77" s="31"/>
      <c r="AHM77" s="31"/>
      <c r="AHN77" s="31"/>
      <c r="AHO77" s="31"/>
      <c r="AHP77" s="31"/>
      <c r="AHQ77" s="31"/>
      <c r="AHR77" s="31"/>
      <c r="AHS77" s="31"/>
      <c r="AHT77" s="31"/>
      <c r="AHU77" s="31"/>
      <c r="AHV77" s="31"/>
      <c r="AHW77" s="31"/>
      <c r="AHX77" s="31"/>
      <c r="AHY77" s="31"/>
      <c r="AHZ77" s="31"/>
      <c r="AIA77" s="31"/>
      <c r="AIB77" s="31"/>
      <c r="AIC77" s="31"/>
      <c r="AID77" s="31"/>
      <c r="AIE77" s="31"/>
      <c r="AIF77" s="31"/>
      <c r="AIG77" s="31"/>
      <c r="AIH77" s="31"/>
      <c r="AII77" s="31"/>
      <c r="AIJ77" s="31"/>
      <c r="AIK77" s="31"/>
      <c r="AIL77" s="31"/>
      <c r="AIM77" s="31"/>
      <c r="AIN77" s="31"/>
      <c r="AIO77" s="31"/>
      <c r="AIP77" s="31"/>
      <c r="AIQ77" s="31"/>
      <c r="AIR77" s="31"/>
      <c r="AIS77" s="31"/>
      <c r="AIT77" s="31"/>
      <c r="AIU77" s="31"/>
      <c r="AIV77" s="31"/>
      <c r="AIW77" s="31"/>
      <c r="AIX77" s="31"/>
      <c r="AIY77" s="31"/>
      <c r="AIZ77" s="31"/>
      <c r="AJA77" s="31"/>
      <c r="AJB77" s="31"/>
      <c r="AJC77" s="31"/>
      <c r="AJD77" s="31"/>
      <c r="AJE77" s="31"/>
      <c r="AJF77" s="31"/>
      <c r="AJG77" s="31"/>
      <c r="AJH77" s="31"/>
      <c r="AJI77" s="31"/>
      <c r="AJJ77" s="31"/>
      <c r="AJK77" s="31"/>
      <c r="AJL77" s="31"/>
      <c r="AJM77" s="31"/>
      <c r="AJN77" s="31"/>
      <c r="AJO77" s="31"/>
      <c r="AJP77" s="31"/>
      <c r="AJQ77" s="31"/>
      <c r="AJR77" s="31"/>
      <c r="AJS77" s="31"/>
      <c r="AJT77" s="31"/>
      <c r="AJU77" s="31"/>
      <c r="AJV77" s="31"/>
      <c r="AJW77" s="31"/>
      <c r="AJX77" s="31"/>
      <c r="AJY77" s="31"/>
      <c r="AJZ77" s="31"/>
      <c r="AKA77" s="31"/>
      <c r="AKB77" s="31"/>
      <c r="AKC77" s="31"/>
      <c r="AKD77" s="31"/>
      <c r="AKE77" s="31"/>
      <c r="AKF77" s="31"/>
      <c r="AKG77" s="31"/>
      <c r="AKH77" s="31"/>
      <c r="AKI77" s="31"/>
      <c r="AKJ77" s="31"/>
      <c r="AKK77" s="31"/>
      <c r="AKL77" s="31"/>
      <c r="AKM77" s="31"/>
      <c r="AKN77" s="31"/>
      <c r="AKO77" s="31"/>
    </row>
    <row r="78" spans="1:977" s="236" customFormat="1" ht="14.25" customHeight="1">
      <c r="A78" s="31" t="s">
        <v>272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/>
      <c r="OC78" s="31"/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  <c r="OP78" s="31"/>
      <c r="OQ78" s="31"/>
      <c r="OR78" s="31"/>
      <c r="OS78" s="31"/>
      <c r="OT78" s="31"/>
      <c r="OU78" s="31"/>
      <c r="OV78" s="31"/>
      <c r="OW78" s="31"/>
      <c r="OX78" s="31"/>
      <c r="OY78" s="31"/>
      <c r="OZ78" s="31"/>
      <c r="PA78" s="31"/>
      <c r="PB78" s="31"/>
      <c r="PC78" s="31"/>
      <c r="PD78" s="31"/>
      <c r="PE78" s="31"/>
      <c r="PF78" s="31"/>
      <c r="PG78" s="31"/>
      <c r="PH78" s="31"/>
      <c r="PI78" s="31"/>
      <c r="PJ78" s="31"/>
      <c r="PK78" s="31"/>
      <c r="PL78" s="31"/>
      <c r="PM78" s="31"/>
      <c r="PN78" s="31"/>
      <c r="PO78" s="31"/>
      <c r="PP78" s="31"/>
      <c r="PQ78" s="31"/>
      <c r="PR78" s="31"/>
      <c r="PS78" s="31"/>
      <c r="PT78" s="31"/>
      <c r="PU78" s="31"/>
      <c r="PV78" s="31"/>
      <c r="PW78" s="31"/>
      <c r="PX78" s="31"/>
      <c r="PY78" s="31"/>
      <c r="PZ78" s="31"/>
      <c r="QA78" s="31"/>
      <c r="QB78" s="31"/>
      <c r="QC78" s="31"/>
      <c r="QD78" s="31"/>
      <c r="QE78" s="31"/>
      <c r="QF78" s="31"/>
      <c r="QG78" s="31"/>
      <c r="QH78" s="31"/>
      <c r="QI78" s="31"/>
      <c r="QJ78" s="31"/>
      <c r="QK78" s="31"/>
      <c r="QL78" s="31"/>
      <c r="QM78" s="31"/>
      <c r="QN78" s="31"/>
      <c r="QO78" s="31"/>
      <c r="QP78" s="31"/>
      <c r="QQ78" s="31"/>
      <c r="QR78" s="31"/>
      <c r="QS78" s="31"/>
      <c r="QT78" s="31"/>
      <c r="QU78" s="31"/>
      <c r="QV78" s="31"/>
      <c r="QW78" s="31"/>
      <c r="QX78" s="31"/>
      <c r="QY78" s="31"/>
      <c r="QZ78" s="31"/>
      <c r="RA78" s="31"/>
      <c r="RB78" s="31"/>
      <c r="RC78" s="31"/>
      <c r="RD78" s="31"/>
      <c r="RE78" s="31"/>
      <c r="RF78" s="31"/>
      <c r="RG78" s="31"/>
      <c r="RH78" s="31"/>
      <c r="RI78" s="31"/>
      <c r="RJ78" s="31"/>
      <c r="RK78" s="31"/>
      <c r="RL78" s="31"/>
      <c r="RM78" s="31"/>
      <c r="RN78" s="31"/>
      <c r="RO78" s="31"/>
      <c r="RP78" s="31"/>
      <c r="RQ78" s="31"/>
      <c r="RR78" s="31"/>
      <c r="RS78" s="31"/>
      <c r="RT78" s="31"/>
      <c r="RU78" s="31"/>
      <c r="RV78" s="31"/>
      <c r="RW78" s="31"/>
      <c r="RX78" s="31"/>
      <c r="RY78" s="31"/>
      <c r="RZ78" s="31"/>
      <c r="SA78" s="31"/>
      <c r="SB78" s="31"/>
      <c r="SC78" s="31"/>
      <c r="SD78" s="31"/>
      <c r="SE78" s="31"/>
      <c r="SF78" s="31"/>
      <c r="SG78" s="31"/>
      <c r="SH78" s="31"/>
      <c r="SI78" s="31"/>
      <c r="SJ78" s="31"/>
      <c r="SK78" s="31"/>
      <c r="SL78" s="31"/>
      <c r="SM78" s="31"/>
      <c r="SN78" s="31"/>
      <c r="SO78" s="31"/>
      <c r="SP78" s="31"/>
      <c r="SQ78" s="31"/>
      <c r="SR78" s="31"/>
      <c r="SS78" s="31"/>
      <c r="ST78" s="31"/>
      <c r="SU78" s="31"/>
      <c r="SV78" s="31"/>
      <c r="SW78" s="31"/>
      <c r="SX78" s="31"/>
      <c r="SY78" s="31"/>
      <c r="SZ78" s="31"/>
      <c r="TA78" s="31"/>
      <c r="TB78" s="31"/>
      <c r="TC78" s="31"/>
      <c r="TD78" s="31"/>
      <c r="TE78" s="31"/>
      <c r="TF78" s="31"/>
      <c r="TG78" s="31"/>
      <c r="TH78" s="31"/>
      <c r="TI78" s="31"/>
      <c r="TJ78" s="31"/>
      <c r="TK78" s="31"/>
      <c r="TL78" s="31"/>
      <c r="TM78" s="31"/>
      <c r="TN78" s="31"/>
      <c r="TO78" s="31"/>
      <c r="TP78" s="31"/>
      <c r="TQ78" s="31"/>
      <c r="TR78" s="31"/>
      <c r="TS78" s="31"/>
      <c r="TT78" s="31"/>
      <c r="TU78" s="31"/>
      <c r="TV78" s="31"/>
      <c r="TW78" s="31"/>
      <c r="TX78" s="31"/>
      <c r="TY78" s="31"/>
      <c r="TZ78" s="31"/>
      <c r="UA78" s="31"/>
      <c r="UB78" s="31"/>
      <c r="UC78" s="31"/>
      <c r="UD78" s="31"/>
      <c r="UE78" s="31"/>
      <c r="UF78" s="31"/>
      <c r="UG78" s="31"/>
      <c r="UH78" s="31"/>
      <c r="UI78" s="31"/>
      <c r="UJ78" s="31"/>
      <c r="UK78" s="31"/>
      <c r="UL78" s="31"/>
      <c r="UM78" s="31"/>
      <c r="UN78" s="31"/>
      <c r="UO78" s="31"/>
      <c r="UP78" s="31"/>
      <c r="UQ78" s="31"/>
      <c r="UR78" s="31"/>
      <c r="US78" s="31"/>
      <c r="UT78" s="31"/>
      <c r="UU78" s="31"/>
      <c r="UV78" s="31"/>
      <c r="UW78" s="31"/>
      <c r="UX78" s="31"/>
      <c r="UY78" s="31"/>
      <c r="UZ78" s="31"/>
      <c r="VA78" s="31"/>
      <c r="VB78" s="31"/>
      <c r="VC78" s="31"/>
      <c r="VD78" s="31"/>
      <c r="VE78" s="31"/>
      <c r="VF78" s="31"/>
      <c r="VG78" s="31"/>
      <c r="VH78" s="31"/>
      <c r="VI78" s="31"/>
      <c r="VJ78" s="31"/>
      <c r="VK78" s="31"/>
      <c r="VL78" s="31"/>
      <c r="VM78" s="31"/>
      <c r="VN78" s="31"/>
      <c r="VO78" s="31"/>
      <c r="VP78" s="31"/>
      <c r="VQ78" s="31"/>
      <c r="VR78" s="31"/>
      <c r="VS78" s="31"/>
      <c r="VT78" s="31"/>
      <c r="VU78" s="31"/>
      <c r="VV78" s="31"/>
      <c r="VW78" s="31"/>
      <c r="VX78" s="31"/>
      <c r="VY78" s="31"/>
      <c r="VZ78" s="31"/>
      <c r="WA78" s="31"/>
      <c r="WB78" s="31"/>
      <c r="WC78" s="31"/>
      <c r="WD78" s="31"/>
      <c r="WE78" s="31"/>
      <c r="WF78" s="31"/>
      <c r="WG78" s="31"/>
      <c r="WH78" s="31"/>
      <c r="WI78" s="31"/>
      <c r="WJ78" s="31"/>
      <c r="WK78" s="31"/>
      <c r="WL78" s="31"/>
      <c r="WM78" s="31"/>
      <c r="WN78" s="31"/>
      <c r="WO78" s="31"/>
      <c r="WP78" s="31"/>
      <c r="WQ78" s="31"/>
      <c r="WR78" s="31"/>
      <c r="WS78" s="31"/>
      <c r="WT78" s="31"/>
      <c r="WU78" s="31"/>
      <c r="WV78" s="31"/>
      <c r="WW78" s="31"/>
      <c r="WX78" s="31"/>
      <c r="WY78" s="31"/>
      <c r="WZ78" s="31"/>
      <c r="XA78" s="31"/>
      <c r="XB78" s="31"/>
      <c r="XC78" s="31"/>
      <c r="XD78" s="31"/>
      <c r="XE78" s="31"/>
      <c r="XF78" s="31"/>
      <c r="XG78" s="31"/>
      <c r="XH78" s="31"/>
      <c r="XI78" s="31"/>
      <c r="XJ78" s="31"/>
      <c r="XK78" s="31"/>
      <c r="XL78" s="31"/>
      <c r="XM78" s="31"/>
      <c r="XN78" s="31"/>
      <c r="XO78" s="31"/>
      <c r="XP78" s="31"/>
      <c r="XQ78" s="31"/>
      <c r="XR78" s="31"/>
      <c r="XS78" s="31"/>
      <c r="XT78" s="31"/>
      <c r="XU78" s="31"/>
      <c r="XV78" s="31"/>
      <c r="XW78" s="31"/>
      <c r="XX78" s="31"/>
      <c r="XY78" s="31"/>
      <c r="XZ78" s="31"/>
      <c r="YA78" s="31"/>
      <c r="YB78" s="31"/>
      <c r="YC78" s="31"/>
      <c r="YD78" s="31"/>
      <c r="YE78" s="31"/>
      <c r="YF78" s="31"/>
      <c r="YG78" s="31"/>
      <c r="YH78" s="31"/>
      <c r="YI78" s="31"/>
      <c r="YJ78" s="31"/>
      <c r="YK78" s="31"/>
      <c r="YL78" s="31"/>
      <c r="YM78" s="31"/>
      <c r="YN78" s="31"/>
      <c r="YO78" s="31"/>
      <c r="YP78" s="31"/>
      <c r="YQ78" s="31"/>
      <c r="YR78" s="31"/>
      <c r="YS78" s="31"/>
      <c r="YT78" s="31"/>
      <c r="YU78" s="31"/>
      <c r="YV78" s="31"/>
      <c r="YW78" s="31"/>
      <c r="YX78" s="31"/>
      <c r="YY78" s="31"/>
      <c r="YZ78" s="31"/>
      <c r="ZA78" s="31"/>
      <c r="ZB78" s="31"/>
      <c r="ZC78" s="31"/>
      <c r="ZD78" s="31"/>
      <c r="ZE78" s="31"/>
      <c r="ZF78" s="31"/>
      <c r="ZG78" s="31"/>
      <c r="ZH78" s="31"/>
      <c r="ZI78" s="31"/>
      <c r="ZJ78" s="31"/>
      <c r="ZK78" s="31"/>
      <c r="ZL78" s="31"/>
      <c r="ZM78" s="31"/>
      <c r="ZN78" s="31"/>
      <c r="ZO78" s="31"/>
      <c r="ZP78" s="31"/>
      <c r="ZQ78" s="31"/>
      <c r="ZR78" s="31"/>
      <c r="ZS78" s="31"/>
      <c r="ZT78" s="31"/>
      <c r="ZU78" s="31"/>
      <c r="ZV78" s="31"/>
      <c r="ZW78" s="31"/>
      <c r="ZX78" s="31"/>
      <c r="ZY78" s="31"/>
      <c r="ZZ78" s="31"/>
      <c r="AAA78" s="31"/>
      <c r="AAB78" s="31"/>
      <c r="AAC78" s="31"/>
      <c r="AAD78" s="31"/>
      <c r="AAE78" s="31"/>
      <c r="AAF78" s="31"/>
      <c r="AAG78" s="31"/>
      <c r="AAH78" s="31"/>
      <c r="AAI78" s="31"/>
      <c r="AAJ78" s="31"/>
      <c r="AAK78" s="31"/>
      <c r="AAL78" s="31"/>
      <c r="AAM78" s="31"/>
      <c r="AAN78" s="31"/>
      <c r="AAO78" s="31"/>
      <c r="AAP78" s="31"/>
      <c r="AAQ78" s="31"/>
      <c r="AAR78" s="31"/>
      <c r="AAS78" s="31"/>
      <c r="AAT78" s="31"/>
      <c r="AAU78" s="31"/>
      <c r="AAV78" s="31"/>
      <c r="AAW78" s="31"/>
      <c r="AAX78" s="31"/>
      <c r="AAY78" s="31"/>
      <c r="AAZ78" s="31"/>
      <c r="ABA78" s="31"/>
      <c r="ABB78" s="31"/>
      <c r="ABC78" s="31"/>
      <c r="ABD78" s="31"/>
      <c r="ABE78" s="31"/>
      <c r="ABF78" s="31"/>
      <c r="ABG78" s="31"/>
      <c r="ABH78" s="31"/>
      <c r="ABI78" s="31"/>
      <c r="ABJ78" s="31"/>
      <c r="ABK78" s="31"/>
      <c r="ABL78" s="31"/>
      <c r="ABM78" s="31"/>
      <c r="ABN78" s="31"/>
      <c r="ABO78" s="31"/>
      <c r="ABP78" s="31"/>
      <c r="ABQ78" s="31"/>
      <c r="ABR78" s="31"/>
      <c r="ABS78" s="31"/>
      <c r="ABT78" s="31"/>
      <c r="ABU78" s="31"/>
      <c r="ABV78" s="31"/>
      <c r="ABW78" s="31"/>
      <c r="ABX78" s="31"/>
      <c r="ABY78" s="31"/>
      <c r="ABZ78" s="31"/>
      <c r="ACA78" s="31"/>
      <c r="ACB78" s="31"/>
      <c r="ACC78" s="31"/>
      <c r="ACD78" s="31"/>
      <c r="ACE78" s="31"/>
      <c r="ACF78" s="31"/>
      <c r="ACG78" s="31"/>
      <c r="ACH78" s="31"/>
      <c r="ACI78" s="31"/>
      <c r="ACJ78" s="31"/>
      <c r="ACK78" s="31"/>
      <c r="ACL78" s="31"/>
      <c r="ACM78" s="31"/>
      <c r="ACN78" s="31"/>
      <c r="ACO78" s="31"/>
      <c r="ACP78" s="31"/>
      <c r="ACQ78" s="31"/>
      <c r="ACR78" s="31"/>
      <c r="ACS78" s="31"/>
      <c r="ACT78" s="31"/>
      <c r="ACU78" s="31"/>
      <c r="ACV78" s="31"/>
      <c r="ACW78" s="31"/>
      <c r="ACX78" s="31"/>
      <c r="ACY78" s="31"/>
      <c r="ACZ78" s="31"/>
      <c r="ADA78" s="31"/>
      <c r="ADB78" s="31"/>
      <c r="ADC78" s="31"/>
      <c r="ADD78" s="31"/>
      <c r="ADE78" s="31"/>
      <c r="ADF78" s="31"/>
      <c r="ADG78" s="31"/>
      <c r="ADH78" s="31"/>
      <c r="ADI78" s="31"/>
      <c r="ADJ78" s="31"/>
      <c r="ADK78" s="31"/>
      <c r="ADL78" s="31"/>
      <c r="ADM78" s="31"/>
      <c r="ADN78" s="31"/>
      <c r="ADO78" s="31"/>
      <c r="ADP78" s="31"/>
      <c r="ADQ78" s="31"/>
      <c r="ADR78" s="31"/>
      <c r="ADS78" s="31"/>
      <c r="ADT78" s="31"/>
      <c r="ADU78" s="31"/>
      <c r="ADV78" s="31"/>
      <c r="ADW78" s="31"/>
      <c r="ADX78" s="31"/>
      <c r="ADY78" s="31"/>
      <c r="ADZ78" s="31"/>
      <c r="AEA78" s="31"/>
      <c r="AEB78" s="31"/>
      <c r="AEC78" s="31"/>
      <c r="AED78" s="31"/>
      <c r="AEE78" s="31"/>
      <c r="AEF78" s="31"/>
      <c r="AEG78" s="31"/>
      <c r="AEH78" s="31"/>
      <c r="AEI78" s="31"/>
      <c r="AEJ78" s="31"/>
      <c r="AEK78" s="31"/>
      <c r="AEL78" s="31"/>
      <c r="AEM78" s="31"/>
      <c r="AEN78" s="31"/>
      <c r="AEO78" s="31"/>
      <c r="AEP78" s="31"/>
      <c r="AEQ78" s="31"/>
      <c r="AER78" s="31"/>
      <c r="AES78" s="31"/>
      <c r="AET78" s="31"/>
      <c r="AEU78" s="31"/>
      <c r="AEV78" s="31"/>
      <c r="AEW78" s="31"/>
      <c r="AEX78" s="31"/>
      <c r="AEY78" s="31"/>
      <c r="AEZ78" s="31"/>
      <c r="AFA78" s="31"/>
      <c r="AFB78" s="31"/>
      <c r="AFC78" s="31"/>
      <c r="AFD78" s="31"/>
      <c r="AFE78" s="31"/>
      <c r="AFF78" s="31"/>
      <c r="AFG78" s="31"/>
      <c r="AFH78" s="31"/>
      <c r="AFI78" s="31"/>
      <c r="AFJ78" s="31"/>
      <c r="AFK78" s="31"/>
      <c r="AFL78" s="31"/>
      <c r="AFM78" s="31"/>
      <c r="AFN78" s="31"/>
      <c r="AFO78" s="31"/>
      <c r="AFP78" s="31"/>
      <c r="AFQ78" s="31"/>
      <c r="AFR78" s="31"/>
      <c r="AFS78" s="31"/>
      <c r="AFT78" s="31"/>
      <c r="AFU78" s="31"/>
      <c r="AFV78" s="31"/>
      <c r="AFW78" s="31"/>
      <c r="AFX78" s="31"/>
      <c r="AFY78" s="31"/>
      <c r="AFZ78" s="31"/>
      <c r="AGA78" s="31"/>
      <c r="AGB78" s="31"/>
      <c r="AGC78" s="31"/>
      <c r="AGD78" s="31"/>
      <c r="AGE78" s="31"/>
      <c r="AGF78" s="31"/>
      <c r="AGG78" s="31"/>
      <c r="AGH78" s="31"/>
      <c r="AGI78" s="31"/>
      <c r="AGJ78" s="31"/>
      <c r="AGK78" s="31"/>
      <c r="AGL78" s="31"/>
      <c r="AGM78" s="31"/>
      <c r="AGN78" s="31"/>
      <c r="AGO78" s="31"/>
      <c r="AGP78" s="31"/>
      <c r="AGQ78" s="31"/>
      <c r="AGR78" s="31"/>
      <c r="AGS78" s="31"/>
      <c r="AGT78" s="31"/>
      <c r="AGU78" s="31"/>
      <c r="AGV78" s="31"/>
      <c r="AGW78" s="31"/>
      <c r="AGX78" s="31"/>
      <c r="AGY78" s="31"/>
      <c r="AGZ78" s="31"/>
      <c r="AHA78" s="31"/>
      <c r="AHB78" s="31"/>
      <c r="AHC78" s="31"/>
      <c r="AHD78" s="31"/>
      <c r="AHE78" s="31"/>
      <c r="AHF78" s="31"/>
      <c r="AHG78" s="31"/>
      <c r="AHH78" s="31"/>
      <c r="AHI78" s="31"/>
      <c r="AHJ78" s="31"/>
      <c r="AHK78" s="31"/>
      <c r="AHL78" s="31"/>
      <c r="AHM78" s="31"/>
      <c r="AHN78" s="31"/>
      <c r="AHO78" s="31"/>
      <c r="AHP78" s="31"/>
      <c r="AHQ78" s="31"/>
      <c r="AHR78" s="31"/>
      <c r="AHS78" s="31"/>
      <c r="AHT78" s="31"/>
      <c r="AHU78" s="31"/>
      <c r="AHV78" s="31"/>
      <c r="AHW78" s="31"/>
      <c r="AHX78" s="31"/>
      <c r="AHY78" s="31"/>
      <c r="AHZ78" s="31"/>
      <c r="AIA78" s="31"/>
      <c r="AIB78" s="31"/>
      <c r="AIC78" s="31"/>
      <c r="AID78" s="31"/>
      <c r="AIE78" s="31"/>
      <c r="AIF78" s="31"/>
      <c r="AIG78" s="31"/>
      <c r="AIH78" s="31"/>
      <c r="AII78" s="31"/>
      <c r="AIJ78" s="31"/>
      <c r="AIK78" s="31"/>
      <c r="AIL78" s="31"/>
      <c r="AIM78" s="31"/>
      <c r="AIN78" s="31"/>
      <c r="AIO78" s="31"/>
      <c r="AIP78" s="31"/>
      <c r="AIQ78" s="31"/>
      <c r="AIR78" s="31"/>
      <c r="AIS78" s="31"/>
      <c r="AIT78" s="31"/>
      <c r="AIU78" s="31"/>
      <c r="AIV78" s="31"/>
      <c r="AIW78" s="31"/>
      <c r="AIX78" s="31"/>
      <c r="AIY78" s="31"/>
      <c r="AIZ78" s="31"/>
      <c r="AJA78" s="31"/>
      <c r="AJB78" s="31"/>
      <c r="AJC78" s="31"/>
      <c r="AJD78" s="31"/>
      <c r="AJE78" s="31"/>
      <c r="AJF78" s="31"/>
      <c r="AJG78" s="31"/>
      <c r="AJH78" s="31"/>
      <c r="AJI78" s="31"/>
      <c r="AJJ78" s="31"/>
      <c r="AJK78" s="31"/>
      <c r="AJL78" s="31"/>
      <c r="AJM78" s="31"/>
      <c r="AJN78" s="31"/>
      <c r="AJO78" s="31"/>
      <c r="AJP78" s="31"/>
      <c r="AJQ78" s="31"/>
      <c r="AJR78" s="31"/>
      <c r="AJS78" s="31"/>
      <c r="AJT78" s="31"/>
      <c r="AJU78" s="31"/>
      <c r="AJV78" s="31"/>
      <c r="AJW78" s="31"/>
      <c r="AJX78" s="31"/>
      <c r="AJY78" s="31"/>
      <c r="AJZ78" s="31"/>
      <c r="AKA78" s="31"/>
      <c r="AKB78" s="31"/>
      <c r="AKC78" s="31"/>
      <c r="AKD78" s="31"/>
      <c r="AKE78" s="31"/>
      <c r="AKF78" s="31"/>
      <c r="AKG78" s="31"/>
      <c r="AKH78" s="31"/>
      <c r="AKI78" s="31"/>
      <c r="AKJ78" s="31"/>
      <c r="AKK78" s="31"/>
      <c r="AKL78" s="31"/>
      <c r="AKM78" s="31"/>
      <c r="AKN78" s="31"/>
      <c r="AKO78" s="31"/>
    </row>
    <row r="79" spans="1:977" s="236" customFormat="1" ht="14.25" customHeight="1">
      <c r="A79" s="31" t="s">
        <v>273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  <c r="NJ79" s="31"/>
      <c r="NK79" s="31"/>
      <c r="NL79" s="31"/>
      <c r="NM79" s="31"/>
      <c r="NN79" s="31"/>
      <c r="NO79" s="31"/>
      <c r="NP79" s="31"/>
      <c r="NQ79" s="31"/>
      <c r="NR79" s="31"/>
      <c r="NS79" s="31"/>
      <c r="NT79" s="31"/>
      <c r="NU79" s="31"/>
      <c r="NV79" s="31"/>
      <c r="NW79" s="31"/>
      <c r="NX79" s="31"/>
      <c r="NY79" s="31"/>
      <c r="NZ79" s="31"/>
      <c r="OA79" s="31"/>
      <c r="OB79" s="31"/>
      <c r="OC79" s="31"/>
      <c r="OD79" s="31"/>
      <c r="OE79" s="31"/>
      <c r="OF79" s="31"/>
      <c r="OG79" s="31"/>
      <c r="OH79" s="31"/>
      <c r="OI79" s="31"/>
      <c r="OJ79" s="31"/>
      <c r="OK79" s="31"/>
      <c r="OL79" s="31"/>
      <c r="OM79" s="31"/>
      <c r="ON79" s="31"/>
      <c r="OO79" s="31"/>
      <c r="OP79" s="31"/>
      <c r="OQ79" s="31"/>
      <c r="OR79" s="31"/>
      <c r="OS79" s="31"/>
      <c r="OT79" s="31"/>
      <c r="OU79" s="31"/>
      <c r="OV79" s="31"/>
      <c r="OW79" s="31"/>
      <c r="OX79" s="31"/>
      <c r="OY79" s="31"/>
      <c r="OZ79" s="31"/>
      <c r="PA79" s="31"/>
      <c r="PB79" s="31"/>
      <c r="PC79" s="31"/>
      <c r="PD79" s="31"/>
      <c r="PE79" s="31"/>
      <c r="PF79" s="31"/>
      <c r="PG79" s="31"/>
      <c r="PH79" s="31"/>
      <c r="PI79" s="31"/>
      <c r="PJ79" s="31"/>
      <c r="PK79" s="31"/>
      <c r="PL79" s="31"/>
      <c r="PM79" s="31"/>
      <c r="PN79" s="31"/>
      <c r="PO79" s="31"/>
      <c r="PP79" s="31"/>
      <c r="PQ79" s="31"/>
      <c r="PR79" s="31"/>
      <c r="PS79" s="31"/>
      <c r="PT79" s="31"/>
      <c r="PU79" s="31"/>
      <c r="PV79" s="31"/>
      <c r="PW79" s="31"/>
      <c r="PX79" s="31"/>
      <c r="PY79" s="31"/>
      <c r="PZ79" s="31"/>
      <c r="QA79" s="31"/>
      <c r="QB79" s="31"/>
      <c r="QC79" s="31"/>
      <c r="QD79" s="31"/>
      <c r="QE79" s="31"/>
      <c r="QF79" s="31"/>
      <c r="QG79" s="31"/>
      <c r="QH79" s="31"/>
      <c r="QI79" s="31"/>
      <c r="QJ79" s="31"/>
      <c r="QK79" s="31"/>
      <c r="QL79" s="31"/>
      <c r="QM79" s="31"/>
      <c r="QN79" s="31"/>
      <c r="QO79" s="31"/>
      <c r="QP79" s="31"/>
      <c r="QQ79" s="31"/>
      <c r="QR79" s="31"/>
      <c r="QS79" s="31"/>
      <c r="QT79" s="31"/>
      <c r="QU79" s="31"/>
      <c r="QV79" s="31"/>
      <c r="QW79" s="31"/>
      <c r="QX79" s="31"/>
      <c r="QY79" s="31"/>
      <c r="QZ79" s="31"/>
      <c r="RA79" s="31"/>
      <c r="RB79" s="31"/>
      <c r="RC79" s="31"/>
      <c r="RD79" s="31"/>
      <c r="RE79" s="31"/>
      <c r="RF79" s="31"/>
      <c r="RG79" s="31"/>
      <c r="RH79" s="31"/>
      <c r="RI79" s="31"/>
      <c r="RJ79" s="31"/>
      <c r="RK79" s="31"/>
      <c r="RL79" s="31"/>
      <c r="RM79" s="31"/>
      <c r="RN79" s="31"/>
      <c r="RO79" s="31"/>
      <c r="RP79" s="31"/>
      <c r="RQ79" s="31"/>
      <c r="RR79" s="31"/>
      <c r="RS79" s="31"/>
      <c r="RT79" s="31"/>
      <c r="RU79" s="31"/>
      <c r="RV79" s="31"/>
      <c r="RW79" s="31"/>
      <c r="RX79" s="31"/>
      <c r="RY79" s="31"/>
      <c r="RZ79" s="31"/>
      <c r="SA79" s="31"/>
      <c r="SB79" s="31"/>
      <c r="SC79" s="31"/>
      <c r="SD79" s="31"/>
      <c r="SE79" s="31"/>
      <c r="SF79" s="31"/>
      <c r="SG79" s="31"/>
      <c r="SH79" s="31"/>
      <c r="SI79" s="31"/>
      <c r="SJ79" s="31"/>
      <c r="SK79" s="31"/>
      <c r="SL79" s="31"/>
      <c r="SM79" s="31"/>
      <c r="SN79" s="31"/>
      <c r="SO79" s="31"/>
      <c r="SP79" s="31"/>
      <c r="SQ79" s="31"/>
      <c r="SR79" s="31"/>
      <c r="SS79" s="31"/>
      <c r="ST79" s="31"/>
      <c r="SU79" s="31"/>
      <c r="SV79" s="31"/>
      <c r="SW79" s="31"/>
      <c r="SX79" s="31"/>
      <c r="SY79" s="31"/>
      <c r="SZ79" s="31"/>
      <c r="TA79" s="31"/>
      <c r="TB79" s="31"/>
      <c r="TC79" s="31"/>
      <c r="TD79" s="31"/>
      <c r="TE79" s="31"/>
      <c r="TF79" s="31"/>
      <c r="TG79" s="31"/>
      <c r="TH79" s="31"/>
      <c r="TI79" s="31"/>
      <c r="TJ79" s="31"/>
      <c r="TK79" s="31"/>
      <c r="TL79" s="31"/>
      <c r="TM79" s="31"/>
      <c r="TN79" s="31"/>
      <c r="TO79" s="31"/>
      <c r="TP79" s="31"/>
      <c r="TQ79" s="31"/>
      <c r="TR79" s="31"/>
      <c r="TS79" s="31"/>
      <c r="TT79" s="31"/>
      <c r="TU79" s="31"/>
      <c r="TV79" s="31"/>
      <c r="TW79" s="31"/>
      <c r="TX79" s="31"/>
      <c r="TY79" s="31"/>
      <c r="TZ79" s="31"/>
      <c r="UA79" s="31"/>
      <c r="UB79" s="31"/>
      <c r="UC79" s="31"/>
      <c r="UD79" s="31"/>
      <c r="UE79" s="31"/>
      <c r="UF79" s="31"/>
      <c r="UG79" s="31"/>
      <c r="UH79" s="31"/>
      <c r="UI79" s="31"/>
      <c r="UJ79" s="31"/>
      <c r="UK79" s="31"/>
      <c r="UL79" s="31"/>
      <c r="UM79" s="31"/>
      <c r="UN79" s="31"/>
      <c r="UO79" s="31"/>
      <c r="UP79" s="31"/>
      <c r="UQ79" s="31"/>
      <c r="UR79" s="31"/>
      <c r="US79" s="31"/>
      <c r="UT79" s="31"/>
      <c r="UU79" s="31"/>
      <c r="UV79" s="31"/>
      <c r="UW79" s="31"/>
      <c r="UX79" s="31"/>
      <c r="UY79" s="31"/>
      <c r="UZ79" s="31"/>
      <c r="VA79" s="31"/>
      <c r="VB79" s="31"/>
      <c r="VC79" s="31"/>
      <c r="VD79" s="31"/>
      <c r="VE79" s="31"/>
      <c r="VF79" s="31"/>
      <c r="VG79" s="31"/>
      <c r="VH79" s="31"/>
      <c r="VI79" s="31"/>
      <c r="VJ79" s="31"/>
      <c r="VK79" s="31"/>
      <c r="VL79" s="31"/>
      <c r="VM79" s="31"/>
      <c r="VN79" s="31"/>
      <c r="VO79" s="31"/>
      <c r="VP79" s="31"/>
      <c r="VQ79" s="31"/>
      <c r="VR79" s="31"/>
      <c r="VS79" s="31"/>
      <c r="VT79" s="31"/>
      <c r="VU79" s="31"/>
      <c r="VV79" s="31"/>
      <c r="VW79" s="31"/>
      <c r="VX79" s="31"/>
      <c r="VY79" s="31"/>
      <c r="VZ79" s="31"/>
      <c r="WA79" s="31"/>
      <c r="WB79" s="31"/>
      <c r="WC79" s="31"/>
      <c r="WD79" s="31"/>
      <c r="WE79" s="31"/>
      <c r="WF79" s="31"/>
      <c r="WG79" s="31"/>
      <c r="WH79" s="31"/>
      <c r="WI79" s="31"/>
      <c r="WJ79" s="31"/>
      <c r="WK79" s="31"/>
      <c r="WL79" s="31"/>
      <c r="WM79" s="31"/>
      <c r="WN79" s="31"/>
      <c r="WO79" s="31"/>
      <c r="WP79" s="31"/>
      <c r="WQ79" s="31"/>
      <c r="WR79" s="31"/>
      <c r="WS79" s="31"/>
      <c r="WT79" s="31"/>
      <c r="WU79" s="31"/>
      <c r="WV79" s="31"/>
      <c r="WW79" s="31"/>
      <c r="WX79" s="31"/>
      <c r="WY79" s="31"/>
      <c r="WZ79" s="31"/>
      <c r="XA79" s="31"/>
      <c r="XB79" s="31"/>
      <c r="XC79" s="31"/>
      <c r="XD79" s="31"/>
      <c r="XE79" s="31"/>
      <c r="XF79" s="31"/>
      <c r="XG79" s="31"/>
      <c r="XH79" s="31"/>
      <c r="XI79" s="31"/>
      <c r="XJ79" s="31"/>
      <c r="XK79" s="31"/>
      <c r="XL79" s="31"/>
      <c r="XM79" s="31"/>
      <c r="XN79" s="31"/>
      <c r="XO79" s="31"/>
      <c r="XP79" s="31"/>
      <c r="XQ79" s="31"/>
      <c r="XR79" s="31"/>
      <c r="XS79" s="31"/>
      <c r="XT79" s="31"/>
      <c r="XU79" s="31"/>
      <c r="XV79" s="31"/>
      <c r="XW79" s="31"/>
      <c r="XX79" s="31"/>
      <c r="XY79" s="31"/>
      <c r="XZ79" s="31"/>
      <c r="YA79" s="31"/>
      <c r="YB79" s="31"/>
      <c r="YC79" s="31"/>
      <c r="YD79" s="31"/>
      <c r="YE79" s="31"/>
      <c r="YF79" s="31"/>
      <c r="YG79" s="31"/>
      <c r="YH79" s="31"/>
      <c r="YI79" s="31"/>
      <c r="YJ79" s="31"/>
      <c r="YK79" s="31"/>
      <c r="YL79" s="31"/>
      <c r="YM79" s="31"/>
      <c r="YN79" s="31"/>
      <c r="YO79" s="31"/>
      <c r="YP79" s="31"/>
      <c r="YQ79" s="31"/>
      <c r="YR79" s="31"/>
      <c r="YS79" s="31"/>
      <c r="YT79" s="31"/>
      <c r="YU79" s="31"/>
      <c r="YV79" s="31"/>
      <c r="YW79" s="31"/>
      <c r="YX79" s="31"/>
      <c r="YY79" s="31"/>
      <c r="YZ79" s="31"/>
      <c r="ZA79" s="31"/>
      <c r="ZB79" s="31"/>
      <c r="ZC79" s="31"/>
      <c r="ZD79" s="31"/>
      <c r="ZE79" s="31"/>
      <c r="ZF79" s="31"/>
      <c r="ZG79" s="31"/>
      <c r="ZH79" s="31"/>
      <c r="ZI79" s="31"/>
      <c r="ZJ79" s="31"/>
      <c r="ZK79" s="31"/>
      <c r="ZL79" s="31"/>
      <c r="ZM79" s="31"/>
      <c r="ZN79" s="31"/>
      <c r="ZO79" s="31"/>
      <c r="ZP79" s="31"/>
      <c r="ZQ79" s="31"/>
      <c r="ZR79" s="31"/>
      <c r="ZS79" s="31"/>
      <c r="ZT79" s="31"/>
      <c r="ZU79" s="31"/>
      <c r="ZV79" s="31"/>
      <c r="ZW79" s="31"/>
      <c r="ZX79" s="31"/>
      <c r="ZY79" s="31"/>
      <c r="ZZ79" s="31"/>
      <c r="AAA79" s="31"/>
      <c r="AAB79" s="31"/>
      <c r="AAC79" s="31"/>
      <c r="AAD79" s="31"/>
      <c r="AAE79" s="31"/>
      <c r="AAF79" s="31"/>
      <c r="AAG79" s="31"/>
      <c r="AAH79" s="31"/>
      <c r="AAI79" s="31"/>
      <c r="AAJ79" s="31"/>
      <c r="AAK79" s="31"/>
      <c r="AAL79" s="31"/>
      <c r="AAM79" s="31"/>
      <c r="AAN79" s="31"/>
      <c r="AAO79" s="31"/>
      <c r="AAP79" s="31"/>
      <c r="AAQ79" s="31"/>
      <c r="AAR79" s="31"/>
      <c r="AAS79" s="31"/>
      <c r="AAT79" s="31"/>
      <c r="AAU79" s="31"/>
      <c r="AAV79" s="31"/>
      <c r="AAW79" s="31"/>
      <c r="AAX79" s="31"/>
      <c r="AAY79" s="31"/>
      <c r="AAZ79" s="31"/>
      <c r="ABA79" s="31"/>
      <c r="ABB79" s="31"/>
      <c r="ABC79" s="31"/>
      <c r="ABD79" s="31"/>
      <c r="ABE79" s="31"/>
      <c r="ABF79" s="31"/>
      <c r="ABG79" s="31"/>
      <c r="ABH79" s="31"/>
      <c r="ABI79" s="31"/>
      <c r="ABJ79" s="31"/>
      <c r="ABK79" s="31"/>
      <c r="ABL79" s="31"/>
      <c r="ABM79" s="31"/>
      <c r="ABN79" s="31"/>
      <c r="ABO79" s="31"/>
      <c r="ABP79" s="31"/>
      <c r="ABQ79" s="31"/>
      <c r="ABR79" s="31"/>
      <c r="ABS79" s="31"/>
      <c r="ABT79" s="31"/>
      <c r="ABU79" s="31"/>
      <c r="ABV79" s="31"/>
      <c r="ABW79" s="31"/>
      <c r="ABX79" s="31"/>
      <c r="ABY79" s="31"/>
      <c r="ABZ79" s="31"/>
      <c r="ACA79" s="31"/>
      <c r="ACB79" s="31"/>
      <c r="ACC79" s="31"/>
      <c r="ACD79" s="31"/>
      <c r="ACE79" s="31"/>
      <c r="ACF79" s="31"/>
      <c r="ACG79" s="31"/>
      <c r="ACH79" s="31"/>
      <c r="ACI79" s="31"/>
      <c r="ACJ79" s="31"/>
      <c r="ACK79" s="31"/>
      <c r="ACL79" s="31"/>
      <c r="ACM79" s="31"/>
      <c r="ACN79" s="31"/>
      <c r="ACO79" s="31"/>
      <c r="ACP79" s="31"/>
      <c r="ACQ79" s="31"/>
      <c r="ACR79" s="31"/>
      <c r="ACS79" s="31"/>
      <c r="ACT79" s="31"/>
      <c r="ACU79" s="31"/>
      <c r="ACV79" s="31"/>
      <c r="ACW79" s="31"/>
      <c r="ACX79" s="31"/>
      <c r="ACY79" s="31"/>
      <c r="ACZ79" s="31"/>
      <c r="ADA79" s="31"/>
      <c r="ADB79" s="31"/>
      <c r="ADC79" s="31"/>
      <c r="ADD79" s="31"/>
      <c r="ADE79" s="31"/>
      <c r="ADF79" s="31"/>
      <c r="ADG79" s="31"/>
      <c r="ADH79" s="31"/>
      <c r="ADI79" s="31"/>
      <c r="ADJ79" s="31"/>
      <c r="ADK79" s="31"/>
      <c r="ADL79" s="31"/>
      <c r="ADM79" s="31"/>
      <c r="ADN79" s="31"/>
      <c r="ADO79" s="31"/>
      <c r="ADP79" s="31"/>
      <c r="ADQ79" s="31"/>
      <c r="ADR79" s="31"/>
      <c r="ADS79" s="31"/>
      <c r="ADT79" s="31"/>
      <c r="ADU79" s="31"/>
      <c r="ADV79" s="31"/>
      <c r="ADW79" s="31"/>
      <c r="ADX79" s="31"/>
      <c r="ADY79" s="31"/>
      <c r="ADZ79" s="31"/>
      <c r="AEA79" s="31"/>
      <c r="AEB79" s="31"/>
      <c r="AEC79" s="31"/>
      <c r="AED79" s="31"/>
      <c r="AEE79" s="31"/>
      <c r="AEF79" s="31"/>
      <c r="AEG79" s="31"/>
      <c r="AEH79" s="31"/>
      <c r="AEI79" s="31"/>
      <c r="AEJ79" s="31"/>
      <c r="AEK79" s="31"/>
      <c r="AEL79" s="31"/>
      <c r="AEM79" s="31"/>
      <c r="AEN79" s="31"/>
      <c r="AEO79" s="31"/>
      <c r="AEP79" s="31"/>
      <c r="AEQ79" s="31"/>
      <c r="AER79" s="31"/>
      <c r="AES79" s="31"/>
      <c r="AET79" s="31"/>
      <c r="AEU79" s="31"/>
      <c r="AEV79" s="31"/>
      <c r="AEW79" s="31"/>
      <c r="AEX79" s="31"/>
      <c r="AEY79" s="31"/>
      <c r="AEZ79" s="31"/>
      <c r="AFA79" s="31"/>
      <c r="AFB79" s="31"/>
      <c r="AFC79" s="31"/>
      <c r="AFD79" s="31"/>
      <c r="AFE79" s="31"/>
      <c r="AFF79" s="31"/>
      <c r="AFG79" s="31"/>
      <c r="AFH79" s="31"/>
      <c r="AFI79" s="31"/>
      <c r="AFJ79" s="31"/>
      <c r="AFK79" s="31"/>
      <c r="AFL79" s="31"/>
      <c r="AFM79" s="31"/>
      <c r="AFN79" s="31"/>
      <c r="AFO79" s="31"/>
      <c r="AFP79" s="31"/>
      <c r="AFQ79" s="31"/>
      <c r="AFR79" s="31"/>
      <c r="AFS79" s="31"/>
      <c r="AFT79" s="31"/>
      <c r="AFU79" s="31"/>
      <c r="AFV79" s="31"/>
      <c r="AFW79" s="31"/>
      <c r="AFX79" s="31"/>
      <c r="AFY79" s="31"/>
      <c r="AFZ79" s="31"/>
      <c r="AGA79" s="31"/>
      <c r="AGB79" s="31"/>
      <c r="AGC79" s="31"/>
      <c r="AGD79" s="31"/>
      <c r="AGE79" s="31"/>
      <c r="AGF79" s="31"/>
      <c r="AGG79" s="31"/>
      <c r="AGH79" s="31"/>
      <c r="AGI79" s="31"/>
      <c r="AGJ79" s="31"/>
      <c r="AGK79" s="31"/>
      <c r="AGL79" s="31"/>
      <c r="AGM79" s="31"/>
      <c r="AGN79" s="31"/>
      <c r="AGO79" s="31"/>
      <c r="AGP79" s="31"/>
      <c r="AGQ79" s="31"/>
      <c r="AGR79" s="31"/>
      <c r="AGS79" s="31"/>
      <c r="AGT79" s="31"/>
      <c r="AGU79" s="31"/>
      <c r="AGV79" s="31"/>
      <c r="AGW79" s="31"/>
      <c r="AGX79" s="31"/>
      <c r="AGY79" s="31"/>
      <c r="AGZ79" s="31"/>
      <c r="AHA79" s="31"/>
      <c r="AHB79" s="31"/>
      <c r="AHC79" s="31"/>
      <c r="AHD79" s="31"/>
      <c r="AHE79" s="31"/>
      <c r="AHF79" s="31"/>
      <c r="AHG79" s="31"/>
      <c r="AHH79" s="31"/>
      <c r="AHI79" s="31"/>
      <c r="AHJ79" s="31"/>
      <c r="AHK79" s="31"/>
      <c r="AHL79" s="31"/>
      <c r="AHM79" s="31"/>
      <c r="AHN79" s="31"/>
      <c r="AHO79" s="31"/>
      <c r="AHP79" s="31"/>
      <c r="AHQ79" s="31"/>
      <c r="AHR79" s="31"/>
      <c r="AHS79" s="31"/>
      <c r="AHT79" s="31"/>
      <c r="AHU79" s="31"/>
      <c r="AHV79" s="31"/>
      <c r="AHW79" s="31"/>
      <c r="AHX79" s="31"/>
      <c r="AHY79" s="31"/>
      <c r="AHZ79" s="31"/>
      <c r="AIA79" s="31"/>
      <c r="AIB79" s="31"/>
      <c r="AIC79" s="31"/>
      <c r="AID79" s="31"/>
      <c r="AIE79" s="31"/>
      <c r="AIF79" s="31"/>
      <c r="AIG79" s="31"/>
      <c r="AIH79" s="31"/>
      <c r="AII79" s="31"/>
      <c r="AIJ79" s="31"/>
      <c r="AIK79" s="31"/>
      <c r="AIL79" s="31"/>
      <c r="AIM79" s="31"/>
      <c r="AIN79" s="31"/>
      <c r="AIO79" s="31"/>
      <c r="AIP79" s="31"/>
      <c r="AIQ79" s="31"/>
      <c r="AIR79" s="31"/>
      <c r="AIS79" s="31"/>
      <c r="AIT79" s="31"/>
      <c r="AIU79" s="31"/>
      <c r="AIV79" s="31"/>
      <c r="AIW79" s="31"/>
      <c r="AIX79" s="31"/>
      <c r="AIY79" s="31"/>
      <c r="AIZ79" s="31"/>
      <c r="AJA79" s="31"/>
      <c r="AJB79" s="31"/>
      <c r="AJC79" s="31"/>
      <c r="AJD79" s="31"/>
      <c r="AJE79" s="31"/>
      <c r="AJF79" s="31"/>
      <c r="AJG79" s="31"/>
      <c r="AJH79" s="31"/>
      <c r="AJI79" s="31"/>
      <c r="AJJ79" s="31"/>
      <c r="AJK79" s="31"/>
      <c r="AJL79" s="31"/>
      <c r="AJM79" s="31"/>
      <c r="AJN79" s="31"/>
      <c r="AJO79" s="31"/>
      <c r="AJP79" s="31"/>
      <c r="AJQ79" s="31"/>
      <c r="AJR79" s="31"/>
      <c r="AJS79" s="31"/>
      <c r="AJT79" s="31"/>
      <c r="AJU79" s="31"/>
      <c r="AJV79" s="31"/>
      <c r="AJW79" s="31"/>
      <c r="AJX79" s="31"/>
      <c r="AJY79" s="31"/>
      <c r="AJZ79" s="31"/>
      <c r="AKA79" s="31"/>
      <c r="AKB79" s="31"/>
      <c r="AKC79" s="31"/>
      <c r="AKD79" s="31"/>
      <c r="AKE79" s="31"/>
      <c r="AKF79" s="31"/>
      <c r="AKG79" s="31"/>
      <c r="AKH79" s="31"/>
      <c r="AKI79" s="31"/>
      <c r="AKJ79" s="31"/>
      <c r="AKK79" s="31"/>
      <c r="AKL79" s="31"/>
      <c r="AKM79" s="31"/>
      <c r="AKN79" s="31"/>
      <c r="AKO79" s="31"/>
    </row>
    <row r="80" spans="1:977" s="236" customFormat="1" ht="14.25" customHeight="1">
      <c r="A80" s="31" t="s">
        <v>274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  <c r="IW80" s="31"/>
      <c r="IX80" s="31"/>
      <c r="IY80" s="31"/>
      <c r="IZ80" s="31"/>
      <c r="JA80" s="31"/>
      <c r="JB80" s="31"/>
      <c r="JC80" s="31"/>
      <c r="JD80" s="31"/>
      <c r="JE80" s="31"/>
      <c r="JF80" s="31"/>
      <c r="JG80" s="31"/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/>
      <c r="JY80" s="31"/>
      <c r="JZ80" s="31"/>
      <c r="KA80" s="31"/>
      <c r="KB80" s="31"/>
      <c r="KC80" s="31"/>
      <c r="KD80" s="31"/>
      <c r="KE80" s="31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  <c r="NJ80" s="31"/>
      <c r="NK80" s="31"/>
      <c r="NL80" s="31"/>
      <c r="NM80" s="31"/>
      <c r="NN80" s="31"/>
      <c r="NO80" s="31"/>
      <c r="NP80" s="31"/>
      <c r="NQ80" s="31"/>
      <c r="NR80" s="31"/>
      <c r="NS80" s="31"/>
      <c r="NT80" s="31"/>
      <c r="NU80" s="31"/>
      <c r="NV80" s="31"/>
      <c r="NW80" s="31"/>
      <c r="NX80" s="31"/>
      <c r="NY80" s="31"/>
      <c r="NZ80" s="31"/>
      <c r="OA80" s="31"/>
      <c r="OB80" s="31"/>
      <c r="OC80" s="31"/>
      <c r="OD80" s="31"/>
      <c r="OE80" s="31"/>
      <c r="OF80" s="31"/>
      <c r="OG80" s="31"/>
      <c r="OH80" s="31"/>
      <c r="OI80" s="31"/>
      <c r="OJ80" s="31"/>
      <c r="OK80" s="31"/>
      <c r="OL80" s="31"/>
      <c r="OM80" s="31"/>
      <c r="ON80" s="31"/>
      <c r="OO80" s="31"/>
      <c r="OP80" s="31"/>
      <c r="OQ80" s="31"/>
      <c r="OR80" s="31"/>
      <c r="OS80" s="31"/>
      <c r="OT80" s="31"/>
      <c r="OU80" s="31"/>
      <c r="OV80" s="31"/>
      <c r="OW80" s="31"/>
      <c r="OX80" s="31"/>
      <c r="OY80" s="31"/>
      <c r="OZ80" s="31"/>
      <c r="PA80" s="31"/>
      <c r="PB80" s="31"/>
      <c r="PC80" s="31"/>
      <c r="PD80" s="31"/>
      <c r="PE80" s="31"/>
      <c r="PF80" s="31"/>
      <c r="PG80" s="31"/>
      <c r="PH80" s="31"/>
      <c r="PI80" s="31"/>
      <c r="PJ80" s="31"/>
      <c r="PK80" s="31"/>
      <c r="PL80" s="31"/>
      <c r="PM80" s="31"/>
      <c r="PN80" s="31"/>
      <c r="PO80" s="31"/>
      <c r="PP80" s="31"/>
      <c r="PQ80" s="31"/>
      <c r="PR80" s="31"/>
      <c r="PS80" s="31"/>
      <c r="PT80" s="31"/>
      <c r="PU80" s="31"/>
      <c r="PV80" s="31"/>
      <c r="PW80" s="31"/>
      <c r="PX80" s="31"/>
      <c r="PY80" s="31"/>
      <c r="PZ80" s="31"/>
      <c r="QA80" s="31"/>
      <c r="QB80" s="31"/>
      <c r="QC80" s="31"/>
      <c r="QD80" s="31"/>
      <c r="QE80" s="31"/>
      <c r="QF80" s="31"/>
      <c r="QG80" s="31"/>
      <c r="QH80" s="31"/>
      <c r="QI80" s="31"/>
      <c r="QJ80" s="31"/>
      <c r="QK80" s="31"/>
      <c r="QL80" s="31"/>
      <c r="QM80" s="31"/>
      <c r="QN80" s="31"/>
      <c r="QO80" s="31"/>
      <c r="QP80" s="31"/>
      <c r="QQ80" s="31"/>
      <c r="QR80" s="31"/>
      <c r="QS80" s="31"/>
      <c r="QT80" s="31"/>
      <c r="QU80" s="31"/>
      <c r="QV80" s="31"/>
      <c r="QW80" s="31"/>
      <c r="QX80" s="31"/>
      <c r="QY80" s="31"/>
      <c r="QZ80" s="31"/>
      <c r="RA80" s="31"/>
      <c r="RB80" s="31"/>
      <c r="RC80" s="31"/>
      <c r="RD80" s="31"/>
      <c r="RE80" s="31"/>
      <c r="RF80" s="31"/>
      <c r="RG80" s="31"/>
      <c r="RH80" s="31"/>
      <c r="RI80" s="31"/>
      <c r="RJ80" s="31"/>
      <c r="RK80" s="31"/>
      <c r="RL80" s="31"/>
      <c r="RM80" s="31"/>
      <c r="RN80" s="31"/>
      <c r="RO80" s="31"/>
      <c r="RP80" s="31"/>
      <c r="RQ80" s="31"/>
      <c r="RR80" s="31"/>
      <c r="RS80" s="31"/>
      <c r="RT80" s="31"/>
      <c r="RU80" s="31"/>
      <c r="RV80" s="31"/>
      <c r="RW80" s="31"/>
      <c r="RX80" s="31"/>
      <c r="RY80" s="31"/>
      <c r="RZ80" s="31"/>
      <c r="SA80" s="31"/>
      <c r="SB80" s="31"/>
      <c r="SC80" s="31"/>
      <c r="SD80" s="31"/>
      <c r="SE80" s="31"/>
      <c r="SF80" s="31"/>
      <c r="SG80" s="31"/>
      <c r="SH80" s="31"/>
      <c r="SI80" s="31"/>
      <c r="SJ80" s="31"/>
      <c r="SK80" s="31"/>
      <c r="SL80" s="31"/>
      <c r="SM80" s="31"/>
      <c r="SN80" s="31"/>
      <c r="SO80" s="31"/>
      <c r="SP80" s="31"/>
      <c r="SQ80" s="31"/>
      <c r="SR80" s="31"/>
      <c r="SS80" s="31"/>
      <c r="ST80" s="31"/>
      <c r="SU80" s="31"/>
      <c r="SV80" s="31"/>
      <c r="SW80" s="31"/>
      <c r="SX80" s="31"/>
      <c r="SY80" s="31"/>
      <c r="SZ80" s="31"/>
      <c r="TA80" s="31"/>
      <c r="TB80" s="31"/>
      <c r="TC80" s="31"/>
      <c r="TD80" s="31"/>
      <c r="TE80" s="31"/>
      <c r="TF80" s="31"/>
      <c r="TG80" s="31"/>
      <c r="TH80" s="31"/>
      <c r="TI80" s="31"/>
      <c r="TJ80" s="31"/>
      <c r="TK80" s="31"/>
      <c r="TL80" s="31"/>
      <c r="TM80" s="31"/>
      <c r="TN80" s="31"/>
      <c r="TO80" s="31"/>
      <c r="TP80" s="31"/>
      <c r="TQ80" s="31"/>
      <c r="TR80" s="31"/>
      <c r="TS80" s="31"/>
      <c r="TT80" s="31"/>
      <c r="TU80" s="31"/>
      <c r="TV80" s="31"/>
      <c r="TW80" s="31"/>
      <c r="TX80" s="31"/>
      <c r="TY80" s="31"/>
      <c r="TZ80" s="31"/>
      <c r="UA80" s="31"/>
      <c r="UB80" s="31"/>
      <c r="UC80" s="31"/>
      <c r="UD80" s="31"/>
      <c r="UE80" s="31"/>
      <c r="UF80" s="31"/>
      <c r="UG80" s="31"/>
      <c r="UH80" s="31"/>
      <c r="UI80" s="31"/>
      <c r="UJ80" s="31"/>
      <c r="UK80" s="31"/>
      <c r="UL80" s="31"/>
      <c r="UM80" s="31"/>
      <c r="UN80" s="31"/>
      <c r="UO80" s="31"/>
      <c r="UP80" s="31"/>
      <c r="UQ80" s="31"/>
      <c r="UR80" s="31"/>
      <c r="US80" s="31"/>
      <c r="UT80" s="31"/>
      <c r="UU80" s="31"/>
      <c r="UV80" s="31"/>
      <c r="UW80" s="31"/>
      <c r="UX80" s="31"/>
      <c r="UY80" s="31"/>
      <c r="UZ80" s="31"/>
      <c r="VA80" s="31"/>
      <c r="VB80" s="31"/>
      <c r="VC80" s="31"/>
      <c r="VD80" s="31"/>
      <c r="VE80" s="31"/>
      <c r="VF80" s="31"/>
      <c r="VG80" s="31"/>
      <c r="VH80" s="31"/>
      <c r="VI80" s="31"/>
      <c r="VJ80" s="31"/>
      <c r="VK80" s="31"/>
      <c r="VL80" s="31"/>
      <c r="VM80" s="31"/>
      <c r="VN80" s="31"/>
      <c r="VO80" s="31"/>
      <c r="VP80" s="31"/>
      <c r="VQ80" s="31"/>
      <c r="VR80" s="31"/>
      <c r="VS80" s="31"/>
      <c r="VT80" s="31"/>
      <c r="VU80" s="31"/>
      <c r="VV80" s="31"/>
      <c r="VW80" s="31"/>
      <c r="VX80" s="31"/>
      <c r="VY80" s="31"/>
      <c r="VZ80" s="31"/>
      <c r="WA80" s="31"/>
      <c r="WB80" s="31"/>
      <c r="WC80" s="31"/>
      <c r="WD80" s="31"/>
      <c r="WE80" s="31"/>
      <c r="WF80" s="31"/>
      <c r="WG80" s="31"/>
      <c r="WH80" s="31"/>
      <c r="WI80" s="31"/>
      <c r="WJ80" s="31"/>
      <c r="WK80" s="31"/>
      <c r="WL80" s="31"/>
      <c r="WM80" s="31"/>
      <c r="WN80" s="31"/>
      <c r="WO80" s="31"/>
      <c r="WP80" s="31"/>
      <c r="WQ80" s="31"/>
      <c r="WR80" s="31"/>
      <c r="WS80" s="31"/>
      <c r="WT80" s="31"/>
      <c r="WU80" s="31"/>
      <c r="WV80" s="31"/>
      <c r="WW80" s="31"/>
      <c r="WX80" s="31"/>
      <c r="WY80" s="31"/>
      <c r="WZ80" s="31"/>
      <c r="XA80" s="31"/>
      <c r="XB80" s="31"/>
      <c r="XC80" s="31"/>
      <c r="XD80" s="31"/>
      <c r="XE80" s="31"/>
      <c r="XF80" s="31"/>
      <c r="XG80" s="31"/>
      <c r="XH80" s="31"/>
      <c r="XI80" s="31"/>
      <c r="XJ80" s="31"/>
      <c r="XK80" s="31"/>
      <c r="XL80" s="31"/>
      <c r="XM80" s="31"/>
      <c r="XN80" s="31"/>
      <c r="XO80" s="31"/>
      <c r="XP80" s="31"/>
      <c r="XQ80" s="31"/>
      <c r="XR80" s="31"/>
      <c r="XS80" s="31"/>
      <c r="XT80" s="31"/>
      <c r="XU80" s="31"/>
      <c r="XV80" s="31"/>
      <c r="XW80" s="31"/>
      <c r="XX80" s="31"/>
      <c r="XY80" s="31"/>
      <c r="XZ80" s="31"/>
      <c r="YA80" s="31"/>
      <c r="YB80" s="31"/>
      <c r="YC80" s="31"/>
      <c r="YD80" s="31"/>
      <c r="YE80" s="31"/>
      <c r="YF80" s="31"/>
      <c r="YG80" s="31"/>
      <c r="YH80" s="31"/>
      <c r="YI80" s="31"/>
      <c r="YJ80" s="31"/>
      <c r="YK80" s="31"/>
      <c r="YL80" s="31"/>
      <c r="YM80" s="31"/>
      <c r="YN80" s="31"/>
      <c r="YO80" s="31"/>
      <c r="YP80" s="31"/>
      <c r="YQ80" s="31"/>
      <c r="YR80" s="31"/>
      <c r="YS80" s="31"/>
      <c r="YT80" s="31"/>
      <c r="YU80" s="31"/>
      <c r="YV80" s="31"/>
      <c r="YW80" s="31"/>
      <c r="YX80" s="31"/>
      <c r="YY80" s="31"/>
      <c r="YZ80" s="31"/>
      <c r="ZA80" s="31"/>
      <c r="ZB80" s="31"/>
      <c r="ZC80" s="31"/>
      <c r="ZD80" s="31"/>
      <c r="ZE80" s="31"/>
      <c r="ZF80" s="31"/>
      <c r="ZG80" s="31"/>
      <c r="ZH80" s="31"/>
      <c r="ZI80" s="31"/>
      <c r="ZJ80" s="31"/>
      <c r="ZK80" s="31"/>
      <c r="ZL80" s="31"/>
      <c r="ZM80" s="31"/>
      <c r="ZN80" s="31"/>
      <c r="ZO80" s="31"/>
      <c r="ZP80" s="31"/>
      <c r="ZQ80" s="31"/>
      <c r="ZR80" s="31"/>
      <c r="ZS80" s="31"/>
      <c r="ZT80" s="31"/>
      <c r="ZU80" s="31"/>
      <c r="ZV80" s="31"/>
      <c r="ZW80" s="31"/>
      <c r="ZX80" s="31"/>
      <c r="ZY80" s="31"/>
      <c r="ZZ80" s="31"/>
      <c r="AAA80" s="31"/>
      <c r="AAB80" s="31"/>
      <c r="AAC80" s="31"/>
      <c r="AAD80" s="31"/>
      <c r="AAE80" s="31"/>
      <c r="AAF80" s="31"/>
      <c r="AAG80" s="31"/>
      <c r="AAH80" s="31"/>
      <c r="AAI80" s="31"/>
      <c r="AAJ80" s="31"/>
      <c r="AAK80" s="31"/>
      <c r="AAL80" s="31"/>
      <c r="AAM80" s="31"/>
      <c r="AAN80" s="31"/>
      <c r="AAO80" s="31"/>
      <c r="AAP80" s="31"/>
      <c r="AAQ80" s="31"/>
      <c r="AAR80" s="31"/>
      <c r="AAS80" s="31"/>
      <c r="AAT80" s="31"/>
      <c r="AAU80" s="31"/>
      <c r="AAV80" s="31"/>
      <c r="AAW80" s="31"/>
      <c r="AAX80" s="31"/>
      <c r="AAY80" s="31"/>
      <c r="AAZ80" s="31"/>
      <c r="ABA80" s="31"/>
      <c r="ABB80" s="31"/>
      <c r="ABC80" s="31"/>
      <c r="ABD80" s="31"/>
      <c r="ABE80" s="31"/>
      <c r="ABF80" s="31"/>
      <c r="ABG80" s="31"/>
      <c r="ABH80" s="31"/>
      <c r="ABI80" s="31"/>
      <c r="ABJ80" s="31"/>
      <c r="ABK80" s="31"/>
      <c r="ABL80" s="31"/>
      <c r="ABM80" s="31"/>
      <c r="ABN80" s="31"/>
      <c r="ABO80" s="31"/>
      <c r="ABP80" s="31"/>
      <c r="ABQ80" s="31"/>
      <c r="ABR80" s="31"/>
      <c r="ABS80" s="31"/>
      <c r="ABT80" s="31"/>
      <c r="ABU80" s="31"/>
      <c r="ABV80" s="31"/>
      <c r="ABW80" s="31"/>
      <c r="ABX80" s="31"/>
      <c r="ABY80" s="31"/>
      <c r="ABZ80" s="31"/>
      <c r="ACA80" s="31"/>
      <c r="ACB80" s="31"/>
      <c r="ACC80" s="31"/>
      <c r="ACD80" s="31"/>
      <c r="ACE80" s="31"/>
      <c r="ACF80" s="31"/>
      <c r="ACG80" s="31"/>
      <c r="ACH80" s="31"/>
      <c r="ACI80" s="31"/>
      <c r="ACJ80" s="31"/>
      <c r="ACK80" s="31"/>
      <c r="ACL80" s="31"/>
      <c r="ACM80" s="31"/>
      <c r="ACN80" s="31"/>
      <c r="ACO80" s="31"/>
      <c r="ACP80" s="31"/>
      <c r="ACQ80" s="31"/>
      <c r="ACR80" s="31"/>
      <c r="ACS80" s="31"/>
      <c r="ACT80" s="31"/>
      <c r="ACU80" s="31"/>
      <c r="ACV80" s="31"/>
      <c r="ACW80" s="31"/>
      <c r="ACX80" s="31"/>
      <c r="ACY80" s="31"/>
      <c r="ACZ80" s="31"/>
      <c r="ADA80" s="31"/>
      <c r="ADB80" s="31"/>
      <c r="ADC80" s="31"/>
      <c r="ADD80" s="31"/>
      <c r="ADE80" s="31"/>
      <c r="ADF80" s="31"/>
      <c r="ADG80" s="31"/>
      <c r="ADH80" s="31"/>
      <c r="ADI80" s="31"/>
      <c r="ADJ80" s="31"/>
      <c r="ADK80" s="31"/>
      <c r="ADL80" s="31"/>
      <c r="ADM80" s="31"/>
      <c r="ADN80" s="31"/>
      <c r="ADO80" s="31"/>
      <c r="ADP80" s="31"/>
      <c r="ADQ80" s="31"/>
      <c r="ADR80" s="31"/>
      <c r="ADS80" s="31"/>
      <c r="ADT80" s="31"/>
      <c r="ADU80" s="31"/>
      <c r="ADV80" s="31"/>
      <c r="ADW80" s="31"/>
      <c r="ADX80" s="31"/>
      <c r="ADY80" s="31"/>
      <c r="ADZ80" s="31"/>
      <c r="AEA80" s="31"/>
      <c r="AEB80" s="31"/>
      <c r="AEC80" s="31"/>
      <c r="AED80" s="31"/>
      <c r="AEE80" s="31"/>
      <c r="AEF80" s="31"/>
      <c r="AEG80" s="31"/>
      <c r="AEH80" s="31"/>
      <c r="AEI80" s="31"/>
      <c r="AEJ80" s="31"/>
      <c r="AEK80" s="31"/>
      <c r="AEL80" s="31"/>
      <c r="AEM80" s="31"/>
      <c r="AEN80" s="31"/>
      <c r="AEO80" s="31"/>
      <c r="AEP80" s="31"/>
      <c r="AEQ80" s="31"/>
      <c r="AER80" s="31"/>
      <c r="AES80" s="31"/>
      <c r="AET80" s="31"/>
      <c r="AEU80" s="31"/>
      <c r="AEV80" s="31"/>
      <c r="AEW80" s="31"/>
      <c r="AEX80" s="31"/>
      <c r="AEY80" s="31"/>
      <c r="AEZ80" s="31"/>
      <c r="AFA80" s="31"/>
      <c r="AFB80" s="31"/>
      <c r="AFC80" s="31"/>
      <c r="AFD80" s="31"/>
      <c r="AFE80" s="31"/>
      <c r="AFF80" s="31"/>
      <c r="AFG80" s="31"/>
      <c r="AFH80" s="31"/>
      <c r="AFI80" s="31"/>
      <c r="AFJ80" s="31"/>
      <c r="AFK80" s="31"/>
      <c r="AFL80" s="31"/>
      <c r="AFM80" s="31"/>
      <c r="AFN80" s="31"/>
      <c r="AFO80" s="31"/>
      <c r="AFP80" s="31"/>
      <c r="AFQ80" s="31"/>
      <c r="AFR80" s="31"/>
      <c r="AFS80" s="31"/>
      <c r="AFT80" s="31"/>
      <c r="AFU80" s="31"/>
      <c r="AFV80" s="31"/>
      <c r="AFW80" s="31"/>
      <c r="AFX80" s="31"/>
      <c r="AFY80" s="31"/>
      <c r="AFZ80" s="31"/>
      <c r="AGA80" s="31"/>
      <c r="AGB80" s="31"/>
      <c r="AGC80" s="31"/>
      <c r="AGD80" s="31"/>
      <c r="AGE80" s="31"/>
      <c r="AGF80" s="31"/>
      <c r="AGG80" s="31"/>
      <c r="AGH80" s="31"/>
      <c r="AGI80" s="31"/>
      <c r="AGJ80" s="31"/>
      <c r="AGK80" s="31"/>
      <c r="AGL80" s="31"/>
      <c r="AGM80" s="31"/>
      <c r="AGN80" s="31"/>
      <c r="AGO80" s="31"/>
      <c r="AGP80" s="31"/>
      <c r="AGQ80" s="31"/>
      <c r="AGR80" s="31"/>
      <c r="AGS80" s="31"/>
      <c r="AGT80" s="31"/>
      <c r="AGU80" s="31"/>
      <c r="AGV80" s="31"/>
      <c r="AGW80" s="31"/>
      <c r="AGX80" s="31"/>
      <c r="AGY80" s="31"/>
      <c r="AGZ80" s="31"/>
      <c r="AHA80" s="31"/>
      <c r="AHB80" s="31"/>
      <c r="AHC80" s="31"/>
      <c r="AHD80" s="31"/>
      <c r="AHE80" s="31"/>
      <c r="AHF80" s="31"/>
      <c r="AHG80" s="31"/>
      <c r="AHH80" s="31"/>
      <c r="AHI80" s="31"/>
      <c r="AHJ80" s="31"/>
      <c r="AHK80" s="31"/>
      <c r="AHL80" s="31"/>
      <c r="AHM80" s="31"/>
      <c r="AHN80" s="31"/>
      <c r="AHO80" s="31"/>
      <c r="AHP80" s="31"/>
      <c r="AHQ80" s="31"/>
      <c r="AHR80" s="31"/>
      <c r="AHS80" s="31"/>
      <c r="AHT80" s="31"/>
      <c r="AHU80" s="31"/>
      <c r="AHV80" s="31"/>
      <c r="AHW80" s="31"/>
      <c r="AHX80" s="31"/>
      <c r="AHY80" s="31"/>
      <c r="AHZ80" s="31"/>
      <c r="AIA80" s="31"/>
      <c r="AIB80" s="31"/>
      <c r="AIC80" s="31"/>
      <c r="AID80" s="31"/>
      <c r="AIE80" s="31"/>
      <c r="AIF80" s="31"/>
      <c r="AIG80" s="31"/>
      <c r="AIH80" s="31"/>
      <c r="AII80" s="31"/>
      <c r="AIJ80" s="31"/>
      <c r="AIK80" s="31"/>
      <c r="AIL80" s="31"/>
      <c r="AIM80" s="31"/>
      <c r="AIN80" s="31"/>
      <c r="AIO80" s="31"/>
      <c r="AIP80" s="31"/>
      <c r="AIQ80" s="31"/>
      <c r="AIR80" s="31"/>
      <c r="AIS80" s="31"/>
      <c r="AIT80" s="31"/>
      <c r="AIU80" s="31"/>
      <c r="AIV80" s="31"/>
      <c r="AIW80" s="31"/>
      <c r="AIX80" s="31"/>
      <c r="AIY80" s="31"/>
      <c r="AIZ80" s="31"/>
      <c r="AJA80" s="31"/>
      <c r="AJB80" s="31"/>
      <c r="AJC80" s="31"/>
      <c r="AJD80" s="31"/>
      <c r="AJE80" s="31"/>
      <c r="AJF80" s="31"/>
      <c r="AJG80" s="31"/>
      <c r="AJH80" s="31"/>
      <c r="AJI80" s="31"/>
      <c r="AJJ80" s="31"/>
      <c r="AJK80" s="31"/>
      <c r="AJL80" s="31"/>
      <c r="AJM80" s="31"/>
      <c r="AJN80" s="31"/>
      <c r="AJO80" s="31"/>
      <c r="AJP80" s="31"/>
      <c r="AJQ80" s="31"/>
      <c r="AJR80" s="31"/>
      <c r="AJS80" s="31"/>
      <c r="AJT80" s="31"/>
      <c r="AJU80" s="31"/>
      <c r="AJV80" s="31"/>
      <c r="AJW80" s="31"/>
      <c r="AJX80" s="31"/>
      <c r="AJY80" s="31"/>
      <c r="AJZ80" s="31"/>
      <c r="AKA80" s="31"/>
      <c r="AKB80" s="31"/>
      <c r="AKC80" s="31"/>
      <c r="AKD80" s="31"/>
      <c r="AKE80" s="31"/>
      <c r="AKF80" s="31"/>
      <c r="AKG80" s="31"/>
      <c r="AKH80" s="31"/>
      <c r="AKI80" s="31"/>
      <c r="AKJ80" s="31"/>
      <c r="AKK80" s="31"/>
      <c r="AKL80" s="31"/>
      <c r="AKM80" s="31"/>
      <c r="AKN80" s="31"/>
      <c r="AKO80" s="31"/>
    </row>
  </sheetData>
  <mergeCells count="31">
    <mergeCell ref="A1:O1"/>
    <mergeCell ref="A2:O2"/>
    <mergeCell ref="A3:O3"/>
    <mergeCell ref="AD6:AE7"/>
    <mergeCell ref="A4:O4"/>
    <mergeCell ref="A5:O5"/>
    <mergeCell ref="D6:E6"/>
    <mergeCell ref="F6:O6"/>
    <mergeCell ref="P6:S7"/>
    <mergeCell ref="T6:W7"/>
    <mergeCell ref="X6:Y7"/>
    <mergeCell ref="Z6:AA7"/>
    <mergeCell ref="AB6:AC7"/>
    <mergeCell ref="BB6:BC7"/>
    <mergeCell ref="AF6:AG7"/>
    <mergeCell ref="AH6:AI7"/>
    <mergeCell ref="AJ6:AK7"/>
    <mergeCell ref="AL6:AM7"/>
    <mergeCell ref="AN6:AO7"/>
    <mergeCell ref="AP6:AQ7"/>
    <mergeCell ref="AR6:AS7"/>
    <mergeCell ref="AT6:AU7"/>
    <mergeCell ref="AV6:AW7"/>
    <mergeCell ref="AX6:AY7"/>
    <mergeCell ref="AZ6:BA7"/>
    <mergeCell ref="BL7:BP7"/>
    <mergeCell ref="BQ7:BS7"/>
    <mergeCell ref="BT7:BT8"/>
    <mergeCell ref="BD6:BE7"/>
    <mergeCell ref="BF6:BG7"/>
    <mergeCell ref="BH6:BI7"/>
  </mergeCells>
  <phoneticPr fontId="29" type="noConversion"/>
  <pageMargins left="0.31" right="0.17" top="0.56000000000000005" bottom="0.41" header="0.3" footer="0.3"/>
  <pageSetup paperSize="9" scal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A1:CE96"/>
  <sheetViews>
    <sheetView zoomScale="70" zoomScaleNormal="70" workbookViewId="0">
      <pane xSplit="8" ySplit="10" topLeftCell="I65" activePane="bottomRight" state="frozen"/>
      <selection pane="topRight" activeCell="I1" sqref="I1"/>
      <selection pane="bottomLeft" activeCell="A11" sqref="A11"/>
      <selection pane="bottomRight" activeCell="BO25" sqref="BO25"/>
    </sheetView>
  </sheetViews>
  <sheetFormatPr defaultColWidth="9.140625" defaultRowHeight="15.75"/>
  <cols>
    <col min="1" max="1" width="7.140625" style="31" hidden="1" customWidth="1"/>
    <col min="2" max="2" width="6.28515625" style="31" hidden="1" customWidth="1"/>
    <col min="3" max="3" width="14.140625" style="31" hidden="1" customWidth="1"/>
    <col min="4" max="4" width="36" style="31" customWidth="1"/>
    <col min="5" max="5" width="9.140625" style="31" customWidth="1"/>
    <col min="6" max="6" width="16.28515625" style="31" customWidth="1"/>
    <col min="7" max="7" width="10.85546875" style="166" customWidth="1"/>
    <col min="8" max="8" width="20" style="166" customWidth="1"/>
    <col min="9" max="9" width="11" style="166" customWidth="1"/>
    <col min="10" max="10" width="12.85546875" style="166" customWidth="1"/>
    <col min="11" max="11" width="13.140625" style="166" bestFit="1" customWidth="1"/>
    <col min="12" max="12" width="9.5703125" style="166" customWidth="1"/>
    <col min="13" max="13" width="14.7109375" style="166" bestFit="1" customWidth="1"/>
    <col min="14" max="14" width="11.85546875" style="166" customWidth="1"/>
    <col min="15" max="15" width="5.85546875" style="166" customWidth="1"/>
    <col min="16" max="16" width="4.85546875" style="166" customWidth="1"/>
    <col min="17" max="17" width="13.42578125" style="166" customWidth="1"/>
    <col min="18" max="18" width="18" style="166" customWidth="1"/>
    <col min="19" max="19" width="10.5703125" style="638" customWidth="1"/>
    <col min="20" max="20" width="10.85546875" style="638" customWidth="1"/>
    <col min="21" max="21" width="8.7109375" style="638" customWidth="1"/>
    <col min="22" max="22" width="8.5703125" style="638" customWidth="1"/>
    <col min="23" max="26" width="14.85546875" style="639" customWidth="1"/>
    <col min="27" max="27" width="10.28515625" style="166" customWidth="1"/>
    <col min="28" max="28" width="17.7109375" style="166" customWidth="1"/>
    <col min="29" max="29" width="8.28515625" style="166" customWidth="1"/>
    <col min="30" max="30" width="15.42578125" style="166" customWidth="1"/>
    <col min="31" max="31" width="8.5703125" style="166" customWidth="1"/>
    <col min="32" max="32" width="14.85546875" style="166" customWidth="1"/>
    <col min="33" max="33" width="9.85546875" style="166" customWidth="1"/>
    <col min="34" max="34" width="19.140625" style="166" customWidth="1"/>
    <col min="35" max="35" width="10" style="166" customWidth="1"/>
    <col min="36" max="36" width="17.7109375" style="166" customWidth="1"/>
    <col min="37" max="37" width="9" style="166" customWidth="1"/>
    <col min="38" max="38" width="18" style="166" customWidth="1"/>
    <col min="39" max="39" width="6.28515625" style="166" customWidth="1"/>
    <col min="40" max="40" width="16" style="166" customWidth="1"/>
    <col min="41" max="41" width="6.85546875" style="166" customWidth="1"/>
    <col min="42" max="42" width="16.7109375" style="166" customWidth="1"/>
    <col min="43" max="43" width="7.7109375" style="166" customWidth="1"/>
    <col min="44" max="44" width="15" style="166" customWidth="1"/>
    <col min="45" max="45" width="8.85546875" style="166" customWidth="1"/>
    <col min="46" max="46" width="18.5703125" style="166" customWidth="1"/>
    <col min="47" max="47" width="9.42578125" style="166" customWidth="1"/>
    <col min="48" max="48" width="14.85546875" style="166" customWidth="1"/>
    <col min="49" max="49" width="11.7109375" style="166" customWidth="1"/>
    <col min="50" max="50" width="16.140625" style="166" customWidth="1"/>
    <col min="51" max="51" width="10.85546875" style="653" customWidth="1"/>
    <col min="52" max="52" width="16.5703125" style="166" customWidth="1"/>
    <col min="53" max="53" width="11.140625" style="166" customWidth="1"/>
    <col min="54" max="54" width="14.7109375" style="166" customWidth="1"/>
    <col min="55" max="55" width="12.7109375" style="166" customWidth="1"/>
    <col min="56" max="56" width="16.5703125" style="166" customWidth="1"/>
    <col min="57" max="57" width="10.42578125" style="653" customWidth="1"/>
    <col min="58" max="58" width="16.5703125" style="166" customWidth="1"/>
    <col min="59" max="59" width="13" style="166" customWidth="1"/>
    <col min="60" max="60" width="17.28515625" style="166" customWidth="1"/>
    <col min="61" max="61" width="7.140625" style="166" customWidth="1"/>
    <col min="62" max="62" width="15.7109375" style="166" customWidth="1"/>
    <col min="63" max="63" width="12" style="166" customWidth="1"/>
    <col min="64" max="64" width="18.140625" style="166" customWidth="1"/>
    <col min="65" max="65" width="19.85546875" style="609" customWidth="1"/>
    <col min="66" max="66" width="18.5703125" style="31" hidden="1" customWidth="1"/>
    <col min="67" max="67" width="18.7109375" style="31" customWidth="1"/>
    <col min="68" max="68" width="18.5703125" style="31" customWidth="1"/>
    <col min="69" max="69" width="19.42578125" style="31" customWidth="1"/>
    <col min="70" max="70" width="11.5703125" style="31" customWidth="1"/>
    <col min="71" max="71" width="18.28515625" style="31" bestFit="1" customWidth="1"/>
    <col min="72" max="72" width="13.5703125" style="31" customWidth="1"/>
    <col min="73" max="73" width="9.140625" style="31" customWidth="1"/>
    <col min="74" max="74" width="16.7109375" style="31" customWidth="1"/>
    <col min="75" max="75" width="19" style="31" customWidth="1"/>
    <col min="76" max="16384" width="9.140625" style="31"/>
  </cols>
  <sheetData>
    <row r="1" spans="1:75" ht="12.75" hidden="1" customHeight="1">
      <c r="A1" s="796"/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7"/>
      <c r="AY1" s="166"/>
      <c r="BE1" s="166"/>
    </row>
    <row r="2" spans="1:75" ht="13.5" hidden="1" customHeight="1">
      <c r="A2" s="786" t="s">
        <v>169</v>
      </c>
      <c r="B2" s="786"/>
      <c r="C2" s="786"/>
      <c r="D2" s="787" t="s">
        <v>163</v>
      </c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8"/>
      <c r="S2" s="640"/>
      <c r="T2" s="640"/>
      <c r="U2" s="640"/>
      <c r="V2" s="640"/>
      <c r="W2" s="641"/>
      <c r="X2" s="641"/>
      <c r="Y2" s="641"/>
      <c r="Z2" s="641"/>
      <c r="AY2" s="166"/>
      <c r="BE2" s="166"/>
    </row>
    <row r="3" spans="1:75" ht="13.5" hidden="1" customHeight="1">
      <c r="A3" s="786" t="s">
        <v>165</v>
      </c>
      <c r="B3" s="786"/>
      <c r="C3" s="786"/>
      <c r="D3" s="787" t="s">
        <v>164</v>
      </c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8"/>
      <c r="S3" s="640"/>
      <c r="T3" s="640"/>
      <c r="U3" s="640"/>
      <c r="V3" s="640"/>
      <c r="W3" s="641"/>
      <c r="X3" s="641"/>
      <c r="Y3" s="641"/>
      <c r="Z3" s="641"/>
      <c r="AA3" s="166" t="s">
        <v>398</v>
      </c>
      <c r="AB3" s="166">
        <v>8.34</v>
      </c>
      <c r="AD3" s="166">
        <v>2.85</v>
      </c>
      <c r="AF3" s="166">
        <v>8.3800000000000008</v>
      </c>
      <c r="AH3" s="166">
        <v>7.49</v>
      </c>
      <c r="AJ3" s="166">
        <v>3.33</v>
      </c>
      <c r="AL3" s="166">
        <v>6.64</v>
      </c>
      <c r="AN3" s="166">
        <v>3.67</v>
      </c>
      <c r="AP3" s="166">
        <v>5.0599999999999996</v>
      </c>
      <c r="AR3" s="166">
        <v>5.94</v>
      </c>
      <c r="AT3" s="166">
        <v>6.85</v>
      </c>
      <c r="AV3" s="166">
        <v>7.45</v>
      </c>
      <c r="AX3" s="166">
        <v>5.13</v>
      </c>
      <c r="AY3" s="166"/>
      <c r="AZ3" s="166">
        <v>4.8600000000000003</v>
      </c>
      <c r="BB3" s="166">
        <v>5.79</v>
      </c>
      <c r="BD3" s="166">
        <v>5.3</v>
      </c>
      <c r="BE3" s="166"/>
      <c r="BF3" s="166">
        <v>3.47</v>
      </c>
      <c r="BH3" s="166">
        <v>9.42</v>
      </c>
    </row>
    <row r="4" spans="1:75" ht="38.25" hidden="1" customHeight="1">
      <c r="A4" s="786" t="s">
        <v>166</v>
      </c>
      <c r="B4" s="786"/>
      <c r="C4" s="786"/>
      <c r="D4" s="787" t="s">
        <v>386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8"/>
      <c r="S4" s="640"/>
      <c r="T4" s="640"/>
      <c r="U4" s="640"/>
      <c r="V4" s="640"/>
      <c r="W4" s="641"/>
      <c r="X4" s="641"/>
      <c r="Y4" s="641"/>
      <c r="Z4" s="641"/>
      <c r="AA4" s="166" t="s">
        <v>396</v>
      </c>
      <c r="AB4" s="166">
        <v>48</v>
      </c>
      <c r="AD4" s="166">
        <v>23</v>
      </c>
      <c r="AF4" s="166">
        <v>80</v>
      </c>
      <c r="AH4" s="166">
        <v>105</v>
      </c>
      <c r="AJ4" s="166">
        <v>43</v>
      </c>
      <c r="AL4" s="166">
        <v>75</v>
      </c>
      <c r="AN4" s="166">
        <v>41</v>
      </c>
      <c r="AP4" s="166">
        <v>101</v>
      </c>
      <c r="AR4" s="166">
        <v>8</v>
      </c>
      <c r="AT4" s="166">
        <v>33</v>
      </c>
      <c r="AV4" s="166">
        <v>53</v>
      </c>
      <c r="AX4" s="166">
        <v>52</v>
      </c>
      <c r="AY4" s="166"/>
      <c r="AZ4" s="166">
        <v>76</v>
      </c>
      <c r="BB4" s="166">
        <v>82</v>
      </c>
      <c r="BD4" s="166">
        <v>104</v>
      </c>
      <c r="BE4" s="166"/>
      <c r="BF4" s="166">
        <v>147</v>
      </c>
      <c r="BH4" s="166">
        <v>54</v>
      </c>
    </row>
    <row r="5" spans="1:75" ht="33.200000000000003" hidden="1" customHeight="1">
      <c r="A5" s="786" t="s">
        <v>181</v>
      </c>
      <c r="B5" s="786"/>
      <c r="C5" s="786"/>
      <c r="D5" s="787" t="s">
        <v>94</v>
      </c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8"/>
      <c r="S5" s="640"/>
      <c r="T5" s="640"/>
      <c r="U5" s="640"/>
      <c r="V5" s="640"/>
      <c r="W5" s="641"/>
      <c r="X5" s="641"/>
      <c r="Y5" s="641"/>
      <c r="Z5" s="641"/>
      <c r="AA5" s="166" t="s">
        <v>397</v>
      </c>
      <c r="AB5" s="190">
        <f t="shared" ref="AB5:BH5" si="0">AB4/1125*100</f>
        <v>4.2666666666666666</v>
      </c>
      <c r="AC5" s="190">
        <f t="shared" si="0"/>
        <v>0</v>
      </c>
      <c r="AD5" s="190">
        <f t="shared" si="0"/>
        <v>2.0444444444444447</v>
      </c>
      <c r="AE5" s="190">
        <f t="shared" si="0"/>
        <v>0</v>
      </c>
      <c r="AF5" s="190">
        <f t="shared" si="0"/>
        <v>7.1111111111111107</v>
      </c>
      <c r="AG5" s="190">
        <f t="shared" si="0"/>
        <v>0</v>
      </c>
      <c r="AH5" s="190">
        <f t="shared" si="0"/>
        <v>9.3333333333333339</v>
      </c>
      <c r="AI5" s="190">
        <f t="shared" si="0"/>
        <v>0</v>
      </c>
      <c r="AJ5" s="190">
        <f t="shared" si="0"/>
        <v>3.822222222222222</v>
      </c>
      <c r="AK5" s="190">
        <f t="shared" si="0"/>
        <v>0</v>
      </c>
      <c r="AL5" s="190">
        <f t="shared" si="0"/>
        <v>6.666666666666667</v>
      </c>
      <c r="AM5" s="190">
        <f t="shared" si="0"/>
        <v>0</v>
      </c>
      <c r="AN5" s="190">
        <f t="shared" si="0"/>
        <v>3.6444444444444448</v>
      </c>
      <c r="AO5" s="190">
        <f t="shared" si="0"/>
        <v>0</v>
      </c>
      <c r="AP5" s="190">
        <f t="shared" si="0"/>
        <v>8.9777777777777779</v>
      </c>
      <c r="AQ5" s="190">
        <f t="shared" si="0"/>
        <v>0</v>
      </c>
      <c r="AR5" s="190">
        <f t="shared" si="0"/>
        <v>0.71111111111111114</v>
      </c>
      <c r="AS5" s="190">
        <f t="shared" si="0"/>
        <v>0</v>
      </c>
      <c r="AT5" s="190">
        <f t="shared" si="0"/>
        <v>2.9333333333333331</v>
      </c>
      <c r="AU5" s="190">
        <f t="shared" si="0"/>
        <v>0</v>
      </c>
      <c r="AV5" s="190">
        <f t="shared" si="0"/>
        <v>4.7111111111111112</v>
      </c>
      <c r="AW5" s="190">
        <f t="shared" si="0"/>
        <v>0</v>
      </c>
      <c r="AX5" s="190">
        <f t="shared" si="0"/>
        <v>4.6222222222222218</v>
      </c>
      <c r="AY5" s="190">
        <f t="shared" si="0"/>
        <v>0</v>
      </c>
      <c r="AZ5" s="190">
        <f t="shared" si="0"/>
        <v>6.7555555555555546</v>
      </c>
      <c r="BA5" s="190">
        <f t="shared" si="0"/>
        <v>0</v>
      </c>
      <c r="BB5" s="190">
        <f t="shared" si="0"/>
        <v>7.2888888888888896</v>
      </c>
      <c r="BC5" s="190">
        <f t="shared" si="0"/>
        <v>0</v>
      </c>
      <c r="BD5" s="190">
        <f t="shared" si="0"/>
        <v>9.2444444444444436</v>
      </c>
      <c r="BE5" s="190">
        <f t="shared" si="0"/>
        <v>0</v>
      </c>
      <c r="BF5" s="190">
        <f t="shared" si="0"/>
        <v>13.066666666666665</v>
      </c>
      <c r="BG5" s="190">
        <f t="shared" si="0"/>
        <v>0</v>
      </c>
      <c r="BH5" s="190">
        <f t="shared" si="0"/>
        <v>4.8</v>
      </c>
    </row>
    <row r="6" spans="1:75" ht="29.85" hidden="1" customHeight="1">
      <c r="A6" s="786" t="s">
        <v>187</v>
      </c>
      <c r="B6" s="786"/>
      <c r="C6" s="786"/>
      <c r="D6" s="787" t="s">
        <v>188</v>
      </c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8"/>
      <c r="S6" s="640"/>
      <c r="T6" s="640"/>
      <c r="U6" s="640"/>
      <c r="V6" s="640"/>
      <c r="W6" s="641"/>
      <c r="X6" s="641"/>
      <c r="Y6" s="641"/>
      <c r="Z6" s="641"/>
      <c r="AY6" s="166"/>
      <c r="BE6" s="166"/>
    </row>
    <row r="7" spans="1:75" ht="15.75" customHeight="1">
      <c r="A7" s="787"/>
      <c r="B7" s="787"/>
      <c r="C7" s="787"/>
      <c r="D7" s="787"/>
      <c r="E7" s="787"/>
      <c r="F7" s="72"/>
      <c r="G7" s="789" t="s">
        <v>21</v>
      </c>
      <c r="H7" s="789"/>
      <c r="I7" s="790" t="s">
        <v>162</v>
      </c>
      <c r="J7" s="791"/>
      <c r="K7" s="791"/>
      <c r="L7" s="791"/>
      <c r="M7" s="791"/>
      <c r="N7" s="791"/>
      <c r="O7" s="791"/>
      <c r="P7" s="791"/>
      <c r="Q7" s="791"/>
      <c r="R7" s="792"/>
      <c r="S7" s="793" t="s">
        <v>61</v>
      </c>
      <c r="T7" s="793"/>
      <c r="U7" s="793"/>
      <c r="V7" s="793"/>
      <c r="W7" s="794" t="s">
        <v>6</v>
      </c>
      <c r="X7" s="794"/>
      <c r="Y7" s="794"/>
      <c r="Z7" s="794"/>
      <c r="AA7" s="782" t="s">
        <v>192</v>
      </c>
      <c r="AB7" s="782"/>
      <c r="AC7" s="782" t="s">
        <v>193</v>
      </c>
      <c r="AD7" s="782"/>
      <c r="AE7" s="782" t="s">
        <v>194</v>
      </c>
      <c r="AF7" s="782"/>
      <c r="AG7" s="782" t="s">
        <v>195</v>
      </c>
      <c r="AH7" s="782"/>
      <c r="AI7" s="782" t="s">
        <v>196</v>
      </c>
      <c r="AJ7" s="782"/>
      <c r="AK7" s="782" t="s">
        <v>197</v>
      </c>
      <c r="AL7" s="782"/>
      <c r="AM7" s="782" t="s">
        <v>198</v>
      </c>
      <c r="AN7" s="782"/>
      <c r="AO7" s="782" t="s">
        <v>199</v>
      </c>
      <c r="AP7" s="782"/>
      <c r="AQ7" s="782" t="s">
        <v>200</v>
      </c>
      <c r="AR7" s="782"/>
      <c r="AS7" s="782" t="s">
        <v>201</v>
      </c>
      <c r="AT7" s="782"/>
      <c r="AU7" s="782" t="s">
        <v>202</v>
      </c>
      <c r="AV7" s="782"/>
      <c r="AW7" s="782" t="s">
        <v>203</v>
      </c>
      <c r="AX7" s="782"/>
      <c r="AY7" s="782" t="s">
        <v>204</v>
      </c>
      <c r="AZ7" s="782"/>
      <c r="BA7" s="782" t="s">
        <v>205</v>
      </c>
      <c r="BB7" s="782"/>
      <c r="BC7" s="782" t="s">
        <v>206</v>
      </c>
      <c r="BD7" s="782"/>
      <c r="BE7" s="782" t="s">
        <v>207</v>
      </c>
      <c r="BF7" s="782"/>
      <c r="BG7" s="782" t="s">
        <v>208</v>
      </c>
      <c r="BH7" s="782"/>
      <c r="BI7" s="783" t="s">
        <v>209</v>
      </c>
      <c r="BJ7" s="783"/>
      <c r="BK7" s="784" t="s">
        <v>17</v>
      </c>
      <c r="BL7" s="784"/>
      <c r="BM7" s="159"/>
      <c r="BN7" s="785"/>
      <c r="BW7" s="642"/>
    </row>
    <row r="8" spans="1:75" s="199" customFormat="1" ht="40.5" customHeight="1">
      <c r="A8" s="620" t="s">
        <v>13</v>
      </c>
      <c r="B8" s="620"/>
      <c r="C8" s="620" t="s">
        <v>1</v>
      </c>
      <c r="D8" s="795" t="s">
        <v>12</v>
      </c>
      <c r="E8" s="795" t="s">
        <v>14</v>
      </c>
      <c r="F8" s="795" t="s">
        <v>190</v>
      </c>
      <c r="G8" s="781" t="s">
        <v>19</v>
      </c>
      <c r="H8" s="781" t="s">
        <v>25</v>
      </c>
      <c r="I8" s="48" t="s">
        <v>212</v>
      </c>
      <c r="J8" s="48" t="s">
        <v>213</v>
      </c>
      <c r="K8" s="48" t="s">
        <v>214</v>
      </c>
      <c r="L8" s="48" t="s">
        <v>215</v>
      </c>
      <c r="M8" s="48" t="s">
        <v>216</v>
      </c>
      <c r="N8" s="48" t="s">
        <v>217</v>
      </c>
      <c r="O8" s="48" t="s">
        <v>218</v>
      </c>
      <c r="P8" s="48" t="s">
        <v>219</v>
      </c>
      <c r="Q8" s="48" t="s">
        <v>220</v>
      </c>
      <c r="R8" s="48" t="s">
        <v>221</v>
      </c>
      <c r="S8" s="793"/>
      <c r="T8" s="793"/>
      <c r="U8" s="793"/>
      <c r="V8" s="793"/>
      <c r="W8" s="794"/>
      <c r="X8" s="794"/>
      <c r="Y8" s="794"/>
      <c r="Z8" s="794"/>
      <c r="AA8" s="782"/>
      <c r="AB8" s="782"/>
      <c r="AC8" s="782" t="s">
        <v>43</v>
      </c>
      <c r="AD8" s="782"/>
      <c r="AE8" s="782" t="s">
        <v>44</v>
      </c>
      <c r="AF8" s="782"/>
      <c r="AG8" s="782" t="s">
        <v>45</v>
      </c>
      <c r="AH8" s="782"/>
      <c r="AI8" s="782" t="s">
        <v>46</v>
      </c>
      <c r="AJ8" s="782"/>
      <c r="AK8" s="782" t="s">
        <v>47</v>
      </c>
      <c r="AL8" s="782"/>
      <c r="AM8" s="782" t="s">
        <v>48</v>
      </c>
      <c r="AN8" s="782"/>
      <c r="AO8" s="782" t="s">
        <v>49</v>
      </c>
      <c r="AP8" s="782"/>
      <c r="AQ8" s="782" t="s">
        <v>50</v>
      </c>
      <c r="AR8" s="782"/>
      <c r="AS8" s="782" t="s">
        <v>51</v>
      </c>
      <c r="AT8" s="782"/>
      <c r="AU8" s="782" t="s">
        <v>52</v>
      </c>
      <c r="AV8" s="782"/>
      <c r="AW8" s="782" t="s">
        <v>53</v>
      </c>
      <c r="AX8" s="782"/>
      <c r="AY8" s="782" t="s">
        <v>54</v>
      </c>
      <c r="AZ8" s="782"/>
      <c r="BA8" s="782" t="s">
        <v>55</v>
      </c>
      <c r="BB8" s="782"/>
      <c r="BC8" s="782" t="s">
        <v>40</v>
      </c>
      <c r="BD8" s="782"/>
      <c r="BE8" s="782" t="s">
        <v>37</v>
      </c>
      <c r="BF8" s="782"/>
      <c r="BG8" s="782"/>
      <c r="BH8" s="782"/>
      <c r="BI8" s="783"/>
      <c r="BJ8" s="783"/>
      <c r="BK8" s="784"/>
      <c r="BL8" s="784"/>
      <c r="BM8" s="306" t="s">
        <v>244</v>
      </c>
      <c r="BN8" s="785"/>
      <c r="BO8" s="755" t="s">
        <v>242</v>
      </c>
      <c r="BP8" s="755"/>
      <c r="BQ8" s="755"/>
      <c r="BR8" s="755"/>
      <c r="BS8" s="755"/>
      <c r="BT8" s="755" t="s">
        <v>243</v>
      </c>
      <c r="BU8" s="755"/>
      <c r="BV8" s="755"/>
      <c r="BW8" s="756" t="s">
        <v>17</v>
      </c>
    </row>
    <row r="9" spans="1:75" s="199" customFormat="1" ht="43.5" customHeight="1">
      <c r="A9" s="620"/>
      <c r="B9" s="620" t="s">
        <v>361</v>
      </c>
      <c r="C9" s="620" t="s">
        <v>2</v>
      </c>
      <c r="D9" s="795"/>
      <c r="E9" s="795"/>
      <c r="F9" s="795" t="s">
        <v>22</v>
      </c>
      <c r="G9" s="781" t="s">
        <v>23</v>
      </c>
      <c r="H9" s="781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643" t="s">
        <v>7</v>
      </c>
      <c r="T9" s="643" t="s">
        <v>8</v>
      </c>
      <c r="U9" s="643" t="s">
        <v>9</v>
      </c>
      <c r="V9" s="643" t="s">
        <v>10</v>
      </c>
      <c r="W9" s="644" t="s">
        <v>7</v>
      </c>
      <c r="X9" s="644" t="s">
        <v>8</v>
      </c>
      <c r="Y9" s="644" t="s">
        <v>9</v>
      </c>
      <c r="Z9" s="644" t="s">
        <v>10</v>
      </c>
      <c r="AA9" s="644" t="s">
        <v>14</v>
      </c>
      <c r="AB9" s="644" t="s">
        <v>15</v>
      </c>
      <c r="AC9" s="644" t="s">
        <v>14</v>
      </c>
      <c r="AD9" s="644" t="s">
        <v>15</v>
      </c>
      <c r="AE9" s="644" t="s">
        <v>14</v>
      </c>
      <c r="AF9" s="644" t="s">
        <v>15</v>
      </c>
      <c r="AG9" s="644" t="s">
        <v>14</v>
      </c>
      <c r="AH9" s="644" t="s">
        <v>15</v>
      </c>
      <c r="AI9" s="644" t="s">
        <v>14</v>
      </c>
      <c r="AJ9" s="644" t="s">
        <v>15</v>
      </c>
      <c r="AK9" s="644" t="s">
        <v>14</v>
      </c>
      <c r="AL9" s="644" t="s">
        <v>15</v>
      </c>
      <c r="AM9" s="644" t="s">
        <v>14</v>
      </c>
      <c r="AN9" s="644" t="s">
        <v>15</v>
      </c>
      <c r="AO9" s="644" t="s">
        <v>14</v>
      </c>
      <c r="AP9" s="644" t="s">
        <v>15</v>
      </c>
      <c r="AQ9" s="644" t="s">
        <v>14</v>
      </c>
      <c r="AR9" s="644" t="s">
        <v>15</v>
      </c>
      <c r="AS9" s="644" t="s">
        <v>14</v>
      </c>
      <c r="AT9" s="644" t="s">
        <v>15</v>
      </c>
      <c r="AU9" s="644" t="s">
        <v>14</v>
      </c>
      <c r="AV9" s="644" t="s">
        <v>15</v>
      </c>
      <c r="AW9" s="644" t="s">
        <v>14</v>
      </c>
      <c r="AX9" s="644" t="s">
        <v>15</v>
      </c>
      <c r="AY9" s="644" t="s">
        <v>14</v>
      </c>
      <c r="AZ9" s="644" t="s">
        <v>15</v>
      </c>
      <c r="BA9" s="644" t="s">
        <v>14</v>
      </c>
      <c r="BB9" s="644" t="s">
        <v>15</v>
      </c>
      <c r="BC9" s="644" t="s">
        <v>14</v>
      </c>
      <c r="BD9" s="644" t="s">
        <v>15</v>
      </c>
      <c r="BE9" s="644" t="s">
        <v>14</v>
      </c>
      <c r="BF9" s="644" t="s">
        <v>15</v>
      </c>
      <c r="BG9" s="644" t="s">
        <v>14</v>
      </c>
      <c r="BH9" s="644" t="s">
        <v>15</v>
      </c>
      <c r="BI9" s="644" t="s">
        <v>14</v>
      </c>
      <c r="BJ9" s="644" t="s">
        <v>15</v>
      </c>
      <c r="BK9" s="644" t="s">
        <v>14</v>
      </c>
      <c r="BL9" s="644" t="s">
        <v>15</v>
      </c>
      <c r="BM9" s="306"/>
      <c r="BN9" s="785"/>
      <c r="BO9" s="72" t="s">
        <v>233</v>
      </c>
      <c r="BP9" s="171" t="s">
        <v>234</v>
      </c>
      <c r="BQ9" s="171" t="s">
        <v>235</v>
      </c>
      <c r="BR9" s="612" t="s">
        <v>236</v>
      </c>
      <c r="BS9" s="171" t="s">
        <v>237</v>
      </c>
      <c r="BT9" s="171" t="s">
        <v>238</v>
      </c>
      <c r="BU9" s="171" t="s">
        <v>239</v>
      </c>
      <c r="BV9" s="171" t="s">
        <v>240</v>
      </c>
      <c r="BW9" s="756"/>
    </row>
    <row r="10" spans="1:75" s="90" customFormat="1" ht="14.45" customHeight="1">
      <c r="A10" s="645" t="s">
        <v>94</v>
      </c>
      <c r="B10" s="121"/>
      <c r="C10" s="93"/>
      <c r="D10" s="332" t="s">
        <v>451</v>
      </c>
      <c r="E10" s="377"/>
      <c r="F10" s="377"/>
      <c r="G10" s="646"/>
      <c r="H10" s="647"/>
      <c r="I10" s="647"/>
      <c r="J10" s="647"/>
      <c r="K10" s="647"/>
      <c r="L10" s="647"/>
      <c r="M10" s="647"/>
      <c r="N10" s="647"/>
      <c r="O10" s="647"/>
      <c r="P10" s="318"/>
      <c r="Q10" s="318"/>
      <c r="R10" s="318"/>
      <c r="S10" s="648"/>
      <c r="T10" s="648"/>
      <c r="U10" s="580"/>
      <c r="V10" s="580"/>
      <c r="W10" s="587"/>
      <c r="X10" s="587"/>
      <c r="Y10" s="587"/>
      <c r="Z10" s="587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142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377"/>
      <c r="BO10" s="98"/>
      <c r="BP10" s="98"/>
      <c r="BQ10" s="98"/>
      <c r="BR10" s="98"/>
      <c r="BS10" s="98"/>
      <c r="BT10" s="98"/>
      <c r="BU10" s="98"/>
      <c r="BV10" s="98"/>
      <c r="BW10" s="99">
        <f t="shared" ref="BW10:BW30" si="1">BS10+BV10</f>
        <v>0</v>
      </c>
    </row>
    <row r="11" spans="1:75" s="90" customFormat="1" ht="18" customHeight="1">
      <c r="A11" s="596"/>
      <c r="B11" s="121"/>
      <c r="C11" s="93"/>
      <c r="D11" s="332" t="s">
        <v>592</v>
      </c>
      <c r="E11" s="377"/>
      <c r="F11" s="377"/>
      <c r="G11" s="646"/>
      <c r="H11" s="647"/>
      <c r="I11" s="647"/>
      <c r="J11" s="647"/>
      <c r="K11" s="647"/>
      <c r="L11" s="647"/>
      <c r="M11" s="647"/>
      <c r="N11" s="647"/>
      <c r="O11" s="647"/>
      <c r="P11" s="318"/>
      <c r="Q11" s="318"/>
      <c r="R11" s="318"/>
      <c r="S11" s="648"/>
      <c r="T11" s="648"/>
      <c r="U11" s="580"/>
      <c r="V11" s="580"/>
      <c r="W11" s="587"/>
      <c r="X11" s="587"/>
      <c r="Y11" s="587"/>
      <c r="Z11" s="587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142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377"/>
      <c r="BO11" s="98"/>
      <c r="BP11" s="98"/>
      <c r="BQ11" s="98"/>
      <c r="BR11" s="98"/>
      <c r="BS11" s="98"/>
      <c r="BT11" s="98"/>
      <c r="BU11" s="98"/>
      <c r="BV11" s="98"/>
      <c r="BW11" s="99">
        <f t="shared" si="1"/>
        <v>0</v>
      </c>
    </row>
    <row r="12" spans="1:75" s="90" customFormat="1">
      <c r="A12" s="596"/>
      <c r="B12" s="121"/>
      <c r="C12" s="93"/>
      <c r="D12" s="323" t="s">
        <v>593</v>
      </c>
      <c r="E12" s="377" t="s">
        <v>71</v>
      </c>
      <c r="F12" s="325">
        <v>100</v>
      </c>
      <c r="G12" s="221">
        <f>BK12</f>
        <v>2500</v>
      </c>
      <c r="H12" s="123">
        <f>G12*F12</f>
        <v>250000</v>
      </c>
      <c r="I12" s="569">
        <f>H12*0.2</f>
        <v>50000</v>
      </c>
      <c r="J12" s="569">
        <f>H12*0.8</f>
        <v>200000</v>
      </c>
      <c r="K12" s="123"/>
      <c r="L12" s="123"/>
      <c r="M12" s="123"/>
      <c r="N12" s="123"/>
      <c r="O12" s="123"/>
      <c r="P12" s="123"/>
      <c r="Q12" s="123"/>
      <c r="R12" s="123"/>
      <c r="S12" s="142">
        <f>G12*0.25</f>
        <v>625</v>
      </c>
      <c r="T12" s="142">
        <f>G12*0.25</f>
        <v>625</v>
      </c>
      <c r="U12" s="142">
        <f>G12*0.25</f>
        <v>625</v>
      </c>
      <c r="V12" s="142">
        <f>G12*0.25</f>
        <v>625</v>
      </c>
      <c r="W12" s="224">
        <f>S12*F12</f>
        <v>62500</v>
      </c>
      <c r="X12" s="224">
        <f>T12*F12</f>
        <v>62500</v>
      </c>
      <c r="Y12" s="224">
        <f>U12*F12</f>
        <v>62500</v>
      </c>
      <c r="Z12" s="224">
        <f>V12*F12</f>
        <v>62500</v>
      </c>
      <c r="AA12" s="142">
        <v>150</v>
      </c>
      <c r="AB12" s="224">
        <f>AA12*F12</f>
        <v>15000</v>
      </c>
      <c r="AC12" s="142">
        <v>150</v>
      </c>
      <c r="AD12" s="224">
        <f>AC12*F12</f>
        <v>15000</v>
      </c>
      <c r="AE12" s="142">
        <v>150</v>
      </c>
      <c r="AF12" s="224">
        <f>AE12*F12</f>
        <v>15000</v>
      </c>
      <c r="AG12" s="142">
        <v>150</v>
      </c>
      <c r="AH12" s="224">
        <f>AG12*F12</f>
        <v>15000</v>
      </c>
      <c r="AI12" s="142">
        <v>150</v>
      </c>
      <c r="AJ12" s="224">
        <f>AI12*F12</f>
        <v>15000</v>
      </c>
      <c r="AK12" s="142">
        <v>150</v>
      </c>
      <c r="AL12" s="224">
        <f>AK12*F12</f>
        <v>15000</v>
      </c>
      <c r="AM12" s="142">
        <v>150</v>
      </c>
      <c r="AN12" s="224">
        <f>AM12*F12</f>
        <v>15000</v>
      </c>
      <c r="AO12" s="142">
        <v>150</v>
      </c>
      <c r="AP12" s="224">
        <f>AO12*F12</f>
        <v>15000</v>
      </c>
      <c r="AQ12" s="142">
        <v>100</v>
      </c>
      <c r="AR12" s="224">
        <f>AQ12*F12</f>
        <v>10000</v>
      </c>
      <c r="AS12" s="142">
        <v>150</v>
      </c>
      <c r="AT12" s="224">
        <f>AS12*F12</f>
        <v>15000</v>
      </c>
      <c r="AU12" s="142">
        <v>150</v>
      </c>
      <c r="AV12" s="224">
        <f>AU12*F12</f>
        <v>15000</v>
      </c>
      <c r="AW12" s="142">
        <v>150</v>
      </c>
      <c r="AX12" s="224">
        <f>AW12*F12</f>
        <v>15000</v>
      </c>
      <c r="AY12" s="142">
        <v>150</v>
      </c>
      <c r="AZ12" s="224">
        <f>AY12*F12</f>
        <v>15000</v>
      </c>
      <c r="BA12" s="142">
        <v>150</v>
      </c>
      <c r="BB12" s="224">
        <f>BA12*F12</f>
        <v>15000</v>
      </c>
      <c r="BC12" s="142">
        <v>150</v>
      </c>
      <c r="BD12" s="224">
        <f>BC12*F12</f>
        <v>15000</v>
      </c>
      <c r="BE12" s="142">
        <v>150</v>
      </c>
      <c r="BF12" s="224">
        <f>BE12*F12</f>
        <v>15000</v>
      </c>
      <c r="BG12" s="142">
        <v>150</v>
      </c>
      <c r="BH12" s="224">
        <f>BG12*F12</f>
        <v>15000</v>
      </c>
      <c r="BI12" s="142"/>
      <c r="BJ12" s="224">
        <f>BI12*F12</f>
        <v>0</v>
      </c>
      <c r="BK12" s="142">
        <f t="shared" ref="BK12:BL14" si="2">BI12+BG12+BE12+BC12+BA12+AY12+AW12+AU12+AS12+AQ12+AO12+AM12+AK12+AI12+AG12+AE12+AC12+AA12</f>
        <v>2500</v>
      </c>
      <c r="BL12" s="142">
        <f t="shared" si="2"/>
        <v>250000</v>
      </c>
      <c r="BM12" s="377" t="s">
        <v>224</v>
      </c>
      <c r="BN12" s="245"/>
      <c r="BO12" s="98"/>
      <c r="BP12" s="98">
        <f>H12</f>
        <v>250000</v>
      </c>
      <c r="BQ12" s="98"/>
      <c r="BR12" s="98"/>
      <c r="BS12" s="98">
        <f>BO12+BP12+BQ12+BR12</f>
        <v>250000</v>
      </c>
      <c r="BT12" s="98"/>
      <c r="BU12" s="98"/>
      <c r="BV12" s="98">
        <f>BT12+BU12</f>
        <v>0</v>
      </c>
      <c r="BW12" s="99">
        <f t="shared" si="1"/>
        <v>250000</v>
      </c>
    </row>
    <row r="13" spans="1:75" s="90" customFormat="1">
      <c r="A13" s="596"/>
      <c r="B13" s="121"/>
      <c r="C13" s="395"/>
      <c r="D13" s="323" t="s">
        <v>594</v>
      </c>
      <c r="E13" s="377" t="s">
        <v>71</v>
      </c>
      <c r="F13" s="325">
        <v>100</v>
      </c>
      <c r="G13" s="221">
        <f>BK13</f>
        <v>2500</v>
      </c>
      <c r="H13" s="123">
        <f>G13*F13</f>
        <v>250000</v>
      </c>
      <c r="I13" s="569">
        <f>H13*0.2</f>
        <v>50000</v>
      </c>
      <c r="J13" s="569">
        <f>H13*0.8</f>
        <v>200000</v>
      </c>
      <c r="K13" s="123"/>
      <c r="L13" s="123"/>
      <c r="M13" s="123"/>
      <c r="N13" s="123"/>
      <c r="O13" s="123"/>
      <c r="P13" s="123"/>
      <c r="Q13" s="123"/>
      <c r="R13" s="123"/>
      <c r="S13" s="142">
        <f>G13*0.25</f>
        <v>625</v>
      </c>
      <c r="T13" s="142">
        <f>G13*0.25</f>
        <v>625</v>
      </c>
      <c r="U13" s="142">
        <f>G13*0.25</f>
        <v>625</v>
      </c>
      <c r="V13" s="142">
        <f>G13*0.25</f>
        <v>625</v>
      </c>
      <c r="W13" s="224">
        <f>S13*F13</f>
        <v>62500</v>
      </c>
      <c r="X13" s="224">
        <f>T13*F13</f>
        <v>62500</v>
      </c>
      <c r="Y13" s="224">
        <f>U13*F13</f>
        <v>62500</v>
      </c>
      <c r="Z13" s="224">
        <f>V13*F13</f>
        <v>62500</v>
      </c>
      <c r="AA13" s="142">
        <v>150</v>
      </c>
      <c r="AB13" s="224">
        <f>AA13*F13</f>
        <v>15000</v>
      </c>
      <c r="AC13" s="142">
        <v>150</v>
      </c>
      <c r="AD13" s="224">
        <f>AC13*F13</f>
        <v>15000</v>
      </c>
      <c r="AE13" s="142">
        <v>150</v>
      </c>
      <c r="AF13" s="224">
        <f>AE13*F13</f>
        <v>15000</v>
      </c>
      <c r="AG13" s="142">
        <v>150</v>
      </c>
      <c r="AH13" s="224">
        <f>AG13*F13</f>
        <v>15000</v>
      </c>
      <c r="AI13" s="142">
        <v>150</v>
      </c>
      <c r="AJ13" s="224">
        <f>AI13*F13</f>
        <v>15000</v>
      </c>
      <c r="AK13" s="142">
        <v>150</v>
      </c>
      <c r="AL13" s="224">
        <f>AK13*F13</f>
        <v>15000</v>
      </c>
      <c r="AM13" s="142">
        <v>150</v>
      </c>
      <c r="AN13" s="224">
        <f>AM13*F13</f>
        <v>15000</v>
      </c>
      <c r="AO13" s="142">
        <v>150</v>
      </c>
      <c r="AP13" s="224">
        <f>AO13*F13</f>
        <v>15000</v>
      </c>
      <c r="AQ13" s="142">
        <v>100</v>
      </c>
      <c r="AR13" s="224">
        <f>AQ13*F13</f>
        <v>10000</v>
      </c>
      <c r="AS13" s="142">
        <v>150</v>
      </c>
      <c r="AT13" s="224">
        <f>AS13*F13</f>
        <v>15000</v>
      </c>
      <c r="AU13" s="142">
        <v>150</v>
      </c>
      <c r="AV13" s="224">
        <f>AU13*F13</f>
        <v>15000</v>
      </c>
      <c r="AW13" s="142">
        <v>150</v>
      </c>
      <c r="AX13" s="224">
        <f>AW13*F13</f>
        <v>15000</v>
      </c>
      <c r="AY13" s="142">
        <v>150</v>
      </c>
      <c r="AZ13" s="224">
        <f>AY13*F13</f>
        <v>15000</v>
      </c>
      <c r="BA13" s="142">
        <v>150</v>
      </c>
      <c r="BB13" s="224">
        <f>BA13*F13</f>
        <v>15000</v>
      </c>
      <c r="BC13" s="142">
        <v>150</v>
      </c>
      <c r="BD13" s="224">
        <f>BC13*F13</f>
        <v>15000</v>
      </c>
      <c r="BE13" s="142">
        <v>150</v>
      </c>
      <c r="BF13" s="224">
        <f>BE13*F13</f>
        <v>15000</v>
      </c>
      <c r="BG13" s="142">
        <v>150</v>
      </c>
      <c r="BH13" s="224">
        <f>BG13*F13</f>
        <v>15000</v>
      </c>
      <c r="BI13" s="142"/>
      <c r="BJ13" s="224">
        <f>BI13*F13</f>
        <v>0</v>
      </c>
      <c r="BK13" s="142">
        <f t="shared" si="2"/>
        <v>2500</v>
      </c>
      <c r="BL13" s="142">
        <f t="shared" si="2"/>
        <v>250000</v>
      </c>
      <c r="BM13" s="377" t="s">
        <v>224</v>
      </c>
      <c r="BN13" s="245"/>
      <c r="BO13" s="98"/>
      <c r="BP13" s="98">
        <f>H13</f>
        <v>250000</v>
      </c>
      <c r="BQ13" s="98"/>
      <c r="BR13" s="98"/>
      <c r="BS13" s="98">
        <f>BO13+BP13+BQ13+BR13</f>
        <v>250000</v>
      </c>
      <c r="BT13" s="98"/>
      <c r="BU13" s="98"/>
      <c r="BV13" s="98">
        <f>BT13+BU13</f>
        <v>0</v>
      </c>
      <c r="BW13" s="99">
        <f t="shared" si="1"/>
        <v>250000</v>
      </c>
    </row>
    <row r="14" spans="1:75" s="90" customFormat="1">
      <c r="A14" s="596"/>
      <c r="B14" s="121"/>
      <c r="C14" s="395"/>
      <c r="D14" s="323" t="s">
        <v>595</v>
      </c>
      <c r="E14" s="377" t="s">
        <v>71</v>
      </c>
      <c r="F14" s="325">
        <v>100</v>
      </c>
      <c r="G14" s="221">
        <f>BK14</f>
        <v>1450</v>
      </c>
      <c r="H14" s="123">
        <f>G14*F14</f>
        <v>145000</v>
      </c>
      <c r="I14" s="569">
        <f>H14*0.2</f>
        <v>29000</v>
      </c>
      <c r="J14" s="569">
        <f>H14*0.8</f>
        <v>116000</v>
      </c>
      <c r="K14" s="123"/>
      <c r="L14" s="123"/>
      <c r="M14" s="123"/>
      <c r="N14" s="123"/>
      <c r="O14" s="123"/>
      <c r="P14" s="123"/>
      <c r="Q14" s="123"/>
      <c r="R14" s="123"/>
      <c r="S14" s="142">
        <f>G14*0.25</f>
        <v>362.5</v>
      </c>
      <c r="T14" s="142">
        <f>G14*0.25</f>
        <v>362.5</v>
      </c>
      <c r="U14" s="142">
        <f>G14*0.25</f>
        <v>362.5</v>
      </c>
      <c r="V14" s="142">
        <f>G14*0.25</f>
        <v>362.5</v>
      </c>
      <c r="W14" s="224">
        <f>S14*F14</f>
        <v>36250</v>
      </c>
      <c r="X14" s="224">
        <f>T14*F14</f>
        <v>36250</v>
      </c>
      <c r="Y14" s="224">
        <f>U14*F14</f>
        <v>36250</v>
      </c>
      <c r="Z14" s="224">
        <f>V14*F14</f>
        <v>36250</v>
      </c>
      <c r="AA14" s="222">
        <v>100</v>
      </c>
      <c r="AB14" s="224">
        <f>AA14*F14</f>
        <v>10000</v>
      </c>
      <c r="AC14" s="222">
        <v>60</v>
      </c>
      <c r="AD14" s="224">
        <f>AC14*F14</f>
        <v>6000</v>
      </c>
      <c r="AE14" s="222">
        <v>100</v>
      </c>
      <c r="AF14" s="224">
        <f>AE14*F14</f>
        <v>10000</v>
      </c>
      <c r="AG14" s="222">
        <v>150</v>
      </c>
      <c r="AH14" s="224">
        <f>AG14*F14</f>
        <v>15000</v>
      </c>
      <c r="AI14" s="222">
        <v>60</v>
      </c>
      <c r="AJ14" s="224">
        <f>AI14*F14</f>
        <v>6000</v>
      </c>
      <c r="AK14" s="222">
        <v>100</v>
      </c>
      <c r="AL14" s="224">
        <f>AK14*F14</f>
        <v>10000</v>
      </c>
      <c r="AM14" s="222">
        <v>100</v>
      </c>
      <c r="AN14" s="224">
        <f>AM14*F14</f>
        <v>10000</v>
      </c>
      <c r="AO14" s="222">
        <v>100</v>
      </c>
      <c r="AP14" s="224">
        <f>AO14*F14</f>
        <v>10000</v>
      </c>
      <c r="AQ14" s="222">
        <v>60</v>
      </c>
      <c r="AR14" s="224">
        <f>AQ14*F14</f>
        <v>6000</v>
      </c>
      <c r="AS14" s="222">
        <v>60</v>
      </c>
      <c r="AT14" s="224">
        <f>AS14*F14</f>
        <v>6000</v>
      </c>
      <c r="AU14" s="222">
        <v>60</v>
      </c>
      <c r="AV14" s="224">
        <f>AU14*F14</f>
        <v>6000</v>
      </c>
      <c r="AW14" s="222">
        <v>60</v>
      </c>
      <c r="AX14" s="224">
        <f>AW14*F14</f>
        <v>6000</v>
      </c>
      <c r="AY14" s="222">
        <v>60</v>
      </c>
      <c r="AZ14" s="224">
        <f>AY14*F14</f>
        <v>6000</v>
      </c>
      <c r="BA14" s="222">
        <v>100</v>
      </c>
      <c r="BB14" s="224">
        <f>BA14*F14</f>
        <v>10000</v>
      </c>
      <c r="BC14" s="222">
        <v>80</v>
      </c>
      <c r="BD14" s="224">
        <f>BC14*F14</f>
        <v>8000</v>
      </c>
      <c r="BE14" s="222">
        <v>100</v>
      </c>
      <c r="BF14" s="224">
        <f>BE14*F14</f>
        <v>10000</v>
      </c>
      <c r="BG14" s="222">
        <v>100</v>
      </c>
      <c r="BH14" s="224">
        <f>BG14*F14</f>
        <v>10000</v>
      </c>
      <c r="BI14" s="222"/>
      <c r="BJ14" s="224">
        <f>BI14*F14</f>
        <v>0</v>
      </c>
      <c r="BK14" s="142">
        <f t="shared" si="2"/>
        <v>1450</v>
      </c>
      <c r="BL14" s="142">
        <f t="shared" si="2"/>
        <v>145000</v>
      </c>
      <c r="BM14" s="377" t="s">
        <v>224</v>
      </c>
      <c r="BN14" s="245"/>
      <c r="BO14" s="98"/>
      <c r="BP14" s="98">
        <f>H14</f>
        <v>145000</v>
      </c>
      <c r="BQ14" s="98"/>
      <c r="BR14" s="98"/>
      <c r="BS14" s="98">
        <f>BO14+BP14+BQ14+BR14</f>
        <v>145000</v>
      </c>
      <c r="BT14" s="98"/>
      <c r="BU14" s="98"/>
      <c r="BV14" s="98">
        <f>BT14+BU14</f>
        <v>0</v>
      </c>
      <c r="BW14" s="99">
        <f t="shared" si="1"/>
        <v>145000</v>
      </c>
    </row>
    <row r="15" spans="1:75" s="240" customFormat="1">
      <c r="A15" s="596"/>
      <c r="B15" s="467"/>
      <c r="C15" s="649"/>
      <c r="D15" s="336" t="s">
        <v>596</v>
      </c>
      <c r="E15" s="364" t="s">
        <v>121</v>
      </c>
      <c r="F15" s="347" t="s">
        <v>121</v>
      </c>
      <c r="G15" s="469">
        <f>SUM(G12:G14)</f>
        <v>6450</v>
      </c>
      <c r="H15" s="469">
        <f t="shared" ref="H15:BL15" si="3">SUM(H12:H14)</f>
        <v>645000</v>
      </c>
      <c r="I15" s="469">
        <f t="shared" si="3"/>
        <v>129000</v>
      </c>
      <c r="J15" s="469">
        <f t="shared" si="3"/>
        <v>516000</v>
      </c>
      <c r="K15" s="469">
        <f t="shared" si="3"/>
        <v>0</v>
      </c>
      <c r="L15" s="469">
        <f t="shared" si="3"/>
        <v>0</v>
      </c>
      <c r="M15" s="469">
        <f t="shared" si="3"/>
        <v>0</v>
      </c>
      <c r="N15" s="469">
        <f t="shared" si="3"/>
        <v>0</v>
      </c>
      <c r="O15" s="469">
        <f t="shared" si="3"/>
        <v>0</v>
      </c>
      <c r="P15" s="469">
        <f t="shared" si="3"/>
        <v>0</v>
      </c>
      <c r="Q15" s="469">
        <f t="shared" si="3"/>
        <v>0</v>
      </c>
      <c r="R15" s="469">
        <f t="shared" si="3"/>
        <v>0</v>
      </c>
      <c r="S15" s="469">
        <f t="shared" si="3"/>
        <v>1612.5</v>
      </c>
      <c r="T15" s="469">
        <f t="shared" si="3"/>
        <v>1612.5</v>
      </c>
      <c r="U15" s="469">
        <f t="shared" si="3"/>
        <v>1612.5</v>
      </c>
      <c r="V15" s="469">
        <f t="shared" si="3"/>
        <v>1612.5</v>
      </c>
      <c r="W15" s="469">
        <f t="shared" si="3"/>
        <v>161250</v>
      </c>
      <c r="X15" s="469">
        <f t="shared" si="3"/>
        <v>161250</v>
      </c>
      <c r="Y15" s="469">
        <f t="shared" si="3"/>
        <v>161250</v>
      </c>
      <c r="Z15" s="469">
        <f t="shared" si="3"/>
        <v>161250</v>
      </c>
      <c r="AA15" s="469">
        <f t="shared" si="3"/>
        <v>400</v>
      </c>
      <c r="AB15" s="469">
        <f t="shared" si="3"/>
        <v>40000</v>
      </c>
      <c r="AC15" s="469">
        <f t="shared" si="3"/>
        <v>360</v>
      </c>
      <c r="AD15" s="469">
        <f t="shared" si="3"/>
        <v>36000</v>
      </c>
      <c r="AE15" s="469">
        <f t="shared" si="3"/>
        <v>400</v>
      </c>
      <c r="AF15" s="469">
        <f t="shared" si="3"/>
        <v>40000</v>
      </c>
      <c r="AG15" s="469">
        <f t="shared" si="3"/>
        <v>450</v>
      </c>
      <c r="AH15" s="469">
        <f t="shared" si="3"/>
        <v>45000</v>
      </c>
      <c r="AI15" s="469">
        <f t="shared" si="3"/>
        <v>360</v>
      </c>
      <c r="AJ15" s="469">
        <f t="shared" si="3"/>
        <v>36000</v>
      </c>
      <c r="AK15" s="469">
        <f t="shared" si="3"/>
        <v>400</v>
      </c>
      <c r="AL15" s="469">
        <f t="shared" si="3"/>
        <v>40000</v>
      </c>
      <c r="AM15" s="469">
        <f t="shared" si="3"/>
        <v>400</v>
      </c>
      <c r="AN15" s="469">
        <f t="shared" si="3"/>
        <v>40000</v>
      </c>
      <c r="AO15" s="469">
        <f t="shared" si="3"/>
        <v>400</v>
      </c>
      <c r="AP15" s="469">
        <f t="shared" si="3"/>
        <v>40000</v>
      </c>
      <c r="AQ15" s="469">
        <f t="shared" si="3"/>
        <v>260</v>
      </c>
      <c r="AR15" s="469">
        <f t="shared" si="3"/>
        <v>26000</v>
      </c>
      <c r="AS15" s="469">
        <f t="shared" si="3"/>
        <v>360</v>
      </c>
      <c r="AT15" s="469">
        <f t="shared" si="3"/>
        <v>36000</v>
      </c>
      <c r="AU15" s="469">
        <f t="shared" si="3"/>
        <v>360</v>
      </c>
      <c r="AV15" s="469">
        <f t="shared" si="3"/>
        <v>36000</v>
      </c>
      <c r="AW15" s="469">
        <f t="shared" si="3"/>
        <v>360</v>
      </c>
      <c r="AX15" s="469">
        <f t="shared" si="3"/>
        <v>36000</v>
      </c>
      <c r="AY15" s="469">
        <f t="shared" si="3"/>
        <v>360</v>
      </c>
      <c r="AZ15" s="469">
        <f t="shared" si="3"/>
        <v>36000</v>
      </c>
      <c r="BA15" s="469">
        <f t="shared" si="3"/>
        <v>400</v>
      </c>
      <c r="BB15" s="469">
        <f t="shared" si="3"/>
        <v>40000</v>
      </c>
      <c r="BC15" s="469">
        <f t="shared" si="3"/>
        <v>380</v>
      </c>
      <c r="BD15" s="469">
        <f t="shared" si="3"/>
        <v>38000</v>
      </c>
      <c r="BE15" s="469">
        <f t="shared" si="3"/>
        <v>400</v>
      </c>
      <c r="BF15" s="469">
        <f t="shared" si="3"/>
        <v>40000</v>
      </c>
      <c r="BG15" s="469">
        <f t="shared" si="3"/>
        <v>400</v>
      </c>
      <c r="BH15" s="469">
        <f t="shared" si="3"/>
        <v>40000</v>
      </c>
      <c r="BI15" s="469">
        <f t="shared" si="3"/>
        <v>0</v>
      </c>
      <c r="BJ15" s="469">
        <f t="shared" si="3"/>
        <v>0</v>
      </c>
      <c r="BK15" s="469">
        <f t="shared" si="3"/>
        <v>6450</v>
      </c>
      <c r="BL15" s="469">
        <f t="shared" si="3"/>
        <v>645000</v>
      </c>
      <c r="BM15" s="364" t="s">
        <v>121</v>
      </c>
      <c r="BN15" s="650"/>
      <c r="BO15" s="651">
        <f t="shared" ref="BO15:BV15" si="4">SUM(BO12:BO14)</f>
        <v>0</v>
      </c>
      <c r="BP15" s="651">
        <f t="shared" si="4"/>
        <v>645000</v>
      </c>
      <c r="BQ15" s="651">
        <f t="shared" si="4"/>
        <v>0</v>
      </c>
      <c r="BR15" s="651">
        <f t="shared" si="4"/>
        <v>0</v>
      </c>
      <c r="BS15" s="651">
        <f t="shared" si="4"/>
        <v>645000</v>
      </c>
      <c r="BT15" s="651">
        <f t="shared" si="4"/>
        <v>0</v>
      </c>
      <c r="BU15" s="651">
        <f t="shared" si="4"/>
        <v>0</v>
      </c>
      <c r="BV15" s="651">
        <f t="shared" si="4"/>
        <v>0</v>
      </c>
      <c r="BW15" s="471">
        <f t="shared" si="1"/>
        <v>645000</v>
      </c>
    </row>
    <row r="16" spans="1:75" s="90" customFormat="1">
      <c r="A16" s="596"/>
      <c r="B16" s="121"/>
      <c r="C16" s="93"/>
      <c r="D16" s="332" t="s">
        <v>597</v>
      </c>
      <c r="E16" s="377"/>
      <c r="F16" s="377"/>
      <c r="G16" s="221"/>
      <c r="H16" s="399"/>
      <c r="I16" s="399"/>
      <c r="J16" s="399"/>
      <c r="K16" s="399"/>
      <c r="L16" s="399"/>
      <c r="M16" s="399"/>
      <c r="N16" s="399"/>
      <c r="O16" s="399"/>
      <c r="P16" s="223"/>
      <c r="Q16" s="223"/>
      <c r="R16" s="223"/>
      <c r="S16" s="142"/>
      <c r="T16" s="142"/>
      <c r="U16" s="142"/>
      <c r="V16" s="142"/>
      <c r="W16" s="223"/>
      <c r="X16" s="223"/>
      <c r="Y16" s="223"/>
      <c r="Z16" s="223"/>
      <c r="AA16" s="222"/>
      <c r="AB16" s="224">
        <f>AA16*F16</f>
        <v>0</v>
      </c>
      <c r="AC16" s="222"/>
      <c r="AD16" s="224">
        <f>AC16*F16</f>
        <v>0</v>
      </c>
      <c r="AE16" s="222"/>
      <c r="AF16" s="224">
        <f>AE16*F16</f>
        <v>0</v>
      </c>
      <c r="AG16" s="222"/>
      <c r="AH16" s="224">
        <f>AG16*F16</f>
        <v>0</v>
      </c>
      <c r="AI16" s="222"/>
      <c r="AJ16" s="224">
        <f>AI16*F16</f>
        <v>0</v>
      </c>
      <c r="AK16" s="222"/>
      <c r="AL16" s="224">
        <f>AK16*F16</f>
        <v>0</v>
      </c>
      <c r="AM16" s="222"/>
      <c r="AN16" s="224">
        <f>AM16*F16</f>
        <v>0</v>
      </c>
      <c r="AO16" s="222"/>
      <c r="AP16" s="224">
        <f>AO16*F16</f>
        <v>0</v>
      </c>
      <c r="AQ16" s="222"/>
      <c r="AR16" s="224">
        <f>AQ16*F16</f>
        <v>0</v>
      </c>
      <c r="AS16" s="222"/>
      <c r="AT16" s="224">
        <f>AS16*F16</f>
        <v>0</v>
      </c>
      <c r="AU16" s="222"/>
      <c r="AV16" s="224">
        <f>AU16*F16</f>
        <v>0</v>
      </c>
      <c r="AW16" s="222"/>
      <c r="AX16" s="224">
        <f>AW16*F16</f>
        <v>0</v>
      </c>
      <c r="AY16" s="223"/>
      <c r="AZ16" s="224">
        <f>AY16*F16</f>
        <v>0</v>
      </c>
      <c r="BA16" s="222"/>
      <c r="BB16" s="224">
        <f>BA16*F16</f>
        <v>0</v>
      </c>
      <c r="BC16" s="222"/>
      <c r="BD16" s="224">
        <f>BC16*F16</f>
        <v>0</v>
      </c>
      <c r="BE16" s="222"/>
      <c r="BF16" s="224"/>
      <c r="BG16" s="222"/>
      <c r="BH16" s="224"/>
      <c r="BI16" s="222"/>
      <c r="BJ16" s="224"/>
      <c r="BK16" s="142"/>
      <c r="BL16" s="224"/>
      <c r="BM16" s="377"/>
      <c r="BO16" s="98"/>
      <c r="BP16" s="98"/>
      <c r="BQ16" s="98"/>
      <c r="BR16" s="98"/>
      <c r="BS16" s="98"/>
      <c r="BT16" s="98"/>
      <c r="BU16" s="98"/>
      <c r="BV16" s="98"/>
      <c r="BW16" s="99">
        <f t="shared" si="1"/>
        <v>0</v>
      </c>
    </row>
    <row r="17" spans="1:75" s="90" customFormat="1" ht="21.75" customHeight="1">
      <c r="A17" s="596"/>
      <c r="B17" s="121"/>
      <c r="C17" s="400"/>
      <c r="D17" s="323" t="s">
        <v>598</v>
      </c>
      <c r="E17" s="377" t="s">
        <v>468</v>
      </c>
      <c r="F17" s="466">
        <v>100000</v>
      </c>
      <c r="G17" s="221">
        <f>BK17</f>
        <v>1</v>
      </c>
      <c r="H17" s="123">
        <f>G17*F17</f>
        <v>100000</v>
      </c>
      <c r="I17" s="569">
        <f>H17*0.2</f>
        <v>20000</v>
      </c>
      <c r="J17" s="569">
        <f>H17*0.8</f>
        <v>80000</v>
      </c>
      <c r="K17" s="223"/>
      <c r="L17" s="223"/>
      <c r="M17" s="223"/>
      <c r="N17" s="223"/>
      <c r="O17" s="223"/>
      <c r="P17" s="223"/>
      <c r="Q17" s="223"/>
      <c r="R17" s="223"/>
      <c r="S17" s="222">
        <f>G17*0.25</f>
        <v>0.25</v>
      </c>
      <c r="T17" s="222">
        <f>G17*0.25</f>
        <v>0.25</v>
      </c>
      <c r="U17" s="222">
        <f>G17*0.25</f>
        <v>0.25</v>
      </c>
      <c r="V17" s="222">
        <f>G17*0.25</f>
        <v>0.25</v>
      </c>
      <c r="W17" s="223">
        <f>S17*F17</f>
        <v>25000</v>
      </c>
      <c r="X17" s="223">
        <f>T17*F17</f>
        <v>25000</v>
      </c>
      <c r="Y17" s="223">
        <f>U17*F17</f>
        <v>25000</v>
      </c>
      <c r="Z17" s="223">
        <f>V17*F17</f>
        <v>25000</v>
      </c>
      <c r="AA17" s="222"/>
      <c r="AB17" s="224">
        <f>AA17*F17</f>
        <v>0</v>
      </c>
      <c r="AC17" s="222"/>
      <c r="AD17" s="224">
        <f>AC17*F17</f>
        <v>0</v>
      </c>
      <c r="AE17" s="222"/>
      <c r="AF17" s="224">
        <f>AE17*F17</f>
        <v>0</v>
      </c>
      <c r="AG17" s="222"/>
      <c r="AH17" s="224">
        <f>AG17*F17</f>
        <v>0</v>
      </c>
      <c r="AI17" s="222"/>
      <c r="AJ17" s="224">
        <f>AI17*F17</f>
        <v>0</v>
      </c>
      <c r="AK17" s="222"/>
      <c r="AL17" s="224">
        <f>AK17*F17</f>
        <v>0</v>
      </c>
      <c r="AM17" s="222"/>
      <c r="AN17" s="224">
        <f>AM17*F17</f>
        <v>0</v>
      </c>
      <c r="AO17" s="222"/>
      <c r="AP17" s="224">
        <f>AO17*F17</f>
        <v>0</v>
      </c>
      <c r="AQ17" s="222"/>
      <c r="AR17" s="224">
        <f>AQ17*F17</f>
        <v>0</v>
      </c>
      <c r="AS17" s="222"/>
      <c r="AT17" s="224">
        <f>AS17*F17</f>
        <v>0</v>
      </c>
      <c r="AU17" s="222"/>
      <c r="AV17" s="224">
        <f>AU17*F17</f>
        <v>0</v>
      </c>
      <c r="AW17" s="222"/>
      <c r="AX17" s="224">
        <f>AW17*F17</f>
        <v>0</v>
      </c>
      <c r="AY17" s="223"/>
      <c r="AZ17" s="224">
        <f>AY17*F17</f>
        <v>0</v>
      </c>
      <c r="BA17" s="222"/>
      <c r="BB17" s="224">
        <f>BA17*F17</f>
        <v>0</v>
      </c>
      <c r="BC17" s="222"/>
      <c r="BD17" s="224">
        <f>BC17*F17</f>
        <v>0</v>
      </c>
      <c r="BE17" s="222"/>
      <c r="BF17" s="224">
        <f>BE17*F17</f>
        <v>0</v>
      </c>
      <c r="BG17" s="222"/>
      <c r="BH17" s="224">
        <f>BG17*F17</f>
        <v>0</v>
      </c>
      <c r="BI17" s="222">
        <v>1</v>
      </c>
      <c r="BJ17" s="224">
        <f>BI17*F17</f>
        <v>100000</v>
      </c>
      <c r="BK17" s="142">
        <f t="shared" ref="BK17:BL20" si="5">BI17+BG17+BE17+BC17+BA17+AY17+AW17+AU17+AS17+AQ17+AO17+AM17+AK17+AI17+AG17+AE17+AC17+AA17</f>
        <v>1</v>
      </c>
      <c r="BL17" s="142">
        <f t="shared" si="5"/>
        <v>100000</v>
      </c>
      <c r="BM17" s="377" t="s">
        <v>224</v>
      </c>
      <c r="BN17" s="245"/>
      <c r="BO17" s="98"/>
      <c r="BP17" s="98">
        <f>H17</f>
        <v>100000</v>
      </c>
      <c r="BQ17" s="98"/>
      <c r="BR17" s="98"/>
      <c r="BS17" s="98">
        <f>BO17+BP17+BQ17+BR17</f>
        <v>100000</v>
      </c>
      <c r="BT17" s="98"/>
      <c r="BU17" s="98"/>
      <c r="BV17" s="98"/>
      <c r="BW17" s="99">
        <f t="shared" si="1"/>
        <v>100000</v>
      </c>
    </row>
    <row r="18" spans="1:75" s="90" customFormat="1">
      <c r="A18" s="596"/>
      <c r="B18" s="121"/>
      <c r="C18" s="400"/>
      <c r="D18" s="323" t="s">
        <v>599</v>
      </c>
      <c r="E18" s="377"/>
      <c r="F18" s="325">
        <v>500000</v>
      </c>
      <c r="G18" s="221">
        <f>BK18</f>
        <v>1</v>
      </c>
      <c r="H18" s="123">
        <f>G18*F18</f>
        <v>500000</v>
      </c>
      <c r="I18" s="569">
        <f>H18*0.2</f>
        <v>100000</v>
      </c>
      <c r="J18" s="569">
        <f>H18*0.8</f>
        <v>400000</v>
      </c>
      <c r="K18" s="123"/>
      <c r="L18" s="123"/>
      <c r="M18" s="123"/>
      <c r="N18" s="123"/>
      <c r="O18" s="123"/>
      <c r="P18" s="123"/>
      <c r="Q18" s="123"/>
      <c r="R18" s="123"/>
      <c r="S18" s="222">
        <f>G18*0.25</f>
        <v>0.25</v>
      </c>
      <c r="T18" s="222">
        <f>G18*0.25</f>
        <v>0.25</v>
      </c>
      <c r="U18" s="222">
        <f>G18*0.25</f>
        <v>0.25</v>
      </c>
      <c r="V18" s="222">
        <f>G18*0.25</f>
        <v>0.25</v>
      </c>
      <c r="W18" s="223">
        <f>S18*F18</f>
        <v>125000</v>
      </c>
      <c r="X18" s="223">
        <f>T18*F18</f>
        <v>125000</v>
      </c>
      <c r="Y18" s="223">
        <f>U18*F18</f>
        <v>125000</v>
      </c>
      <c r="Z18" s="223">
        <f>V18*F18</f>
        <v>125000</v>
      </c>
      <c r="AA18" s="222"/>
      <c r="AB18" s="224">
        <f>AA18*F18</f>
        <v>0</v>
      </c>
      <c r="AC18" s="222"/>
      <c r="AD18" s="224">
        <f>AC18*F18</f>
        <v>0</v>
      </c>
      <c r="AE18" s="222"/>
      <c r="AF18" s="224">
        <f>AE18*F18</f>
        <v>0</v>
      </c>
      <c r="AG18" s="222"/>
      <c r="AH18" s="224">
        <f>AG18*F18</f>
        <v>0</v>
      </c>
      <c r="AI18" s="222"/>
      <c r="AJ18" s="224">
        <f>AI18*F18</f>
        <v>0</v>
      </c>
      <c r="AK18" s="222"/>
      <c r="AL18" s="224">
        <f>AK18*F18</f>
        <v>0</v>
      </c>
      <c r="AM18" s="222"/>
      <c r="AN18" s="224">
        <f>AM18*F18</f>
        <v>0</v>
      </c>
      <c r="AO18" s="222"/>
      <c r="AP18" s="224">
        <f>AO18*F18</f>
        <v>0</v>
      </c>
      <c r="AQ18" s="222"/>
      <c r="AR18" s="224">
        <f>AQ18*F18</f>
        <v>0</v>
      </c>
      <c r="AS18" s="222"/>
      <c r="AT18" s="224">
        <f>AS18*F18</f>
        <v>0</v>
      </c>
      <c r="AU18" s="222"/>
      <c r="AV18" s="224">
        <f>AU18*F18</f>
        <v>0</v>
      </c>
      <c r="AW18" s="222"/>
      <c r="AX18" s="224">
        <f>AW18*F18</f>
        <v>0</v>
      </c>
      <c r="AY18" s="223"/>
      <c r="AZ18" s="224">
        <f>AY18*F18</f>
        <v>0</v>
      </c>
      <c r="BA18" s="222"/>
      <c r="BB18" s="224">
        <f>BA18*F18</f>
        <v>0</v>
      </c>
      <c r="BC18" s="222"/>
      <c r="BD18" s="224">
        <f>BC18*F18</f>
        <v>0</v>
      </c>
      <c r="BE18" s="222"/>
      <c r="BF18" s="224">
        <f>BE18*F18</f>
        <v>0</v>
      </c>
      <c r="BG18" s="222"/>
      <c r="BH18" s="224">
        <f>BG18*F18</f>
        <v>0</v>
      </c>
      <c r="BI18" s="222">
        <v>1</v>
      </c>
      <c r="BJ18" s="224">
        <f>BI18*F18</f>
        <v>500000</v>
      </c>
      <c r="BK18" s="142">
        <f t="shared" si="5"/>
        <v>1</v>
      </c>
      <c r="BL18" s="142">
        <f t="shared" si="5"/>
        <v>500000</v>
      </c>
      <c r="BM18" s="377" t="s">
        <v>224</v>
      </c>
      <c r="BN18" s="245"/>
      <c r="BO18" s="98"/>
      <c r="BP18" s="98">
        <f>H18</f>
        <v>500000</v>
      </c>
      <c r="BQ18" s="98"/>
      <c r="BR18" s="98"/>
      <c r="BS18" s="98">
        <f>BO18+BP18+BQ18+BR18</f>
        <v>500000</v>
      </c>
      <c r="BT18" s="98"/>
      <c r="BU18" s="98"/>
      <c r="BV18" s="98">
        <f>BT18+BU18</f>
        <v>0</v>
      </c>
      <c r="BW18" s="99">
        <f t="shared" si="1"/>
        <v>500000</v>
      </c>
    </row>
    <row r="19" spans="1:75" s="406" customFormat="1" ht="32.25" customHeight="1">
      <c r="A19" s="596"/>
      <c r="B19" s="401"/>
      <c r="C19" s="400"/>
      <c r="D19" s="665" t="s">
        <v>703</v>
      </c>
      <c r="E19" s="377" t="s">
        <v>74</v>
      </c>
      <c r="F19" s="466">
        <v>1000000</v>
      </c>
      <c r="G19" s="221">
        <v>1</v>
      </c>
      <c r="H19" s="123">
        <f>G19*F19</f>
        <v>1000000</v>
      </c>
      <c r="I19" s="570">
        <f>H19*0.2</f>
        <v>200000</v>
      </c>
      <c r="J19" s="570">
        <f>H19*0.8</f>
        <v>800000</v>
      </c>
      <c r="K19" s="402"/>
      <c r="L19" s="402"/>
      <c r="M19" s="402"/>
      <c r="N19" s="402"/>
      <c r="O19" s="402"/>
      <c r="P19" s="402"/>
      <c r="Q19" s="402"/>
      <c r="R19" s="402"/>
      <c r="S19" s="142">
        <f>G19*0.25</f>
        <v>0.25</v>
      </c>
      <c r="T19" s="142">
        <f>G19*0.25</f>
        <v>0.25</v>
      </c>
      <c r="U19" s="142">
        <f>G19*0.25</f>
        <v>0.25</v>
      </c>
      <c r="V19" s="142">
        <f>G19*0.25</f>
        <v>0.25</v>
      </c>
      <c r="W19" s="224">
        <f>S19*F19</f>
        <v>250000</v>
      </c>
      <c r="X19" s="224">
        <f>T19*F19</f>
        <v>250000</v>
      </c>
      <c r="Y19" s="224">
        <f>U19*F19</f>
        <v>250000</v>
      </c>
      <c r="Z19" s="224">
        <f>V19*F19</f>
        <v>250000</v>
      </c>
      <c r="AA19" s="142"/>
      <c r="AB19" s="224">
        <f>AA19*F19</f>
        <v>0</v>
      </c>
      <c r="AC19" s="142"/>
      <c r="AD19" s="224">
        <f>AC19*F19</f>
        <v>0</v>
      </c>
      <c r="AE19" s="142"/>
      <c r="AF19" s="224">
        <f>AE19*F19</f>
        <v>0</v>
      </c>
      <c r="AG19" s="142"/>
      <c r="AH19" s="224">
        <f>AG19*F19</f>
        <v>0</v>
      </c>
      <c r="AI19" s="142"/>
      <c r="AJ19" s="224">
        <f>AI19*F19</f>
        <v>0</v>
      </c>
      <c r="AK19" s="142"/>
      <c r="AL19" s="224">
        <f>AK19*F19</f>
        <v>0</v>
      </c>
      <c r="AM19" s="142"/>
      <c r="AN19" s="224">
        <f>AM19*F19</f>
        <v>0</v>
      </c>
      <c r="AO19" s="142"/>
      <c r="AP19" s="224">
        <f>AO19*F19</f>
        <v>0</v>
      </c>
      <c r="AQ19" s="142"/>
      <c r="AR19" s="224">
        <f>AQ19*F19</f>
        <v>0</v>
      </c>
      <c r="AS19" s="142"/>
      <c r="AT19" s="224">
        <f>AS19*F19</f>
        <v>0</v>
      </c>
      <c r="AU19" s="142"/>
      <c r="AV19" s="224">
        <f>AU19*F19</f>
        <v>0</v>
      </c>
      <c r="AW19" s="142"/>
      <c r="AX19" s="224">
        <f>AW19*F19</f>
        <v>0</v>
      </c>
      <c r="AY19" s="224"/>
      <c r="AZ19" s="224">
        <f>AY19*F19</f>
        <v>0</v>
      </c>
      <c r="BA19" s="142"/>
      <c r="BB19" s="224">
        <f>BA19*F19</f>
        <v>0</v>
      </c>
      <c r="BC19" s="142"/>
      <c r="BD19" s="224">
        <f>BC19*F19</f>
        <v>0</v>
      </c>
      <c r="BE19" s="142"/>
      <c r="BF19" s="224">
        <f>BE19*F19</f>
        <v>0</v>
      </c>
      <c r="BG19" s="142"/>
      <c r="BH19" s="224">
        <f>BG19*F19</f>
        <v>0</v>
      </c>
      <c r="BI19" s="142">
        <v>1</v>
      </c>
      <c r="BJ19" s="224">
        <f>BI19*F19</f>
        <v>1000000</v>
      </c>
      <c r="BK19" s="142">
        <f t="shared" si="5"/>
        <v>1</v>
      </c>
      <c r="BL19" s="142">
        <f t="shared" si="5"/>
        <v>1000000</v>
      </c>
      <c r="BM19" s="377" t="s">
        <v>224</v>
      </c>
      <c r="BN19" s="403"/>
      <c r="BO19" s="404"/>
      <c r="BP19" s="404">
        <v>0</v>
      </c>
      <c r="BQ19" s="404">
        <f>H19</f>
        <v>1000000</v>
      </c>
      <c r="BR19" s="404"/>
      <c r="BS19" s="404">
        <f>BO19+BP19+BQ19+BR19</f>
        <v>1000000</v>
      </c>
      <c r="BT19" s="404"/>
      <c r="BU19" s="404"/>
      <c r="BV19" s="404"/>
      <c r="BW19" s="405">
        <f t="shared" si="1"/>
        <v>1000000</v>
      </c>
    </row>
    <row r="20" spans="1:75" s="90" customFormat="1">
      <c r="A20" s="596"/>
      <c r="B20" s="121"/>
      <c r="C20" s="400"/>
      <c r="D20" s="323" t="s">
        <v>600</v>
      </c>
      <c r="E20" s="377" t="s">
        <v>326</v>
      </c>
      <c r="F20" s="325">
        <v>12000</v>
      </c>
      <c r="G20" s="221">
        <f>BK20</f>
        <v>468</v>
      </c>
      <c r="H20" s="123">
        <f>G20*F20</f>
        <v>5616000</v>
      </c>
      <c r="I20" s="569">
        <f>H20*0.2</f>
        <v>1123200</v>
      </c>
      <c r="J20" s="569">
        <f>H20*0.8</f>
        <v>4492800</v>
      </c>
      <c r="K20" s="123"/>
      <c r="L20" s="123"/>
      <c r="M20" s="123"/>
      <c r="N20" s="123"/>
      <c r="O20" s="123"/>
      <c r="P20" s="123"/>
      <c r="Q20" s="123"/>
      <c r="R20" s="123"/>
      <c r="S20" s="222">
        <f>G20*0.25</f>
        <v>117</v>
      </c>
      <c r="T20" s="222">
        <f>G20*0.25</f>
        <v>117</v>
      </c>
      <c r="U20" s="222">
        <f>G20*0.25</f>
        <v>117</v>
      </c>
      <c r="V20" s="222">
        <f>G20*0.25</f>
        <v>117</v>
      </c>
      <c r="W20" s="223">
        <f>S20*F20</f>
        <v>1404000</v>
      </c>
      <c r="X20" s="223">
        <f>T20*F20</f>
        <v>1404000</v>
      </c>
      <c r="Y20" s="223">
        <f>U20*F20</f>
        <v>1404000</v>
      </c>
      <c r="Z20" s="223">
        <f>V20*F20</f>
        <v>1404000</v>
      </c>
      <c r="AA20" s="222">
        <f>2*12</f>
        <v>24</v>
      </c>
      <c r="AB20" s="224">
        <f>AA20*F20</f>
        <v>288000</v>
      </c>
      <c r="AC20" s="222">
        <v>24</v>
      </c>
      <c r="AD20" s="224">
        <f>AC20*F20</f>
        <v>288000</v>
      </c>
      <c r="AE20" s="222">
        <v>24</v>
      </c>
      <c r="AF20" s="224">
        <f>AE20*F20</f>
        <v>288000</v>
      </c>
      <c r="AG20" s="222">
        <v>24</v>
      </c>
      <c r="AH20" s="224">
        <f>AG20*F20</f>
        <v>288000</v>
      </c>
      <c r="AI20" s="222">
        <v>24</v>
      </c>
      <c r="AJ20" s="224">
        <f>AI20*F20</f>
        <v>288000</v>
      </c>
      <c r="AK20" s="222">
        <v>24</v>
      </c>
      <c r="AL20" s="224">
        <f>AK20*F20</f>
        <v>288000</v>
      </c>
      <c r="AM20" s="222">
        <v>24</v>
      </c>
      <c r="AN20" s="224">
        <f>AM20*F20</f>
        <v>288000</v>
      </c>
      <c r="AO20" s="222">
        <v>36</v>
      </c>
      <c r="AP20" s="224">
        <f>AO20*F20</f>
        <v>432000</v>
      </c>
      <c r="AQ20" s="222">
        <v>24</v>
      </c>
      <c r="AR20" s="224">
        <f>AQ20*F20</f>
        <v>288000</v>
      </c>
      <c r="AS20" s="222">
        <v>24</v>
      </c>
      <c r="AT20" s="224">
        <f>AS20*F20</f>
        <v>288000</v>
      </c>
      <c r="AU20" s="222">
        <v>24</v>
      </c>
      <c r="AV20" s="224">
        <f>AU20*F20</f>
        <v>288000</v>
      </c>
      <c r="AW20" s="222">
        <v>36</v>
      </c>
      <c r="AX20" s="224">
        <f>AW20*F20</f>
        <v>432000</v>
      </c>
      <c r="AY20" s="223">
        <v>24</v>
      </c>
      <c r="AZ20" s="224">
        <f>AY20*F20</f>
        <v>288000</v>
      </c>
      <c r="BA20" s="222">
        <v>24</v>
      </c>
      <c r="BB20" s="224">
        <f>BA20*F20</f>
        <v>288000</v>
      </c>
      <c r="BC20" s="222">
        <v>24</v>
      </c>
      <c r="BD20" s="224">
        <f>BC20*F20</f>
        <v>288000</v>
      </c>
      <c r="BE20" s="222">
        <v>36</v>
      </c>
      <c r="BF20" s="224">
        <f>BE20*F20</f>
        <v>432000</v>
      </c>
      <c r="BG20" s="222">
        <v>48</v>
      </c>
      <c r="BH20" s="224">
        <f>BG20*F20</f>
        <v>576000</v>
      </c>
      <c r="BI20" s="222">
        <v>0</v>
      </c>
      <c r="BJ20" s="224">
        <f>BI20*F20</f>
        <v>0</v>
      </c>
      <c r="BK20" s="142">
        <f t="shared" si="5"/>
        <v>468</v>
      </c>
      <c r="BL20" s="142">
        <f t="shared" si="5"/>
        <v>5616000</v>
      </c>
      <c r="BM20" s="377" t="s">
        <v>224</v>
      </c>
      <c r="BN20" s="403"/>
      <c r="BO20" s="98"/>
      <c r="BP20" s="98"/>
      <c r="BQ20" s="98"/>
      <c r="BR20" s="98"/>
      <c r="BS20" s="98">
        <f>BO20+BP20+BQ20+BR20</f>
        <v>0</v>
      </c>
      <c r="BT20" s="98">
        <f>BL20</f>
        <v>5616000</v>
      </c>
      <c r="BU20" s="98"/>
      <c r="BV20" s="98">
        <f>BT20+BU20</f>
        <v>5616000</v>
      </c>
      <c r="BW20" s="99">
        <f t="shared" si="1"/>
        <v>5616000</v>
      </c>
    </row>
    <row r="21" spans="1:75" s="240" customFormat="1">
      <c r="A21" s="634"/>
      <c r="B21" s="467"/>
      <c r="C21" s="468"/>
      <c r="D21" s="336" t="s">
        <v>601</v>
      </c>
      <c r="E21" s="439" t="s">
        <v>121</v>
      </c>
      <c r="F21" s="440" t="s">
        <v>121</v>
      </c>
      <c r="G21" s="469">
        <f>SUM(G17:G20)</f>
        <v>471</v>
      </c>
      <c r="H21" s="469">
        <f t="shared" ref="H21:BL21" si="6">SUM(H17:H20)</f>
        <v>7216000</v>
      </c>
      <c r="I21" s="469">
        <f t="shared" si="6"/>
        <v>1443200</v>
      </c>
      <c r="J21" s="469">
        <f t="shared" si="6"/>
        <v>5772800</v>
      </c>
      <c r="K21" s="469">
        <f t="shared" si="6"/>
        <v>0</v>
      </c>
      <c r="L21" s="469">
        <f t="shared" si="6"/>
        <v>0</v>
      </c>
      <c r="M21" s="469">
        <f t="shared" si="6"/>
        <v>0</v>
      </c>
      <c r="N21" s="469">
        <f t="shared" si="6"/>
        <v>0</v>
      </c>
      <c r="O21" s="469">
        <f t="shared" si="6"/>
        <v>0</v>
      </c>
      <c r="P21" s="469">
        <f t="shared" si="6"/>
        <v>0</v>
      </c>
      <c r="Q21" s="469">
        <f t="shared" si="6"/>
        <v>0</v>
      </c>
      <c r="R21" s="469">
        <f t="shared" si="6"/>
        <v>0</v>
      </c>
      <c r="S21" s="469">
        <f t="shared" si="6"/>
        <v>117.75</v>
      </c>
      <c r="T21" s="469">
        <f t="shared" si="6"/>
        <v>117.75</v>
      </c>
      <c r="U21" s="469">
        <f t="shared" si="6"/>
        <v>117.75</v>
      </c>
      <c r="V21" s="469">
        <f t="shared" si="6"/>
        <v>117.75</v>
      </c>
      <c r="W21" s="469">
        <f t="shared" si="6"/>
        <v>1804000</v>
      </c>
      <c r="X21" s="469">
        <f t="shared" si="6"/>
        <v>1804000</v>
      </c>
      <c r="Y21" s="469">
        <f t="shared" si="6"/>
        <v>1804000</v>
      </c>
      <c r="Z21" s="469">
        <f t="shared" si="6"/>
        <v>1804000</v>
      </c>
      <c r="AA21" s="469">
        <f t="shared" si="6"/>
        <v>24</v>
      </c>
      <c r="AB21" s="469">
        <f t="shared" si="6"/>
        <v>288000</v>
      </c>
      <c r="AC21" s="469">
        <f t="shared" si="6"/>
        <v>24</v>
      </c>
      <c r="AD21" s="469">
        <f t="shared" si="6"/>
        <v>288000</v>
      </c>
      <c r="AE21" s="469">
        <f t="shared" si="6"/>
        <v>24</v>
      </c>
      <c r="AF21" s="469">
        <f t="shared" si="6"/>
        <v>288000</v>
      </c>
      <c r="AG21" s="469">
        <f t="shared" si="6"/>
        <v>24</v>
      </c>
      <c r="AH21" s="469">
        <f t="shared" si="6"/>
        <v>288000</v>
      </c>
      <c r="AI21" s="469">
        <f t="shared" si="6"/>
        <v>24</v>
      </c>
      <c r="AJ21" s="469">
        <f t="shared" si="6"/>
        <v>288000</v>
      </c>
      <c r="AK21" s="469">
        <f t="shared" si="6"/>
        <v>24</v>
      </c>
      <c r="AL21" s="469">
        <f t="shared" si="6"/>
        <v>288000</v>
      </c>
      <c r="AM21" s="469">
        <f t="shared" si="6"/>
        <v>24</v>
      </c>
      <c r="AN21" s="469">
        <f t="shared" si="6"/>
        <v>288000</v>
      </c>
      <c r="AO21" s="469">
        <f t="shared" si="6"/>
        <v>36</v>
      </c>
      <c r="AP21" s="469">
        <f t="shared" si="6"/>
        <v>432000</v>
      </c>
      <c r="AQ21" s="469">
        <f t="shared" si="6"/>
        <v>24</v>
      </c>
      <c r="AR21" s="469">
        <f t="shared" si="6"/>
        <v>288000</v>
      </c>
      <c r="AS21" s="469">
        <f t="shared" si="6"/>
        <v>24</v>
      </c>
      <c r="AT21" s="469">
        <f t="shared" si="6"/>
        <v>288000</v>
      </c>
      <c r="AU21" s="469">
        <f t="shared" si="6"/>
        <v>24</v>
      </c>
      <c r="AV21" s="469">
        <f t="shared" si="6"/>
        <v>288000</v>
      </c>
      <c r="AW21" s="469">
        <f t="shared" si="6"/>
        <v>36</v>
      </c>
      <c r="AX21" s="469">
        <f t="shared" si="6"/>
        <v>432000</v>
      </c>
      <c r="AY21" s="469">
        <f t="shared" si="6"/>
        <v>24</v>
      </c>
      <c r="AZ21" s="469">
        <f t="shared" si="6"/>
        <v>288000</v>
      </c>
      <c r="BA21" s="469">
        <f t="shared" si="6"/>
        <v>24</v>
      </c>
      <c r="BB21" s="469">
        <f t="shared" si="6"/>
        <v>288000</v>
      </c>
      <c r="BC21" s="469">
        <f t="shared" si="6"/>
        <v>24</v>
      </c>
      <c r="BD21" s="469">
        <f t="shared" si="6"/>
        <v>288000</v>
      </c>
      <c r="BE21" s="469">
        <f t="shared" si="6"/>
        <v>36</v>
      </c>
      <c r="BF21" s="469">
        <f t="shared" si="6"/>
        <v>432000</v>
      </c>
      <c r="BG21" s="469">
        <f t="shared" si="6"/>
        <v>48</v>
      </c>
      <c r="BH21" s="469">
        <f t="shared" si="6"/>
        <v>576000</v>
      </c>
      <c r="BI21" s="469">
        <f t="shared" si="6"/>
        <v>3</v>
      </c>
      <c r="BJ21" s="469">
        <f t="shared" si="6"/>
        <v>1600000</v>
      </c>
      <c r="BK21" s="469">
        <f t="shared" si="6"/>
        <v>471</v>
      </c>
      <c r="BL21" s="469">
        <f t="shared" si="6"/>
        <v>7216000</v>
      </c>
      <c r="BM21" s="439" t="s">
        <v>121</v>
      </c>
      <c r="BN21" s="470"/>
      <c r="BO21" s="344"/>
      <c r="BP21" s="344">
        <f>H21</f>
        <v>7216000</v>
      </c>
      <c r="BQ21" s="344"/>
      <c r="BR21" s="344"/>
      <c r="BS21" s="344">
        <f>BO21+BP21+BQ21+BR21</f>
        <v>7216000</v>
      </c>
      <c r="BT21" s="344"/>
      <c r="BU21" s="344"/>
      <c r="BV21" s="344">
        <f>BT21+BU21</f>
        <v>0</v>
      </c>
      <c r="BW21" s="471">
        <f t="shared" si="1"/>
        <v>7216000</v>
      </c>
    </row>
    <row r="22" spans="1:75" s="226" customFormat="1">
      <c r="A22" s="596"/>
      <c r="B22" s="129"/>
      <c r="C22" s="622"/>
      <c r="D22" s="332" t="s">
        <v>602</v>
      </c>
      <c r="E22" s="377"/>
      <c r="F22" s="377"/>
      <c r="G22" s="132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407"/>
      <c r="AB22" s="224">
        <f t="shared" ref="AB22:AB30" si="7">AA22*F22</f>
        <v>0</v>
      </c>
      <c r="AC22" s="407"/>
      <c r="AD22" s="224">
        <f t="shared" ref="AD22:AD30" si="8">AC22*F22</f>
        <v>0</v>
      </c>
      <c r="AE22" s="407"/>
      <c r="AF22" s="224">
        <f t="shared" ref="AF22:AF30" si="9">AE22*F22</f>
        <v>0</v>
      </c>
      <c r="AG22" s="407"/>
      <c r="AH22" s="224">
        <f t="shared" ref="AH22:AH30" si="10">AG22*F22</f>
        <v>0</v>
      </c>
      <c r="AI22" s="407"/>
      <c r="AJ22" s="224">
        <f t="shared" ref="AJ22:AJ30" si="11">AI22*F22</f>
        <v>0</v>
      </c>
      <c r="AK22" s="407"/>
      <c r="AL22" s="224">
        <f t="shared" ref="AL22:AL30" si="12">AK22*F22</f>
        <v>0</v>
      </c>
      <c r="AM22" s="407"/>
      <c r="AN22" s="224">
        <f t="shared" ref="AN22:AN30" si="13">AM22*F22</f>
        <v>0</v>
      </c>
      <c r="AO22" s="407"/>
      <c r="AP22" s="224">
        <f t="shared" ref="AP22:AP30" si="14">AO22*F22</f>
        <v>0</v>
      </c>
      <c r="AQ22" s="407"/>
      <c r="AR22" s="224">
        <f t="shared" ref="AR22:AR30" si="15">AQ22*F22</f>
        <v>0</v>
      </c>
      <c r="AS22" s="407"/>
      <c r="AT22" s="224">
        <f t="shared" ref="AT22:AT30" si="16">AS22*F22</f>
        <v>0</v>
      </c>
      <c r="AU22" s="407"/>
      <c r="AV22" s="224">
        <f t="shared" ref="AV22:AV30" si="17">AU22*F22</f>
        <v>0</v>
      </c>
      <c r="AW22" s="407"/>
      <c r="AX22" s="224">
        <f t="shared" ref="AX22:AX30" si="18">AW22*F22</f>
        <v>0</v>
      </c>
      <c r="AY22" s="407"/>
      <c r="AZ22" s="224">
        <f t="shared" ref="AZ22:AZ30" si="19">AY22*F22</f>
        <v>0</v>
      </c>
      <c r="BA22" s="407"/>
      <c r="BB22" s="224">
        <f t="shared" ref="BB22:BB30" si="20">BA22*F22</f>
        <v>0</v>
      </c>
      <c r="BC22" s="407"/>
      <c r="BD22" s="224">
        <f t="shared" ref="BD22:BD30" si="21">BC22*F22</f>
        <v>0</v>
      </c>
      <c r="BE22" s="407"/>
      <c r="BF22" s="224">
        <f t="shared" ref="BF22:BF30" si="22">BE22*F22</f>
        <v>0</v>
      </c>
      <c r="BG22" s="407"/>
      <c r="BH22" s="224">
        <f t="shared" ref="BH22:BH30" si="23">BG22*F22</f>
        <v>0</v>
      </c>
      <c r="BI22" s="407"/>
      <c r="BJ22" s="224">
        <f t="shared" ref="BJ22:BJ30" si="24">BI22*F22</f>
        <v>0</v>
      </c>
      <c r="BK22" s="142">
        <f t="shared" ref="BK22:BK30" si="25">BI22+BG22+BE22+BC22+BA22+AY22+AW22+AU22+AS22+AQ22+AO22+AM22+AK22+AI22+AG22+AE22+AC22+AA22</f>
        <v>0</v>
      </c>
      <c r="BL22" s="142"/>
      <c r="BM22" s="377"/>
      <c r="BN22" s="403"/>
      <c r="BO22" s="399"/>
      <c r="BP22" s="399"/>
      <c r="BQ22" s="399"/>
      <c r="BR22" s="399"/>
      <c r="BS22" s="399"/>
      <c r="BT22" s="399"/>
      <c r="BU22" s="399"/>
      <c r="BV22" s="399"/>
      <c r="BW22" s="408"/>
    </row>
    <row r="23" spans="1:75">
      <c r="A23" s="596"/>
      <c r="B23" s="109"/>
      <c r="C23" s="30">
        <v>21310</v>
      </c>
      <c r="D23" s="106" t="s">
        <v>75</v>
      </c>
      <c r="E23" s="30"/>
      <c r="F23" s="116"/>
      <c r="G23" s="111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3"/>
      <c r="T23" s="113"/>
      <c r="U23" s="113"/>
      <c r="V23" s="113"/>
      <c r="W23" s="110"/>
      <c r="X23" s="110"/>
      <c r="Y23" s="110"/>
      <c r="Z23" s="110"/>
      <c r="AA23" s="113"/>
      <c r="AB23" s="224">
        <f t="shared" si="7"/>
        <v>0</v>
      </c>
      <c r="AC23" s="113"/>
      <c r="AD23" s="224">
        <f t="shared" si="8"/>
        <v>0</v>
      </c>
      <c r="AE23" s="113"/>
      <c r="AF23" s="224">
        <f t="shared" si="9"/>
        <v>0</v>
      </c>
      <c r="AG23" s="113"/>
      <c r="AH23" s="224">
        <f t="shared" si="10"/>
        <v>0</v>
      </c>
      <c r="AI23" s="113"/>
      <c r="AJ23" s="224">
        <f t="shared" si="11"/>
        <v>0</v>
      </c>
      <c r="AK23" s="113"/>
      <c r="AL23" s="224">
        <f t="shared" si="12"/>
        <v>0</v>
      </c>
      <c r="AM23" s="113"/>
      <c r="AN23" s="224">
        <f t="shared" si="13"/>
        <v>0</v>
      </c>
      <c r="AO23" s="113"/>
      <c r="AP23" s="224">
        <f t="shared" si="14"/>
        <v>0</v>
      </c>
      <c r="AQ23" s="113"/>
      <c r="AR23" s="224">
        <f t="shared" si="15"/>
        <v>0</v>
      </c>
      <c r="AS23" s="113"/>
      <c r="AT23" s="224">
        <f t="shared" si="16"/>
        <v>0</v>
      </c>
      <c r="AU23" s="113"/>
      <c r="AV23" s="224">
        <f t="shared" si="17"/>
        <v>0</v>
      </c>
      <c r="AW23" s="113"/>
      <c r="AX23" s="224">
        <f t="shared" si="18"/>
        <v>0</v>
      </c>
      <c r="AY23" s="110">
        <v>0</v>
      </c>
      <c r="AZ23" s="224">
        <f t="shared" si="19"/>
        <v>0</v>
      </c>
      <c r="BA23" s="113"/>
      <c r="BB23" s="224">
        <f t="shared" si="20"/>
        <v>0</v>
      </c>
      <c r="BC23" s="113"/>
      <c r="BD23" s="224">
        <f t="shared" si="21"/>
        <v>0</v>
      </c>
      <c r="BE23" s="113"/>
      <c r="BF23" s="224">
        <f t="shared" si="22"/>
        <v>0</v>
      </c>
      <c r="BG23" s="113"/>
      <c r="BH23" s="224">
        <f t="shared" si="23"/>
        <v>0</v>
      </c>
      <c r="BI23" s="113"/>
      <c r="BJ23" s="224">
        <f t="shared" si="24"/>
        <v>0</v>
      </c>
      <c r="BK23" s="142">
        <f t="shared" si="25"/>
        <v>0</v>
      </c>
      <c r="BL23" s="142">
        <f t="shared" ref="BL23:BL30" si="26">BJ23+BH23+BF23+BD23+BB23+AZ23+AX23+AV23+AT23+AR23+AP23+AN23+AL23+AJ23+AH23+AF23+AD23+AB23</f>
        <v>0</v>
      </c>
      <c r="BM23" s="159"/>
      <c r="BN23" s="273"/>
      <c r="BO23" s="117">
        <f t="shared" ref="BO23:BO28" si="27">H23</f>
        <v>0</v>
      </c>
      <c r="BP23" s="70"/>
      <c r="BQ23" s="70"/>
      <c r="BR23" s="70"/>
      <c r="BS23" s="70">
        <f t="shared" ref="BS23:BS30" si="28">BO23+BP23+BQ23+BR23</f>
        <v>0</v>
      </c>
      <c r="BT23" s="70"/>
      <c r="BU23" s="70"/>
      <c r="BV23" s="70">
        <f>BT23+BU23</f>
        <v>0</v>
      </c>
      <c r="BW23" s="107">
        <f t="shared" si="1"/>
        <v>0</v>
      </c>
    </row>
    <row r="24" spans="1:75">
      <c r="A24" s="596"/>
      <c r="B24" s="109"/>
      <c r="C24" s="30"/>
      <c r="D24" s="30" t="s">
        <v>319</v>
      </c>
      <c r="E24" s="37" t="s">
        <v>325</v>
      </c>
      <c r="F24" s="116">
        <v>60000</v>
      </c>
      <c r="G24" s="111">
        <f t="shared" ref="G24:G30" si="29">BK24</f>
        <v>2300</v>
      </c>
      <c r="H24" s="117">
        <f t="shared" ref="H24:H30" si="30">G24*F24</f>
        <v>138000000</v>
      </c>
      <c r="I24" s="571"/>
      <c r="J24" s="571"/>
      <c r="K24" s="571"/>
      <c r="L24" s="571"/>
      <c r="M24" s="571"/>
      <c r="N24" s="571">
        <f>H24</f>
        <v>138000000</v>
      </c>
      <c r="O24" s="571"/>
      <c r="P24" s="571"/>
      <c r="Q24" s="571"/>
      <c r="R24" s="117"/>
      <c r="S24" s="113">
        <f t="shared" ref="S24:S29" si="31">G24*0.35</f>
        <v>805</v>
      </c>
      <c r="T24" s="113">
        <f>G24*0.1</f>
        <v>230</v>
      </c>
      <c r="U24" s="113">
        <f>G24:G24*0.15</f>
        <v>345</v>
      </c>
      <c r="V24" s="113">
        <f>G24*0.4</f>
        <v>920</v>
      </c>
      <c r="W24" s="110">
        <f t="shared" ref="W24:W29" si="32">S24*F24</f>
        <v>48300000</v>
      </c>
      <c r="X24" s="110">
        <f t="shared" ref="X24:X29" si="33">T24*F24</f>
        <v>13800000</v>
      </c>
      <c r="Y24" s="110">
        <f t="shared" ref="Y24:Y30" si="34">U24*F24</f>
        <v>20700000</v>
      </c>
      <c r="Z24" s="110">
        <f t="shared" ref="Z24:Z30" si="35">V24*F24</f>
        <v>55200000</v>
      </c>
      <c r="AA24" s="113">
        <v>150</v>
      </c>
      <c r="AB24" s="224">
        <f t="shared" si="7"/>
        <v>9000000</v>
      </c>
      <c r="AC24" s="113">
        <v>100</v>
      </c>
      <c r="AD24" s="224">
        <f t="shared" si="8"/>
        <v>6000000</v>
      </c>
      <c r="AE24" s="113">
        <v>100</v>
      </c>
      <c r="AF24" s="224">
        <f t="shared" si="9"/>
        <v>6000000</v>
      </c>
      <c r="AG24" s="113">
        <v>150</v>
      </c>
      <c r="AH24" s="224">
        <f t="shared" si="10"/>
        <v>9000000</v>
      </c>
      <c r="AI24" s="113">
        <v>150</v>
      </c>
      <c r="AJ24" s="224">
        <f t="shared" si="11"/>
        <v>9000000</v>
      </c>
      <c r="AK24" s="113">
        <v>150</v>
      </c>
      <c r="AL24" s="224">
        <f t="shared" si="12"/>
        <v>9000000</v>
      </c>
      <c r="AM24" s="113">
        <v>150</v>
      </c>
      <c r="AN24" s="224">
        <f t="shared" si="13"/>
        <v>9000000</v>
      </c>
      <c r="AO24" s="113">
        <v>150</v>
      </c>
      <c r="AP24" s="224">
        <f t="shared" si="14"/>
        <v>9000000</v>
      </c>
      <c r="AQ24" s="113">
        <v>50</v>
      </c>
      <c r="AR24" s="224">
        <f t="shared" si="15"/>
        <v>3000000</v>
      </c>
      <c r="AS24" s="113">
        <v>100</v>
      </c>
      <c r="AT24" s="224">
        <f t="shared" si="16"/>
        <v>6000000</v>
      </c>
      <c r="AU24" s="113">
        <v>100</v>
      </c>
      <c r="AV24" s="224">
        <f t="shared" si="17"/>
        <v>6000000</v>
      </c>
      <c r="AW24" s="113">
        <v>100</v>
      </c>
      <c r="AX24" s="224">
        <f t="shared" si="18"/>
        <v>6000000</v>
      </c>
      <c r="AY24" s="110">
        <v>150</v>
      </c>
      <c r="AZ24" s="224">
        <f t="shared" si="19"/>
        <v>9000000</v>
      </c>
      <c r="BA24" s="113">
        <v>150</v>
      </c>
      <c r="BB24" s="224">
        <f t="shared" si="20"/>
        <v>9000000</v>
      </c>
      <c r="BC24" s="113">
        <v>200</v>
      </c>
      <c r="BD24" s="224">
        <f t="shared" si="21"/>
        <v>12000000</v>
      </c>
      <c r="BE24" s="113">
        <v>200</v>
      </c>
      <c r="BF24" s="224">
        <f t="shared" si="22"/>
        <v>12000000</v>
      </c>
      <c r="BG24" s="113">
        <v>150</v>
      </c>
      <c r="BH24" s="224">
        <f t="shared" si="23"/>
        <v>9000000</v>
      </c>
      <c r="BI24" s="113"/>
      <c r="BJ24" s="224">
        <f t="shared" si="24"/>
        <v>0</v>
      </c>
      <c r="BK24" s="142">
        <f t="shared" si="25"/>
        <v>2300</v>
      </c>
      <c r="BL24" s="142">
        <f t="shared" si="26"/>
        <v>138000000</v>
      </c>
      <c r="BM24" s="159" t="s">
        <v>385</v>
      </c>
      <c r="BN24" s="273"/>
      <c r="BO24" s="117">
        <f t="shared" si="27"/>
        <v>138000000</v>
      </c>
      <c r="BP24" s="70"/>
      <c r="BQ24" s="70"/>
      <c r="BR24" s="70"/>
      <c r="BS24" s="70">
        <f t="shared" si="28"/>
        <v>138000000</v>
      </c>
      <c r="BT24" s="70"/>
      <c r="BU24" s="70"/>
      <c r="BV24" s="70"/>
      <c r="BW24" s="107">
        <f t="shared" si="1"/>
        <v>138000000</v>
      </c>
    </row>
    <row r="25" spans="1:75">
      <c r="A25" s="596"/>
      <c r="B25" s="109"/>
      <c r="C25" s="30"/>
      <c r="D25" s="30" t="s">
        <v>328</v>
      </c>
      <c r="E25" s="37" t="s">
        <v>325</v>
      </c>
      <c r="F25" s="116">
        <v>20000</v>
      </c>
      <c r="G25" s="111">
        <f t="shared" si="29"/>
        <v>2170</v>
      </c>
      <c r="H25" s="117">
        <f t="shared" si="30"/>
        <v>43400000</v>
      </c>
      <c r="I25" s="571">
        <f>H25*0.15</f>
        <v>6510000</v>
      </c>
      <c r="J25" s="571">
        <f>H25*0.75</f>
        <v>32550000</v>
      </c>
      <c r="K25" s="571"/>
      <c r="L25" s="571"/>
      <c r="M25" s="571"/>
      <c r="N25" s="571"/>
      <c r="O25" s="571"/>
      <c r="P25" s="571"/>
      <c r="Q25" s="571">
        <f>H25*0.1</f>
        <v>4340000</v>
      </c>
      <c r="R25" s="117"/>
      <c r="S25" s="113">
        <f t="shared" si="31"/>
        <v>759.5</v>
      </c>
      <c r="T25" s="113">
        <f>G25*0.1</f>
        <v>217</v>
      </c>
      <c r="U25" s="113">
        <f>G25:G25*0.15</f>
        <v>325.5</v>
      </c>
      <c r="V25" s="113">
        <f>G25*0.4</f>
        <v>868</v>
      </c>
      <c r="W25" s="110">
        <f t="shared" si="32"/>
        <v>15190000</v>
      </c>
      <c r="X25" s="110">
        <f t="shared" si="33"/>
        <v>4340000</v>
      </c>
      <c r="Y25" s="110">
        <f t="shared" si="34"/>
        <v>6510000</v>
      </c>
      <c r="Z25" s="110">
        <f t="shared" si="35"/>
        <v>17360000</v>
      </c>
      <c r="AA25" s="113">
        <v>100</v>
      </c>
      <c r="AB25" s="224">
        <f t="shared" si="7"/>
        <v>2000000</v>
      </c>
      <c r="AC25" s="667">
        <v>60</v>
      </c>
      <c r="AD25" s="224">
        <f t="shared" si="8"/>
        <v>1200000</v>
      </c>
      <c r="AE25" s="113">
        <v>80</v>
      </c>
      <c r="AF25" s="224">
        <f t="shared" si="9"/>
        <v>1600000</v>
      </c>
      <c r="AG25" s="115">
        <v>150</v>
      </c>
      <c r="AH25" s="224">
        <f t="shared" si="10"/>
        <v>3000000</v>
      </c>
      <c r="AI25" s="113">
        <v>60</v>
      </c>
      <c r="AJ25" s="224">
        <f t="shared" si="11"/>
        <v>1200000</v>
      </c>
      <c r="AK25" s="667">
        <v>100</v>
      </c>
      <c r="AL25" s="224">
        <f t="shared" si="12"/>
        <v>2000000</v>
      </c>
      <c r="AM25" s="667">
        <v>140</v>
      </c>
      <c r="AN25" s="224">
        <f t="shared" si="13"/>
        <v>2800000</v>
      </c>
      <c r="AO25" s="667">
        <v>150</v>
      </c>
      <c r="AP25" s="224">
        <f t="shared" si="14"/>
        <v>3000000</v>
      </c>
      <c r="AQ25" s="113">
        <v>50</v>
      </c>
      <c r="AR25" s="224">
        <f t="shared" si="15"/>
        <v>1000000</v>
      </c>
      <c r="AS25" s="113">
        <v>100</v>
      </c>
      <c r="AT25" s="224">
        <f t="shared" si="16"/>
        <v>2000000</v>
      </c>
      <c r="AU25" s="667">
        <v>200</v>
      </c>
      <c r="AV25" s="224">
        <f t="shared" si="17"/>
        <v>4000000</v>
      </c>
      <c r="AW25" s="113">
        <v>80</v>
      </c>
      <c r="AX25" s="224">
        <f t="shared" si="18"/>
        <v>1600000</v>
      </c>
      <c r="AY25" s="110">
        <v>200</v>
      </c>
      <c r="AZ25" s="224">
        <f t="shared" si="19"/>
        <v>4000000</v>
      </c>
      <c r="BA25" s="113">
        <v>100</v>
      </c>
      <c r="BB25" s="224">
        <f t="shared" si="20"/>
        <v>2000000</v>
      </c>
      <c r="BC25" s="667">
        <v>200</v>
      </c>
      <c r="BD25" s="224">
        <f t="shared" si="21"/>
        <v>4000000</v>
      </c>
      <c r="BE25" s="113">
        <v>200</v>
      </c>
      <c r="BF25" s="224">
        <f t="shared" si="22"/>
        <v>4000000</v>
      </c>
      <c r="BG25" s="115">
        <v>200</v>
      </c>
      <c r="BH25" s="224">
        <f t="shared" si="23"/>
        <v>4000000</v>
      </c>
      <c r="BI25" s="113"/>
      <c r="BJ25" s="224">
        <f t="shared" si="24"/>
        <v>0</v>
      </c>
      <c r="BK25" s="142">
        <f t="shared" si="25"/>
        <v>2170</v>
      </c>
      <c r="BL25" s="142">
        <f t="shared" si="26"/>
        <v>43400000</v>
      </c>
      <c r="BM25" s="159" t="s">
        <v>404</v>
      </c>
      <c r="BN25" s="273"/>
      <c r="BO25" s="117">
        <f t="shared" si="27"/>
        <v>43400000</v>
      </c>
      <c r="BP25" s="70"/>
      <c r="BQ25" s="70"/>
      <c r="BR25" s="70"/>
      <c r="BS25" s="70">
        <f t="shared" si="28"/>
        <v>43400000</v>
      </c>
      <c r="BT25" s="70"/>
      <c r="BU25" s="70"/>
      <c r="BV25" s="70"/>
      <c r="BW25" s="107">
        <f t="shared" si="1"/>
        <v>43400000</v>
      </c>
    </row>
    <row r="26" spans="1:75">
      <c r="A26" s="596"/>
      <c r="B26" s="109"/>
      <c r="C26" s="30"/>
      <c r="D26" s="30" t="s">
        <v>323</v>
      </c>
      <c r="E26" s="37" t="s">
        <v>379</v>
      </c>
      <c r="F26" s="116">
        <v>1000</v>
      </c>
      <c r="G26" s="111">
        <f t="shared" si="29"/>
        <v>400</v>
      </c>
      <c r="H26" s="117">
        <f t="shared" si="30"/>
        <v>400000</v>
      </c>
      <c r="I26" s="571"/>
      <c r="J26" s="571"/>
      <c r="K26" s="571"/>
      <c r="L26" s="571"/>
      <c r="M26" s="571"/>
      <c r="N26" s="571">
        <f>H26</f>
        <v>400000</v>
      </c>
      <c r="O26" s="571"/>
      <c r="P26" s="571"/>
      <c r="Q26" s="571"/>
      <c r="R26" s="117"/>
      <c r="S26" s="113">
        <f t="shared" si="31"/>
        <v>140</v>
      </c>
      <c r="T26" s="113">
        <f>G26*0.1</f>
        <v>40</v>
      </c>
      <c r="U26" s="113">
        <f>G26:G26*0.15</f>
        <v>60</v>
      </c>
      <c r="V26" s="113">
        <f>G26*0.4</f>
        <v>160</v>
      </c>
      <c r="W26" s="110">
        <f t="shared" si="32"/>
        <v>140000</v>
      </c>
      <c r="X26" s="110">
        <f t="shared" si="33"/>
        <v>40000</v>
      </c>
      <c r="Y26" s="110">
        <f t="shared" si="34"/>
        <v>60000</v>
      </c>
      <c r="Z26" s="110">
        <f t="shared" si="35"/>
        <v>160000</v>
      </c>
      <c r="AA26" s="113"/>
      <c r="AB26" s="224">
        <f t="shared" si="7"/>
        <v>0</v>
      </c>
      <c r="AC26" s="113"/>
      <c r="AD26" s="224">
        <f t="shared" si="8"/>
        <v>0</v>
      </c>
      <c r="AE26" s="113">
        <v>90</v>
      </c>
      <c r="AF26" s="224">
        <f t="shared" si="9"/>
        <v>90000</v>
      </c>
      <c r="AG26" s="113"/>
      <c r="AH26" s="224">
        <f t="shared" si="10"/>
        <v>0</v>
      </c>
      <c r="AI26" s="113"/>
      <c r="AJ26" s="224">
        <f t="shared" si="11"/>
        <v>0</v>
      </c>
      <c r="AK26" s="113">
        <v>110</v>
      </c>
      <c r="AL26" s="224">
        <f t="shared" si="12"/>
        <v>110000</v>
      </c>
      <c r="AM26" s="113">
        <v>0</v>
      </c>
      <c r="AN26" s="224">
        <f t="shared" si="13"/>
        <v>0</v>
      </c>
      <c r="AO26" s="113"/>
      <c r="AP26" s="224">
        <f t="shared" si="14"/>
        <v>0</v>
      </c>
      <c r="AQ26" s="113"/>
      <c r="AR26" s="224">
        <f t="shared" si="15"/>
        <v>0</v>
      </c>
      <c r="AS26" s="113">
        <v>100</v>
      </c>
      <c r="AT26" s="224">
        <f t="shared" si="16"/>
        <v>100000</v>
      </c>
      <c r="AU26" s="113">
        <v>100</v>
      </c>
      <c r="AV26" s="224">
        <f t="shared" si="17"/>
        <v>100000</v>
      </c>
      <c r="AW26" s="113">
        <v>0</v>
      </c>
      <c r="AX26" s="224">
        <f t="shared" si="18"/>
        <v>0</v>
      </c>
      <c r="AY26" s="110">
        <v>0</v>
      </c>
      <c r="AZ26" s="224">
        <f t="shared" si="19"/>
        <v>0</v>
      </c>
      <c r="BA26" s="113"/>
      <c r="BB26" s="224">
        <f t="shared" si="20"/>
        <v>0</v>
      </c>
      <c r="BC26" s="113"/>
      <c r="BD26" s="224">
        <f t="shared" si="21"/>
        <v>0</v>
      </c>
      <c r="BE26" s="113">
        <v>0</v>
      </c>
      <c r="BF26" s="224">
        <f t="shared" si="22"/>
        <v>0</v>
      </c>
      <c r="BG26" s="113">
        <v>0</v>
      </c>
      <c r="BH26" s="224">
        <f t="shared" si="23"/>
        <v>0</v>
      </c>
      <c r="BI26" s="113"/>
      <c r="BJ26" s="224">
        <f t="shared" si="24"/>
        <v>0</v>
      </c>
      <c r="BK26" s="142">
        <f t="shared" si="25"/>
        <v>400</v>
      </c>
      <c r="BL26" s="142">
        <f t="shared" si="26"/>
        <v>400000</v>
      </c>
      <c r="BM26" s="159" t="s">
        <v>385</v>
      </c>
      <c r="BN26" s="273"/>
      <c r="BO26" s="117">
        <f t="shared" si="27"/>
        <v>400000</v>
      </c>
      <c r="BP26" s="70"/>
      <c r="BQ26" s="70"/>
      <c r="BR26" s="70"/>
      <c r="BS26" s="70">
        <f t="shared" si="28"/>
        <v>400000</v>
      </c>
      <c r="BT26" s="70"/>
      <c r="BU26" s="70"/>
      <c r="BV26" s="70"/>
      <c r="BW26" s="107">
        <f t="shared" si="1"/>
        <v>400000</v>
      </c>
    </row>
    <row r="27" spans="1:75">
      <c r="A27" s="596"/>
      <c r="B27" s="109"/>
      <c r="C27" s="30"/>
      <c r="D27" s="30" t="s">
        <v>321</v>
      </c>
      <c r="E27" s="37" t="s">
        <v>325</v>
      </c>
      <c r="F27" s="116">
        <v>50000</v>
      </c>
      <c r="G27" s="111">
        <f t="shared" si="29"/>
        <v>28</v>
      </c>
      <c r="H27" s="117">
        <f t="shared" si="30"/>
        <v>1400000</v>
      </c>
      <c r="I27" s="571"/>
      <c r="J27" s="571"/>
      <c r="K27" s="571"/>
      <c r="L27" s="571"/>
      <c r="M27" s="571"/>
      <c r="N27" s="571">
        <f>H27</f>
        <v>1400000</v>
      </c>
      <c r="O27" s="571"/>
      <c r="P27" s="571"/>
      <c r="Q27" s="571"/>
      <c r="R27" s="117"/>
      <c r="S27" s="113">
        <f t="shared" si="31"/>
        <v>9.7999999999999989</v>
      </c>
      <c r="T27" s="113">
        <f>G27*0.1</f>
        <v>2.8000000000000003</v>
      </c>
      <c r="U27" s="113">
        <f>G27:G27*0.15</f>
        <v>4.2</v>
      </c>
      <c r="V27" s="113">
        <f>G27*0.4</f>
        <v>11.200000000000001</v>
      </c>
      <c r="W27" s="110">
        <f t="shared" si="32"/>
        <v>489999.99999999994</v>
      </c>
      <c r="X27" s="110">
        <f t="shared" si="33"/>
        <v>140000</v>
      </c>
      <c r="Y27" s="110">
        <f t="shared" si="34"/>
        <v>210000</v>
      </c>
      <c r="Z27" s="110">
        <f t="shared" si="35"/>
        <v>560000</v>
      </c>
      <c r="AA27" s="113"/>
      <c r="AB27" s="224">
        <f t="shared" si="7"/>
        <v>0</v>
      </c>
      <c r="AC27" s="113">
        <v>0</v>
      </c>
      <c r="AD27" s="224">
        <f t="shared" si="8"/>
        <v>0</v>
      </c>
      <c r="AE27" s="113"/>
      <c r="AF27" s="224">
        <f t="shared" si="9"/>
        <v>0</v>
      </c>
      <c r="AG27" s="113"/>
      <c r="AH27" s="224">
        <f t="shared" si="10"/>
        <v>0</v>
      </c>
      <c r="AI27" s="113">
        <v>10</v>
      </c>
      <c r="AJ27" s="224">
        <f t="shared" si="11"/>
        <v>500000</v>
      </c>
      <c r="AK27" s="113">
        <v>5</v>
      </c>
      <c r="AL27" s="224">
        <f t="shared" si="12"/>
        <v>250000</v>
      </c>
      <c r="AM27" s="113">
        <v>0</v>
      </c>
      <c r="AN27" s="224">
        <f t="shared" si="13"/>
        <v>0</v>
      </c>
      <c r="AO27" s="113"/>
      <c r="AP27" s="224">
        <f t="shared" si="14"/>
        <v>0</v>
      </c>
      <c r="AQ27" s="113"/>
      <c r="AR27" s="224">
        <f t="shared" si="15"/>
        <v>0</v>
      </c>
      <c r="AS27" s="113">
        <v>5</v>
      </c>
      <c r="AT27" s="224">
        <f t="shared" si="16"/>
        <v>250000</v>
      </c>
      <c r="AU27" s="113">
        <v>0</v>
      </c>
      <c r="AV27" s="224">
        <f t="shared" si="17"/>
        <v>0</v>
      </c>
      <c r="AW27" s="113">
        <v>0</v>
      </c>
      <c r="AX27" s="224">
        <f t="shared" si="18"/>
        <v>0</v>
      </c>
      <c r="AY27" s="110"/>
      <c r="AZ27" s="224">
        <f t="shared" si="19"/>
        <v>0</v>
      </c>
      <c r="BA27" s="113">
        <v>8</v>
      </c>
      <c r="BB27" s="224">
        <f t="shared" si="20"/>
        <v>400000</v>
      </c>
      <c r="BC27" s="113"/>
      <c r="BD27" s="224">
        <f t="shared" si="21"/>
        <v>0</v>
      </c>
      <c r="BE27" s="113">
        <v>0</v>
      </c>
      <c r="BF27" s="224">
        <f t="shared" si="22"/>
        <v>0</v>
      </c>
      <c r="BG27" s="113">
        <v>0</v>
      </c>
      <c r="BH27" s="224">
        <f t="shared" si="23"/>
        <v>0</v>
      </c>
      <c r="BI27" s="113"/>
      <c r="BJ27" s="224">
        <f t="shared" si="24"/>
        <v>0</v>
      </c>
      <c r="BK27" s="142">
        <f t="shared" si="25"/>
        <v>28</v>
      </c>
      <c r="BL27" s="142">
        <f t="shared" si="26"/>
        <v>1400000</v>
      </c>
      <c r="BM27" s="159" t="s">
        <v>385</v>
      </c>
      <c r="BN27" s="273"/>
      <c r="BO27" s="117">
        <f t="shared" si="27"/>
        <v>1400000</v>
      </c>
      <c r="BP27" s="70"/>
      <c r="BQ27" s="70"/>
      <c r="BR27" s="70"/>
      <c r="BS27" s="70">
        <f t="shared" si="28"/>
        <v>1400000</v>
      </c>
      <c r="BT27" s="70"/>
      <c r="BU27" s="70"/>
      <c r="BV27" s="70"/>
      <c r="BW27" s="107">
        <f t="shared" si="1"/>
        <v>1400000</v>
      </c>
    </row>
    <row r="28" spans="1:75" s="90" customFormat="1">
      <c r="A28" s="633"/>
      <c r="B28" s="121"/>
      <c r="C28" s="93"/>
      <c r="D28" s="93" t="s">
        <v>320</v>
      </c>
      <c r="E28" s="79" t="s">
        <v>327</v>
      </c>
      <c r="F28" s="118">
        <v>800</v>
      </c>
      <c r="G28" s="221">
        <f t="shared" si="29"/>
        <v>3800</v>
      </c>
      <c r="H28" s="123">
        <f t="shared" si="30"/>
        <v>3040000</v>
      </c>
      <c r="I28" s="569"/>
      <c r="J28" s="569"/>
      <c r="K28" s="569"/>
      <c r="L28" s="569"/>
      <c r="M28" s="569"/>
      <c r="N28" s="569">
        <f>H28</f>
        <v>3040000</v>
      </c>
      <c r="O28" s="569"/>
      <c r="P28" s="569"/>
      <c r="Q28" s="569"/>
      <c r="R28" s="123"/>
      <c r="S28" s="222">
        <f t="shared" si="31"/>
        <v>1330</v>
      </c>
      <c r="T28" s="222">
        <f>G28*0.1</f>
        <v>380</v>
      </c>
      <c r="U28" s="222">
        <f>G28:G28*0.15</f>
        <v>570</v>
      </c>
      <c r="V28" s="222">
        <f>G28*0.4</f>
        <v>1520</v>
      </c>
      <c r="W28" s="223">
        <f t="shared" si="32"/>
        <v>1064000</v>
      </c>
      <c r="X28" s="223">
        <f t="shared" si="33"/>
        <v>304000</v>
      </c>
      <c r="Y28" s="223">
        <f t="shared" si="34"/>
        <v>456000</v>
      </c>
      <c r="Z28" s="223">
        <f t="shared" si="35"/>
        <v>1216000</v>
      </c>
      <c r="AA28" s="222"/>
      <c r="AB28" s="224">
        <f t="shared" si="7"/>
        <v>0</v>
      </c>
      <c r="AC28" s="222"/>
      <c r="AD28" s="224">
        <f t="shared" si="8"/>
        <v>0</v>
      </c>
      <c r="AE28" s="222">
        <v>54</v>
      </c>
      <c r="AF28" s="224">
        <f t="shared" si="9"/>
        <v>43200</v>
      </c>
      <c r="AG28" s="222">
        <v>500</v>
      </c>
      <c r="AH28" s="224">
        <f t="shared" si="10"/>
        <v>400000</v>
      </c>
      <c r="AI28" s="222">
        <f>500-24</f>
        <v>476</v>
      </c>
      <c r="AJ28" s="224">
        <f t="shared" si="11"/>
        <v>380800</v>
      </c>
      <c r="AK28" s="222">
        <v>120</v>
      </c>
      <c r="AL28" s="224">
        <f t="shared" si="12"/>
        <v>96000</v>
      </c>
      <c r="AM28" s="222">
        <v>50</v>
      </c>
      <c r="AN28" s="224">
        <f t="shared" si="13"/>
        <v>40000</v>
      </c>
      <c r="AO28" s="222"/>
      <c r="AP28" s="224">
        <f t="shared" si="14"/>
        <v>0</v>
      </c>
      <c r="AQ28" s="222">
        <v>200</v>
      </c>
      <c r="AR28" s="224">
        <f t="shared" si="15"/>
        <v>160000</v>
      </c>
      <c r="AS28" s="222">
        <v>0</v>
      </c>
      <c r="AT28" s="224">
        <f t="shared" si="16"/>
        <v>0</v>
      </c>
      <c r="AU28" s="222">
        <v>0</v>
      </c>
      <c r="AV28" s="224">
        <f t="shared" si="17"/>
        <v>0</v>
      </c>
      <c r="AW28" s="222">
        <v>1000</v>
      </c>
      <c r="AX28" s="224">
        <f t="shared" si="18"/>
        <v>800000</v>
      </c>
      <c r="AY28" s="223"/>
      <c r="AZ28" s="224">
        <f t="shared" si="19"/>
        <v>0</v>
      </c>
      <c r="BA28" s="222">
        <v>500</v>
      </c>
      <c r="BB28" s="224">
        <f t="shared" si="20"/>
        <v>400000</v>
      </c>
      <c r="BC28" s="222">
        <v>500</v>
      </c>
      <c r="BD28" s="224">
        <f t="shared" si="21"/>
        <v>400000</v>
      </c>
      <c r="BE28" s="222">
        <v>400</v>
      </c>
      <c r="BF28" s="224">
        <f t="shared" si="22"/>
        <v>320000</v>
      </c>
      <c r="BG28" s="222">
        <v>0</v>
      </c>
      <c r="BH28" s="224">
        <f t="shared" si="23"/>
        <v>0</v>
      </c>
      <c r="BI28" s="222"/>
      <c r="BJ28" s="224">
        <f t="shared" si="24"/>
        <v>0</v>
      </c>
      <c r="BK28" s="142">
        <f t="shared" si="25"/>
        <v>3800</v>
      </c>
      <c r="BL28" s="142">
        <f t="shared" si="26"/>
        <v>3040000</v>
      </c>
      <c r="BM28" s="225" t="s">
        <v>385</v>
      </c>
      <c r="BN28" s="403"/>
      <c r="BO28" s="123">
        <f t="shared" si="27"/>
        <v>3040000</v>
      </c>
      <c r="BP28" s="98"/>
      <c r="BQ28" s="98"/>
      <c r="BR28" s="98"/>
      <c r="BS28" s="98">
        <f t="shared" si="28"/>
        <v>3040000</v>
      </c>
      <c r="BT28" s="98"/>
      <c r="BU28" s="98"/>
      <c r="BV28" s="98"/>
      <c r="BW28" s="99">
        <f t="shared" si="1"/>
        <v>3040000</v>
      </c>
    </row>
    <row r="29" spans="1:75">
      <c r="A29" s="596"/>
      <c r="B29" s="109"/>
      <c r="C29" s="30"/>
      <c r="D29" s="30" t="s">
        <v>419</v>
      </c>
      <c r="E29" s="37" t="s">
        <v>76</v>
      </c>
      <c r="F29" s="116">
        <v>160000</v>
      </c>
      <c r="G29" s="111">
        <f t="shared" si="29"/>
        <v>15</v>
      </c>
      <c r="H29" s="117">
        <f t="shared" si="30"/>
        <v>2400000</v>
      </c>
      <c r="I29" s="571"/>
      <c r="J29" s="571"/>
      <c r="K29" s="571"/>
      <c r="L29" s="571"/>
      <c r="M29" s="571"/>
      <c r="N29" s="571">
        <f>H29</f>
        <v>2400000</v>
      </c>
      <c r="O29" s="571"/>
      <c r="P29" s="571"/>
      <c r="Q29" s="571"/>
      <c r="R29" s="117"/>
      <c r="S29" s="113">
        <f t="shared" si="31"/>
        <v>5.25</v>
      </c>
      <c r="T29" s="113">
        <f>G29*0.65</f>
        <v>9.75</v>
      </c>
      <c r="U29" s="113"/>
      <c r="V29" s="113"/>
      <c r="W29" s="110">
        <f t="shared" si="32"/>
        <v>840000</v>
      </c>
      <c r="X29" s="110">
        <f t="shared" si="33"/>
        <v>1560000</v>
      </c>
      <c r="Y29" s="110">
        <f t="shared" si="34"/>
        <v>0</v>
      </c>
      <c r="Z29" s="110">
        <f t="shared" si="35"/>
        <v>0</v>
      </c>
      <c r="AA29" s="113"/>
      <c r="AB29" s="224">
        <f t="shared" si="7"/>
        <v>0</v>
      </c>
      <c r="AC29" s="113"/>
      <c r="AD29" s="224">
        <f t="shared" si="8"/>
        <v>0</v>
      </c>
      <c r="AE29" s="113"/>
      <c r="AF29" s="224">
        <f t="shared" si="9"/>
        <v>0</v>
      </c>
      <c r="AG29" s="113">
        <v>8</v>
      </c>
      <c r="AH29" s="224">
        <f t="shared" si="10"/>
        <v>1280000</v>
      </c>
      <c r="AI29" s="113">
        <v>0</v>
      </c>
      <c r="AJ29" s="224">
        <f t="shared" si="11"/>
        <v>0</v>
      </c>
      <c r="AK29" s="113"/>
      <c r="AL29" s="224">
        <f t="shared" si="12"/>
        <v>0</v>
      </c>
      <c r="AM29" s="113">
        <v>5</v>
      </c>
      <c r="AN29" s="224">
        <f t="shared" si="13"/>
        <v>800000</v>
      </c>
      <c r="AO29" s="113">
        <v>0</v>
      </c>
      <c r="AP29" s="224">
        <f t="shared" si="14"/>
        <v>0</v>
      </c>
      <c r="AQ29" s="113">
        <v>0</v>
      </c>
      <c r="AR29" s="224">
        <f t="shared" si="15"/>
        <v>0</v>
      </c>
      <c r="AS29" s="113">
        <v>0</v>
      </c>
      <c r="AT29" s="224">
        <f t="shared" si="16"/>
        <v>0</v>
      </c>
      <c r="AU29" s="113"/>
      <c r="AV29" s="224">
        <f t="shared" si="17"/>
        <v>0</v>
      </c>
      <c r="AW29" s="113"/>
      <c r="AX29" s="224">
        <f t="shared" si="18"/>
        <v>0</v>
      </c>
      <c r="AY29" s="110"/>
      <c r="AZ29" s="224">
        <f t="shared" si="19"/>
        <v>0</v>
      </c>
      <c r="BA29" s="113">
        <v>0</v>
      </c>
      <c r="BB29" s="224">
        <f t="shared" si="20"/>
        <v>0</v>
      </c>
      <c r="BC29" s="113"/>
      <c r="BD29" s="224">
        <f t="shared" si="21"/>
        <v>0</v>
      </c>
      <c r="BE29" s="113">
        <v>2</v>
      </c>
      <c r="BF29" s="224">
        <f t="shared" si="22"/>
        <v>320000</v>
      </c>
      <c r="BG29" s="113">
        <v>0</v>
      </c>
      <c r="BH29" s="224">
        <f t="shared" si="23"/>
        <v>0</v>
      </c>
      <c r="BI29" s="113"/>
      <c r="BJ29" s="224">
        <f t="shared" si="24"/>
        <v>0</v>
      </c>
      <c r="BK29" s="142">
        <f t="shared" si="25"/>
        <v>15</v>
      </c>
      <c r="BL29" s="142">
        <f t="shared" si="26"/>
        <v>2400000</v>
      </c>
      <c r="BM29" s="159" t="s">
        <v>385</v>
      </c>
      <c r="BN29" s="273"/>
      <c r="BO29" s="117"/>
      <c r="BP29" s="70"/>
      <c r="BQ29" s="265">
        <f>H29</f>
        <v>2400000</v>
      </c>
      <c r="BR29" s="70"/>
      <c r="BS29" s="70">
        <f t="shared" si="28"/>
        <v>2400000</v>
      </c>
      <c r="BT29" s="70"/>
      <c r="BU29" s="70"/>
      <c r="BV29" s="70"/>
      <c r="BW29" s="107">
        <f t="shared" si="1"/>
        <v>2400000</v>
      </c>
    </row>
    <row r="30" spans="1:75">
      <c r="A30" s="596"/>
      <c r="B30" s="109"/>
      <c r="C30" s="30"/>
      <c r="D30" s="30" t="s">
        <v>691</v>
      </c>
      <c r="E30" s="37" t="s">
        <v>76</v>
      </c>
      <c r="F30" s="118">
        <v>80000</v>
      </c>
      <c r="G30" s="111">
        <f t="shared" si="29"/>
        <v>30</v>
      </c>
      <c r="H30" s="117">
        <f t="shared" si="30"/>
        <v>2400000</v>
      </c>
      <c r="I30" s="571"/>
      <c r="J30" s="571"/>
      <c r="K30" s="571"/>
      <c r="L30" s="571"/>
      <c r="M30" s="571"/>
      <c r="N30" s="571">
        <f>H30</f>
        <v>2400000</v>
      </c>
      <c r="O30" s="571"/>
      <c r="P30" s="571"/>
      <c r="Q30" s="571"/>
      <c r="R30" s="117"/>
      <c r="S30" s="113">
        <f>G30*0.35</f>
        <v>10.5</v>
      </c>
      <c r="T30" s="113">
        <f>G30*0.65</f>
        <v>19.5</v>
      </c>
      <c r="U30" s="113"/>
      <c r="V30" s="113"/>
      <c r="W30" s="110">
        <f>S30*F30</f>
        <v>840000</v>
      </c>
      <c r="X30" s="110">
        <f>T30*F30</f>
        <v>1560000</v>
      </c>
      <c r="Y30" s="110">
        <f t="shared" si="34"/>
        <v>0</v>
      </c>
      <c r="Z30" s="110">
        <f t="shared" si="35"/>
        <v>0</v>
      </c>
      <c r="AA30" s="113"/>
      <c r="AB30" s="224">
        <f t="shared" si="7"/>
        <v>0</v>
      </c>
      <c r="AC30" s="113"/>
      <c r="AD30" s="224">
        <f t="shared" si="8"/>
        <v>0</v>
      </c>
      <c r="AE30" s="113"/>
      <c r="AF30" s="224">
        <f t="shared" si="9"/>
        <v>0</v>
      </c>
      <c r="AG30" s="113"/>
      <c r="AH30" s="224">
        <f t="shared" si="10"/>
        <v>0</v>
      </c>
      <c r="AI30" s="113"/>
      <c r="AJ30" s="224">
        <f t="shared" si="11"/>
        <v>0</v>
      </c>
      <c r="AK30" s="113"/>
      <c r="AL30" s="224">
        <f t="shared" si="12"/>
        <v>0</v>
      </c>
      <c r="AM30" s="113"/>
      <c r="AN30" s="224">
        <f t="shared" si="13"/>
        <v>0</v>
      </c>
      <c r="AO30" s="113"/>
      <c r="AP30" s="224">
        <f t="shared" si="14"/>
        <v>0</v>
      </c>
      <c r="AQ30" s="113"/>
      <c r="AR30" s="224">
        <f t="shared" si="15"/>
        <v>0</v>
      </c>
      <c r="AS30" s="113"/>
      <c r="AT30" s="224">
        <f t="shared" si="16"/>
        <v>0</v>
      </c>
      <c r="AU30" s="113"/>
      <c r="AV30" s="224">
        <f t="shared" si="17"/>
        <v>0</v>
      </c>
      <c r="AW30" s="113"/>
      <c r="AX30" s="224">
        <f t="shared" si="18"/>
        <v>0</v>
      </c>
      <c r="AY30" s="110"/>
      <c r="AZ30" s="224">
        <f t="shared" si="19"/>
        <v>0</v>
      </c>
      <c r="BA30" s="113">
        <v>0</v>
      </c>
      <c r="BB30" s="224">
        <f t="shared" si="20"/>
        <v>0</v>
      </c>
      <c r="BC30" s="113"/>
      <c r="BD30" s="224">
        <f t="shared" si="21"/>
        <v>0</v>
      </c>
      <c r="BE30" s="113"/>
      <c r="BF30" s="224">
        <f t="shared" si="22"/>
        <v>0</v>
      </c>
      <c r="BG30" s="113">
        <v>30</v>
      </c>
      <c r="BH30" s="224">
        <f t="shared" si="23"/>
        <v>2400000</v>
      </c>
      <c r="BI30" s="113"/>
      <c r="BJ30" s="224">
        <f t="shared" si="24"/>
        <v>0</v>
      </c>
      <c r="BK30" s="142">
        <f t="shared" si="25"/>
        <v>30</v>
      </c>
      <c r="BL30" s="142">
        <f t="shared" si="26"/>
        <v>2400000</v>
      </c>
      <c r="BM30" s="159" t="s">
        <v>385</v>
      </c>
      <c r="BN30" s="273"/>
      <c r="BO30" s="117"/>
      <c r="BP30" s="70"/>
      <c r="BQ30" s="265">
        <f>H30</f>
        <v>2400000</v>
      </c>
      <c r="BR30" s="70"/>
      <c r="BS30" s="70">
        <f t="shared" si="28"/>
        <v>2400000</v>
      </c>
      <c r="BT30" s="70"/>
      <c r="BU30" s="70"/>
      <c r="BV30" s="70"/>
      <c r="BW30" s="107">
        <f t="shared" si="1"/>
        <v>2400000</v>
      </c>
    </row>
    <row r="31" spans="1:75">
      <c r="A31" s="596"/>
      <c r="B31" s="124"/>
      <c r="C31" s="125"/>
      <c r="D31" s="120" t="s">
        <v>3</v>
      </c>
      <c r="E31" s="126"/>
      <c r="F31" s="127"/>
      <c r="G31" s="128">
        <f t="shared" ref="G31:AL31" si="36">SUM(G24:G30)</f>
        <v>8743</v>
      </c>
      <c r="H31" s="128">
        <f t="shared" si="36"/>
        <v>191040000</v>
      </c>
      <c r="I31" s="128">
        <f t="shared" si="36"/>
        <v>6510000</v>
      </c>
      <c r="J31" s="128">
        <f t="shared" si="36"/>
        <v>32550000</v>
      </c>
      <c r="K31" s="128">
        <f t="shared" si="36"/>
        <v>0</v>
      </c>
      <c r="L31" s="128">
        <f t="shared" si="36"/>
        <v>0</v>
      </c>
      <c r="M31" s="128">
        <f t="shared" si="36"/>
        <v>0</v>
      </c>
      <c r="N31" s="128">
        <f t="shared" si="36"/>
        <v>147640000</v>
      </c>
      <c r="O31" s="128">
        <f t="shared" si="36"/>
        <v>0</v>
      </c>
      <c r="P31" s="128">
        <f t="shared" si="36"/>
        <v>0</v>
      </c>
      <c r="Q31" s="128">
        <f t="shared" si="36"/>
        <v>4340000</v>
      </c>
      <c r="R31" s="128">
        <f t="shared" si="36"/>
        <v>0</v>
      </c>
      <c r="S31" s="128">
        <f t="shared" si="36"/>
        <v>3060.05</v>
      </c>
      <c r="T31" s="128">
        <f t="shared" si="36"/>
        <v>899.05</v>
      </c>
      <c r="U31" s="128">
        <f t="shared" si="36"/>
        <v>1304.7</v>
      </c>
      <c r="V31" s="128">
        <f t="shared" si="36"/>
        <v>3479.2</v>
      </c>
      <c r="W31" s="128">
        <f t="shared" si="36"/>
        <v>66864000</v>
      </c>
      <c r="X31" s="128">
        <f t="shared" si="36"/>
        <v>21744000</v>
      </c>
      <c r="Y31" s="128">
        <f t="shared" si="36"/>
        <v>27936000</v>
      </c>
      <c r="Z31" s="128">
        <f t="shared" si="36"/>
        <v>74496000</v>
      </c>
      <c r="AA31" s="128">
        <f t="shared" si="36"/>
        <v>250</v>
      </c>
      <c r="AB31" s="128">
        <f t="shared" si="36"/>
        <v>11000000</v>
      </c>
      <c r="AC31" s="128">
        <f t="shared" si="36"/>
        <v>160</v>
      </c>
      <c r="AD31" s="128">
        <f t="shared" si="36"/>
        <v>7200000</v>
      </c>
      <c r="AE31" s="128">
        <f t="shared" si="36"/>
        <v>324</v>
      </c>
      <c r="AF31" s="128">
        <f t="shared" si="36"/>
        <v>7733200</v>
      </c>
      <c r="AG31" s="128">
        <f t="shared" si="36"/>
        <v>808</v>
      </c>
      <c r="AH31" s="128">
        <f t="shared" si="36"/>
        <v>13680000</v>
      </c>
      <c r="AI31" s="128">
        <f t="shared" si="36"/>
        <v>696</v>
      </c>
      <c r="AJ31" s="128">
        <f t="shared" si="36"/>
        <v>11080800</v>
      </c>
      <c r="AK31" s="128">
        <f t="shared" si="36"/>
        <v>485</v>
      </c>
      <c r="AL31" s="128">
        <f t="shared" si="36"/>
        <v>11456000</v>
      </c>
      <c r="AM31" s="128">
        <f t="shared" ref="AM31:BR31" si="37">SUM(AM24:AM30)</f>
        <v>345</v>
      </c>
      <c r="AN31" s="128">
        <f t="shared" si="37"/>
        <v>12640000</v>
      </c>
      <c r="AO31" s="128">
        <f t="shared" si="37"/>
        <v>300</v>
      </c>
      <c r="AP31" s="128">
        <f t="shared" si="37"/>
        <v>12000000</v>
      </c>
      <c r="AQ31" s="128">
        <f t="shared" si="37"/>
        <v>300</v>
      </c>
      <c r="AR31" s="128">
        <f t="shared" si="37"/>
        <v>4160000</v>
      </c>
      <c r="AS31" s="128">
        <f t="shared" si="37"/>
        <v>305</v>
      </c>
      <c r="AT31" s="128">
        <f t="shared" si="37"/>
        <v>8350000</v>
      </c>
      <c r="AU31" s="128">
        <f t="shared" si="37"/>
        <v>400</v>
      </c>
      <c r="AV31" s="128">
        <f t="shared" si="37"/>
        <v>10100000</v>
      </c>
      <c r="AW31" s="128">
        <f t="shared" si="37"/>
        <v>1180</v>
      </c>
      <c r="AX31" s="128">
        <f t="shared" si="37"/>
        <v>8400000</v>
      </c>
      <c r="AY31" s="128">
        <f t="shared" si="37"/>
        <v>350</v>
      </c>
      <c r="AZ31" s="128">
        <f t="shared" si="37"/>
        <v>13000000</v>
      </c>
      <c r="BA31" s="128">
        <f t="shared" si="37"/>
        <v>758</v>
      </c>
      <c r="BB31" s="128">
        <f t="shared" si="37"/>
        <v>11800000</v>
      </c>
      <c r="BC31" s="128">
        <f t="shared" si="37"/>
        <v>900</v>
      </c>
      <c r="BD31" s="128">
        <f t="shared" si="37"/>
        <v>16400000</v>
      </c>
      <c r="BE31" s="128">
        <f t="shared" si="37"/>
        <v>802</v>
      </c>
      <c r="BF31" s="128">
        <f t="shared" si="37"/>
        <v>16640000</v>
      </c>
      <c r="BG31" s="128">
        <f t="shared" si="37"/>
        <v>380</v>
      </c>
      <c r="BH31" s="128">
        <f t="shared" si="37"/>
        <v>15400000</v>
      </c>
      <c r="BI31" s="128">
        <f t="shared" si="37"/>
        <v>0</v>
      </c>
      <c r="BJ31" s="128">
        <f t="shared" si="37"/>
        <v>0</v>
      </c>
      <c r="BK31" s="128">
        <f t="shared" si="37"/>
        <v>8743</v>
      </c>
      <c r="BL31" s="128">
        <f t="shared" si="37"/>
        <v>191040000</v>
      </c>
      <c r="BM31" s="128">
        <f t="shared" si="37"/>
        <v>0</v>
      </c>
      <c r="BN31" s="128">
        <f t="shared" si="37"/>
        <v>0</v>
      </c>
      <c r="BO31" s="128">
        <f t="shared" si="37"/>
        <v>186240000</v>
      </c>
      <c r="BP31" s="128">
        <f t="shared" si="37"/>
        <v>0</v>
      </c>
      <c r="BQ31" s="128">
        <f t="shared" si="37"/>
        <v>4800000</v>
      </c>
      <c r="BR31" s="128">
        <f t="shared" si="37"/>
        <v>0</v>
      </c>
      <c r="BS31" s="128">
        <f>SUM(BS24:BS30)</f>
        <v>191040000</v>
      </c>
      <c r="BT31" s="128">
        <f>SUM(BT24:BT30)</f>
        <v>0</v>
      </c>
      <c r="BU31" s="128">
        <f>SUM(BU24:BU30)</f>
        <v>0</v>
      </c>
      <c r="BV31" s="128">
        <f>SUM(BV24:BV30)</f>
        <v>0</v>
      </c>
      <c r="BW31" s="128">
        <f>SUM(BW24:BW30)</f>
        <v>191040000</v>
      </c>
    </row>
    <row r="32" spans="1:75">
      <c r="A32" s="596"/>
      <c r="B32" s="109"/>
      <c r="C32" s="30"/>
      <c r="D32" s="106" t="s">
        <v>324</v>
      </c>
      <c r="E32" s="30"/>
      <c r="F32" s="116"/>
      <c r="G32" s="111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3">
        <f>G32*0.35</f>
        <v>0</v>
      </c>
      <c r="T32" s="113">
        <f>G32*0.1</f>
        <v>0</v>
      </c>
      <c r="U32" s="113">
        <f>G32:G32*0.15</f>
        <v>0</v>
      </c>
      <c r="V32" s="113">
        <f>G32*0.4</f>
        <v>0</v>
      </c>
      <c r="W32" s="110">
        <f>S32*F32</f>
        <v>0</v>
      </c>
      <c r="X32" s="110">
        <f>T32*F32</f>
        <v>0</v>
      </c>
      <c r="Y32" s="110">
        <f>U32*F32</f>
        <v>0</v>
      </c>
      <c r="Z32" s="110">
        <f>V32*F32</f>
        <v>0</v>
      </c>
      <c r="AA32" s="113"/>
      <c r="AB32" s="224">
        <f>AA32*F32</f>
        <v>0</v>
      </c>
      <c r="AC32" s="113"/>
      <c r="AD32" s="224">
        <f>AC32*F32</f>
        <v>0</v>
      </c>
      <c r="AE32" s="113"/>
      <c r="AF32" s="224">
        <f>AE32*F32</f>
        <v>0</v>
      </c>
      <c r="AG32" s="113"/>
      <c r="AH32" s="224">
        <f>AG32*F32</f>
        <v>0</v>
      </c>
      <c r="AI32" s="113"/>
      <c r="AJ32" s="224">
        <f>AI32*F32</f>
        <v>0</v>
      </c>
      <c r="AK32" s="113"/>
      <c r="AL32" s="224">
        <f>AK32*F32</f>
        <v>0</v>
      </c>
      <c r="AM32" s="113"/>
      <c r="AN32" s="224">
        <f>AM32*F32</f>
        <v>0</v>
      </c>
      <c r="AO32" s="113"/>
      <c r="AP32" s="224">
        <f>AO32*F32</f>
        <v>0</v>
      </c>
      <c r="AQ32" s="113"/>
      <c r="AR32" s="224">
        <f>AQ32*F32</f>
        <v>0</v>
      </c>
      <c r="AS32" s="113"/>
      <c r="AT32" s="224">
        <f>AS32*F32</f>
        <v>0</v>
      </c>
      <c r="AU32" s="113"/>
      <c r="AV32" s="224">
        <f>AU32*F32</f>
        <v>0</v>
      </c>
      <c r="AW32" s="113"/>
      <c r="AX32" s="224">
        <f>AW32*F32</f>
        <v>0</v>
      </c>
      <c r="AY32" s="114"/>
      <c r="AZ32" s="224">
        <f>AY32*F32</f>
        <v>0</v>
      </c>
      <c r="BA32" s="113"/>
      <c r="BB32" s="224">
        <f>BA32*F32</f>
        <v>0</v>
      </c>
      <c r="BC32" s="113"/>
      <c r="BD32" s="224">
        <f>BC32*F32</f>
        <v>0</v>
      </c>
      <c r="BE32" s="115">
        <v>1</v>
      </c>
      <c r="BF32" s="224">
        <f>BE32*F32</f>
        <v>0</v>
      </c>
      <c r="BG32" s="113"/>
      <c r="BH32" s="224">
        <f>BG32*F32</f>
        <v>0</v>
      </c>
      <c r="BI32" s="113"/>
      <c r="BJ32" s="224">
        <f>BI32*F32</f>
        <v>0</v>
      </c>
      <c r="BK32" s="142">
        <f t="shared" ref="BK32:BL34" si="38">BI32+BG32+BE32+BC32+BA32+AY32+AW32+AU32+AS32+AQ32+AO32+AM32+AK32+AI32+AG32+AE32+AC32+AA32</f>
        <v>1</v>
      </c>
      <c r="BL32" s="142">
        <f t="shared" si="38"/>
        <v>0</v>
      </c>
      <c r="BM32" s="159"/>
      <c r="BN32" s="273"/>
      <c r="BO32" s="117"/>
      <c r="BP32" s="70"/>
      <c r="BQ32" s="70"/>
      <c r="BR32" s="70"/>
      <c r="BS32" s="70"/>
      <c r="BT32" s="70"/>
      <c r="BU32" s="70"/>
      <c r="BV32" s="70"/>
      <c r="BW32" s="107"/>
    </row>
    <row r="33" spans="1:75">
      <c r="A33" s="596"/>
      <c r="B33" s="109"/>
      <c r="C33" s="30"/>
      <c r="D33" s="30" t="s">
        <v>322</v>
      </c>
      <c r="E33" s="30" t="s">
        <v>326</v>
      </c>
      <c r="F33" s="116">
        <v>15000</v>
      </c>
      <c r="G33" s="111">
        <f>BK33</f>
        <v>200</v>
      </c>
      <c r="H33" s="117">
        <f>G33*F33</f>
        <v>3000000</v>
      </c>
      <c r="I33" s="117"/>
      <c r="J33" s="117"/>
      <c r="K33" s="117"/>
      <c r="L33" s="117"/>
      <c r="M33" s="117"/>
      <c r="N33" s="571">
        <f>H33</f>
        <v>3000000</v>
      </c>
      <c r="O33" s="117"/>
      <c r="P33" s="117"/>
      <c r="Q33" s="117"/>
      <c r="R33" s="117"/>
      <c r="S33" s="113">
        <f>G33*0.35</f>
        <v>70</v>
      </c>
      <c r="T33" s="113">
        <f>G33*0.1</f>
        <v>20</v>
      </c>
      <c r="U33" s="113">
        <f>G33:G33*0.15</f>
        <v>30</v>
      </c>
      <c r="V33" s="113">
        <f>G33*0.4</f>
        <v>80</v>
      </c>
      <c r="W33" s="110">
        <f>S33*F33</f>
        <v>1050000</v>
      </c>
      <c r="X33" s="110">
        <f>T33*F33</f>
        <v>300000</v>
      </c>
      <c r="Y33" s="110">
        <f>U33*F33</f>
        <v>450000</v>
      </c>
      <c r="Z33" s="110">
        <f>V33*F33</f>
        <v>1200000</v>
      </c>
      <c r="AA33" s="113">
        <v>20</v>
      </c>
      <c r="AB33" s="224">
        <f>AA33*F33</f>
        <v>300000</v>
      </c>
      <c r="AC33" s="113">
        <v>20</v>
      </c>
      <c r="AD33" s="224">
        <f>AC33*F33</f>
        <v>300000</v>
      </c>
      <c r="AE33" s="113">
        <v>0</v>
      </c>
      <c r="AF33" s="224">
        <f>AE33*F33</f>
        <v>0</v>
      </c>
      <c r="AG33" s="113"/>
      <c r="AH33" s="224">
        <f>AG33*F33</f>
        <v>0</v>
      </c>
      <c r="AI33" s="113">
        <v>30</v>
      </c>
      <c r="AJ33" s="224">
        <f>AI33*F33</f>
        <v>450000</v>
      </c>
      <c r="AK33" s="113">
        <v>10</v>
      </c>
      <c r="AL33" s="224">
        <f>AK33*F33</f>
        <v>150000</v>
      </c>
      <c r="AM33" s="113">
        <v>6</v>
      </c>
      <c r="AN33" s="224">
        <f>AM33*F33</f>
        <v>90000</v>
      </c>
      <c r="AO33" s="113"/>
      <c r="AP33" s="224">
        <f>AO33*F33</f>
        <v>0</v>
      </c>
      <c r="AQ33" s="113"/>
      <c r="AR33" s="224">
        <f>AQ33*F33</f>
        <v>0</v>
      </c>
      <c r="AS33" s="113">
        <v>15</v>
      </c>
      <c r="AT33" s="224">
        <f>AS33*F33</f>
        <v>225000</v>
      </c>
      <c r="AU33" s="113"/>
      <c r="AV33" s="224">
        <f>AU33*F33</f>
        <v>0</v>
      </c>
      <c r="AW33" s="113">
        <v>10</v>
      </c>
      <c r="AX33" s="224">
        <f>AW33*F33</f>
        <v>150000</v>
      </c>
      <c r="AY33" s="114">
        <v>0</v>
      </c>
      <c r="AZ33" s="224">
        <f>AY33*F33</f>
        <v>0</v>
      </c>
      <c r="BA33" s="113">
        <v>15</v>
      </c>
      <c r="BB33" s="224">
        <f>BA33*F33</f>
        <v>225000</v>
      </c>
      <c r="BC33" s="113">
        <v>10</v>
      </c>
      <c r="BD33" s="224">
        <f>BC33*F33</f>
        <v>150000</v>
      </c>
      <c r="BE33" s="115">
        <v>14</v>
      </c>
      <c r="BF33" s="224">
        <f>BE33*F33</f>
        <v>210000</v>
      </c>
      <c r="BG33" s="113">
        <v>50</v>
      </c>
      <c r="BH33" s="224">
        <f>BG33*F33</f>
        <v>750000</v>
      </c>
      <c r="BI33" s="113"/>
      <c r="BJ33" s="224">
        <f>BI33*F33</f>
        <v>0</v>
      </c>
      <c r="BK33" s="142">
        <f t="shared" si="38"/>
        <v>200</v>
      </c>
      <c r="BL33" s="142">
        <f t="shared" si="38"/>
        <v>3000000</v>
      </c>
      <c r="BM33" s="159" t="s">
        <v>385</v>
      </c>
      <c r="BN33" s="273"/>
      <c r="BO33" s="117">
        <f>H33</f>
        <v>3000000</v>
      </c>
      <c r="BP33" s="70"/>
      <c r="BQ33" s="70"/>
      <c r="BR33" s="70"/>
      <c r="BS33" s="70">
        <f>BO33+BP33+BQ33+BR33</f>
        <v>3000000</v>
      </c>
      <c r="BT33" s="70"/>
      <c r="BU33" s="70"/>
      <c r="BV33" s="70"/>
      <c r="BW33" s="107">
        <f>BS33+BV33</f>
        <v>3000000</v>
      </c>
    </row>
    <row r="34" spans="1:75">
      <c r="A34" s="596"/>
      <c r="B34" s="109"/>
      <c r="C34" s="30"/>
      <c r="D34" s="30" t="s">
        <v>367</v>
      </c>
      <c r="E34" s="30" t="s">
        <v>326</v>
      </c>
      <c r="F34" s="116">
        <v>15000</v>
      </c>
      <c r="G34" s="111">
        <f>BK34</f>
        <v>9</v>
      </c>
      <c r="H34" s="117">
        <f>G34*F34</f>
        <v>135000</v>
      </c>
      <c r="I34" s="117"/>
      <c r="J34" s="117"/>
      <c r="K34" s="117"/>
      <c r="L34" s="117"/>
      <c r="M34" s="117"/>
      <c r="N34" s="571">
        <f>H34</f>
        <v>135000</v>
      </c>
      <c r="O34" s="117"/>
      <c r="P34" s="117"/>
      <c r="Q34" s="117"/>
      <c r="R34" s="117"/>
      <c r="S34" s="113">
        <f>G34*0.35</f>
        <v>3.15</v>
      </c>
      <c r="T34" s="113">
        <f>G34*0.1</f>
        <v>0.9</v>
      </c>
      <c r="U34" s="113">
        <f>G34:G34*0.15</f>
        <v>1.3499999999999999</v>
      </c>
      <c r="V34" s="113">
        <f>G34*0.4</f>
        <v>3.6</v>
      </c>
      <c r="W34" s="110">
        <f>S34*F34</f>
        <v>47250</v>
      </c>
      <c r="X34" s="110">
        <f>T34*F34</f>
        <v>13500</v>
      </c>
      <c r="Y34" s="110">
        <f>U34*F34</f>
        <v>20249.999999999996</v>
      </c>
      <c r="Z34" s="110">
        <f>V34*F34</f>
        <v>54000</v>
      </c>
      <c r="AA34" s="113">
        <v>0</v>
      </c>
      <c r="AB34" s="224">
        <f>AA34*F34</f>
        <v>0</v>
      </c>
      <c r="AC34" s="113"/>
      <c r="AD34" s="224">
        <f>AC34*F34</f>
        <v>0</v>
      </c>
      <c r="AE34" s="113"/>
      <c r="AF34" s="224">
        <f>AE34*F34</f>
        <v>0</v>
      </c>
      <c r="AG34" s="113"/>
      <c r="AH34" s="224">
        <f>AG34*F34</f>
        <v>0</v>
      </c>
      <c r="AI34" s="113"/>
      <c r="AJ34" s="224">
        <f>AI34*F34</f>
        <v>0</v>
      </c>
      <c r="AK34" s="113">
        <v>9</v>
      </c>
      <c r="AL34" s="224">
        <f>AK34*F34</f>
        <v>135000</v>
      </c>
      <c r="AM34" s="113"/>
      <c r="AN34" s="224">
        <f>AM34*F34</f>
        <v>0</v>
      </c>
      <c r="AO34" s="113"/>
      <c r="AP34" s="224">
        <f>AO34*F34</f>
        <v>0</v>
      </c>
      <c r="AQ34" s="113"/>
      <c r="AR34" s="224">
        <f>AQ34*F34</f>
        <v>0</v>
      </c>
      <c r="AS34" s="113"/>
      <c r="AT34" s="224">
        <f>AS34*F34</f>
        <v>0</v>
      </c>
      <c r="AU34" s="113"/>
      <c r="AV34" s="224">
        <f>AU34*F34</f>
        <v>0</v>
      </c>
      <c r="AW34" s="113"/>
      <c r="AX34" s="224">
        <f>AW34*F34</f>
        <v>0</v>
      </c>
      <c r="AY34" s="114"/>
      <c r="AZ34" s="224">
        <f>AY34*F34</f>
        <v>0</v>
      </c>
      <c r="BA34" s="113">
        <v>0</v>
      </c>
      <c r="BB34" s="224">
        <f>BA34*F34</f>
        <v>0</v>
      </c>
      <c r="BC34" s="113"/>
      <c r="BD34" s="224">
        <f>BC34*F34</f>
        <v>0</v>
      </c>
      <c r="BE34" s="115"/>
      <c r="BF34" s="224">
        <f>BE34*F34</f>
        <v>0</v>
      </c>
      <c r="BG34" s="113">
        <v>0</v>
      </c>
      <c r="BH34" s="224">
        <f>BG34*F34</f>
        <v>0</v>
      </c>
      <c r="BI34" s="113"/>
      <c r="BJ34" s="224">
        <f>BI34*F34</f>
        <v>0</v>
      </c>
      <c r="BK34" s="142">
        <f t="shared" si="38"/>
        <v>9</v>
      </c>
      <c r="BL34" s="142">
        <f t="shared" si="38"/>
        <v>135000</v>
      </c>
      <c r="BM34" s="159" t="s">
        <v>385</v>
      </c>
      <c r="BN34" s="273"/>
      <c r="BO34" s="117">
        <f>H34</f>
        <v>135000</v>
      </c>
      <c r="BP34" s="70"/>
      <c r="BQ34" s="70"/>
      <c r="BR34" s="70"/>
      <c r="BS34" s="70">
        <f>BO34+BP34+BQ34+BR34</f>
        <v>135000</v>
      </c>
      <c r="BT34" s="70"/>
      <c r="BU34" s="70"/>
      <c r="BV34" s="70"/>
      <c r="BW34" s="107">
        <f>BS34+BV34</f>
        <v>135000</v>
      </c>
    </row>
    <row r="35" spans="1:75">
      <c r="A35" s="596"/>
      <c r="B35" s="124"/>
      <c r="C35" s="125"/>
      <c r="D35" s="120" t="s">
        <v>3</v>
      </c>
      <c r="E35" s="125"/>
      <c r="F35" s="127"/>
      <c r="G35" s="128">
        <f>SUM(G33:G34)</f>
        <v>209</v>
      </c>
      <c r="H35" s="128">
        <f t="shared" ref="H35:BS35" si="39">SUM(H33:H34)</f>
        <v>3135000</v>
      </c>
      <c r="I35" s="128">
        <f t="shared" si="39"/>
        <v>0</v>
      </c>
      <c r="J35" s="128">
        <f t="shared" si="39"/>
        <v>0</v>
      </c>
      <c r="K35" s="128">
        <f t="shared" si="39"/>
        <v>0</v>
      </c>
      <c r="L35" s="128">
        <f t="shared" si="39"/>
        <v>0</v>
      </c>
      <c r="M35" s="128">
        <f t="shared" si="39"/>
        <v>0</v>
      </c>
      <c r="N35" s="128">
        <f t="shared" si="39"/>
        <v>3135000</v>
      </c>
      <c r="O35" s="128">
        <f t="shared" si="39"/>
        <v>0</v>
      </c>
      <c r="P35" s="128">
        <f t="shared" si="39"/>
        <v>0</v>
      </c>
      <c r="Q35" s="128">
        <f t="shared" si="39"/>
        <v>0</v>
      </c>
      <c r="R35" s="128">
        <f t="shared" si="39"/>
        <v>0</v>
      </c>
      <c r="S35" s="128">
        <f t="shared" si="39"/>
        <v>73.150000000000006</v>
      </c>
      <c r="T35" s="128">
        <f t="shared" si="39"/>
        <v>20.9</v>
      </c>
      <c r="U35" s="128">
        <f t="shared" si="39"/>
        <v>31.35</v>
      </c>
      <c r="V35" s="128">
        <f t="shared" si="39"/>
        <v>83.6</v>
      </c>
      <c r="W35" s="128">
        <f t="shared" si="39"/>
        <v>1097250</v>
      </c>
      <c r="X35" s="128">
        <f t="shared" si="39"/>
        <v>313500</v>
      </c>
      <c r="Y35" s="128">
        <f t="shared" si="39"/>
        <v>470250</v>
      </c>
      <c r="Z35" s="128">
        <f t="shared" si="39"/>
        <v>1254000</v>
      </c>
      <c r="AA35" s="128">
        <f t="shared" si="39"/>
        <v>20</v>
      </c>
      <c r="AB35" s="128">
        <f t="shared" si="39"/>
        <v>300000</v>
      </c>
      <c r="AC35" s="128">
        <f t="shared" si="39"/>
        <v>20</v>
      </c>
      <c r="AD35" s="128">
        <f t="shared" si="39"/>
        <v>300000</v>
      </c>
      <c r="AE35" s="128">
        <f t="shared" si="39"/>
        <v>0</v>
      </c>
      <c r="AF35" s="128">
        <f t="shared" si="39"/>
        <v>0</v>
      </c>
      <c r="AG35" s="128">
        <f t="shared" si="39"/>
        <v>0</v>
      </c>
      <c r="AH35" s="128">
        <f t="shared" si="39"/>
        <v>0</v>
      </c>
      <c r="AI35" s="128">
        <f t="shared" si="39"/>
        <v>30</v>
      </c>
      <c r="AJ35" s="128">
        <f t="shared" si="39"/>
        <v>450000</v>
      </c>
      <c r="AK35" s="128">
        <f t="shared" si="39"/>
        <v>19</v>
      </c>
      <c r="AL35" s="128">
        <f t="shared" si="39"/>
        <v>285000</v>
      </c>
      <c r="AM35" s="128">
        <f t="shared" si="39"/>
        <v>6</v>
      </c>
      <c r="AN35" s="128">
        <f t="shared" si="39"/>
        <v>90000</v>
      </c>
      <c r="AO35" s="128">
        <f t="shared" si="39"/>
        <v>0</v>
      </c>
      <c r="AP35" s="128">
        <f t="shared" si="39"/>
        <v>0</v>
      </c>
      <c r="AQ35" s="128">
        <f t="shared" si="39"/>
        <v>0</v>
      </c>
      <c r="AR35" s="128">
        <f t="shared" si="39"/>
        <v>0</v>
      </c>
      <c r="AS35" s="128">
        <f t="shared" si="39"/>
        <v>15</v>
      </c>
      <c r="AT35" s="128">
        <f t="shared" si="39"/>
        <v>225000</v>
      </c>
      <c r="AU35" s="128">
        <f t="shared" si="39"/>
        <v>0</v>
      </c>
      <c r="AV35" s="128">
        <f t="shared" si="39"/>
        <v>0</v>
      </c>
      <c r="AW35" s="128">
        <f t="shared" si="39"/>
        <v>10</v>
      </c>
      <c r="AX35" s="128">
        <f t="shared" si="39"/>
        <v>150000</v>
      </c>
      <c r="AY35" s="128">
        <f t="shared" si="39"/>
        <v>0</v>
      </c>
      <c r="AZ35" s="128">
        <f t="shared" si="39"/>
        <v>0</v>
      </c>
      <c r="BA35" s="128">
        <f t="shared" si="39"/>
        <v>15</v>
      </c>
      <c r="BB35" s="128">
        <f t="shared" si="39"/>
        <v>225000</v>
      </c>
      <c r="BC35" s="128">
        <f t="shared" si="39"/>
        <v>10</v>
      </c>
      <c r="BD35" s="128">
        <f t="shared" si="39"/>
        <v>150000</v>
      </c>
      <c r="BE35" s="128">
        <f t="shared" si="39"/>
        <v>14</v>
      </c>
      <c r="BF35" s="128">
        <f t="shared" si="39"/>
        <v>210000</v>
      </c>
      <c r="BG35" s="128">
        <f t="shared" si="39"/>
        <v>50</v>
      </c>
      <c r="BH35" s="128">
        <f t="shared" si="39"/>
        <v>750000</v>
      </c>
      <c r="BI35" s="128">
        <f t="shared" si="39"/>
        <v>0</v>
      </c>
      <c r="BJ35" s="128">
        <f t="shared" si="39"/>
        <v>0</v>
      </c>
      <c r="BK35" s="128">
        <f t="shared" si="39"/>
        <v>209</v>
      </c>
      <c r="BL35" s="128">
        <f t="shared" si="39"/>
        <v>3135000</v>
      </c>
      <c r="BM35" s="128">
        <f t="shared" si="39"/>
        <v>0</v>
      </c>
      <c r="BN35" s="128">
        <f t="shared" si="39"/>
        <v>0</v>
      </c>
      <c r="BO35" s="128">
        <f t="shared" si="39"/>
        <v>3135000</v>
      </c>
      <c r="BP35" s="128">
        <f t="shared" si="39"/>
        <v>0</v>
      </c>
      <c r="BQ35" s="128">
        <f t="shared" si="39"/>
        <v>0</v>
      </c>
      <c r="BR35" s="128">
        <f t="shared" si="39"/>
        <v>0</v>
      </c>
      <c r="BS35" s="128">
        <f t="shared" si="39"/>
        <v>3135000</v>
      </c>
      <c r="BT35" s="128">
        <f>SUM(BT33:BT34)</f>
        <v>0</v>
      </c>
      <c r="BU35" s="128">
        <f>SUM(BU33:BU34)</f>
        <v>0</v>
      </c>
      <c r="BV35" s="128">
        <f>SUM(BV33:BV34)</f>
        <v>0</v>
      </c>
      <c r="BW35" s="128">
        <f>SUM(BW33:BW34)</f>
        <v>3135000</v>
      </c>
    </row>
    <row r="36" spans="1:75">
      <c r="A36" s="596"/>
      <c r="B36" s="129"/>
      <c r="C36" s="122"/>
      <c r="D36" s="130" t="s">
        <v>382</v>
      </c>
      <c r="E36" s="122"/>
      <c r="F36" s="131"/>
      <c r="G36" s="111">
        <f t="shared" ref="G36:G41" si="40">BK36</f>
        <v>0</v>
      </c>
      <c r="H36" s="117">
        <f t="shared" ref="H36:H41" si="41">G36*F36</f>
        <v>0</v>
      </c>
      <c r="I36" s="615"/>
      <c r="J36" s="615"/>
      <c r="K36" s="615"/>
      <c r="L36" s="615"/>
      <c r="M36" s="615"/>
      <c r="N36" s="615"/>
      <c r="O36" s="615"/>
      <c r="P36" s="615"/>
      <c r="Q36" s="615"/>
      <c r="R36" s="615"/>
      <c r="S36" s="113">
        <f t="shared" ref="S36:S41" si="42">G36*0.35</f>
        <v>0</v>
      </c>
      <c r="T36" s="113">
        <f t="shared" ref="T36:T41" si="43">G36*0.1</f>
        <v>0</v>
      </c>
      <c r="U36" s="113">
        <f t="shared" ref="U36:U41" si="44">G36:G36*0.15</f>
        <v>0</v>
      </c>
      <c r="V36" s="113">
        <f t="shared" ref="V36:V41" si="45">G36*0.4</f>
        <v>0</v>
      </c>
      <c r="W36" s="110">
        <f t="shared" ref="W36:W41" si="46">S36*F36</f>
        <v>0</v>
      </c>
      <c r="X36" s="110">
        <f t="shared" ref="X36:X41" si="47">T36*F36</f>
        <v>0</v>
      </c>
      <c r="Y36" s="110">
        <f t="shared" ref="Y36:Y41" si="48">U36*F36</f>
        <v>0</v>
      </c>
      <c r="Z36" s="110">
        <f t="shared" ref="Z36:Z41" si="49">V36*F36</f>
        <v>0</v>
      </c>
      <c r="AA36" s="132"/>
      <c r="AB36" s="224">
        <f t="shared" ref="AB36:AB41" si="50">AA36*F36</f>
        <v>0</v>
      </c>
      <c r="AC36" s="132"/>
      <c r="AD36" s="224">
        <f t="shared" ref="AD36:AD41" si="51">AC36*F36</f>
        <v>0</v>
      </c>
      <c r="AE36" s="132"/>
      <c r="AF36" s="224">
        <f t="shared" ref="AF36:AF41" si="52">AE36*F36</f>
        <v>0</v>
      </c>
      <c r="AG36" s="132"/>
      <c r="AH36" s="224">
        <f t="shared" ref="AH36:AH41" si="53">AG36*F36</f>
        <v>0</v>
      </c>
      <c r="AI36" s="132"/>
      <c r="AJ36" s="224">
        <f t="shared" ref="AJ36:AJ41" si="54">AI36*F36</f>
        <v>0</v>
      </c>
      <c r="AK36" s="132"/>
      <c r="AL36" s="224">
        <f t="shared" ref="AL36:AL41" si="55">AK36*F36</f>
        <v>0</v>
      </c>
      <c r="AM36" s="132"/>
      <c r="AN36" s="224">
        <f t="shared" ref="AN36:AN41" si="56">AM36*F36</f>
        <v>0</v>
      </c>
      <c r="AO36" s="132"/>
      <c r="AP36" s="224">
        <f t="shared" ref="AP36:AP41" si="57">AO36*F36</f>
        <v>0</v>
      </c>
      <c r="AQ36" s="132"/>
      <c r="AR36" s="224">
        <f t="shared" ref="AR36:AR41" si="58">AQ36*F36</f>
        <v>0</v>
      </c>
      <c r="AS36" s="132"/>
      <c r="AT36" s="224">
        <f t="shared" ref="AT36:AT41" si="59">AS36*F36</f>
        <v>0</v>
      </c>
      <c r="AU36" s="132"/>
      <c r="AV36" s="224">
        <f t="shared" ref="AV36:AV41" si="60">AU36*F36</f>
        <v>0</v>
      </c>
      <c r="AW36" s="132"/>
      <c r="AX36" s="224">
        <f t="shared" ref="AX36:AX41" si="61">AW36*F36</f>
        <v>0</v>
      </c>
      <c r="AY36" s="133"/>
      <c r="AZ36" s="224">
        <f t="shared" ref="AZ36:AZ41" si="62">AY36*F36</f>
        <v>0</v>
      </c>
      <c r="BA36" s="132"/>
      <c r="BB36" s="224">
        <f t="shared" ref="BB36:BB41" si="63">BA36*F36</f>
        <v>0</v>
      </c>
      <c r="BC36" s="132"/>
      <c r="BD36" s="224">
        <f t="shared" ref="BD36:BD41" si="64">BC36*F36</f>
        <v>0</v>
      </c>
      <c r="BE36" s="134"/>
      <c r="BF36" s="224">
        <f t="shared" ref="BF36:BF41" si="65">BE36*F36</f>
        <v>0</v>
      </c>
      <c r="BG36" s="132"/>
      <c r="BH36" s="224">
        <f t="shared" ref="BH36:BH41" si="66">BG36*F36</f>
        <v>0</v>
      </c>
      <c r="BI36" s="132"/>
      <c r="BJ36" s="224">
        <f t="shared" ref="BJ36:BJ41" si="67">BI36*F36</f>
        <v>0</v>
      </c>
      <c r="BK36" s="142">
        <f t="shared" ref="BK36:BK41" si="68">BI36+BG36+BE36+BC36+BA36+AY36+AW36+AU36+AS36+AQ36+AO36+AM36+AK36+AI36+AG36+AE36+AC36+AA36</f>
        <v>0</v>
      </c>
      <c r="BL36" s="224">
        <f t="shared" ref="BL36:BL41" si="69">BK36*F36</f>
        <v>0</v>
      </c>
      <c r="BM36" s="159" t="s">
        <v>385</v>
      </c>
      <c r="BN36" s="273"/>
      <c r="BO36" s="117"/>
      <c r="BP36" s="70"/>
      <c r="BQ36" s="70"/>
      <c r="BR36" s="70"/>
      <c r="BS36" s="70"/>
      <c r="BT36" s="70"/>
      <c r="BU36" s="70"/>
      <c r="BV36" s="70"/>
      <c r="BW36" s="107"/>
    </row>
    <row r="37" spans="1:75">
      <c r="A37" s="596"/>
      <c r="B37" s="109"/>
      <c r="C37" s="30"/>
      <c r="D37" s="30" t="s">
        <v>370</v>
      </c>
      <c r="E37" s="30" t="s">
        <v>326</v>
      </c>
      <c r="F37" s="116">
        <v>113000</v>
      </c>
      <c r="G37" s="111">
        <f t="shared" si="40"/>
        <v>30</v>
      </c>
      <c r="H37" s="117">
        <f t="shared" si="41"/>
        <v>3390000</v>
      </c>
      <c r="I37" s="117"/>
      <c r="J37" s="117"/>
      <c r="K37" s="117"/>
      <c r="L37" s="117"/>
      <c r="M37" s="117"/>
      <c r="N37" s="571">
        <f>H37</f>
        <v>3390000</v>
      </c>
      <c r="O37" s="117"/>
      <c r="P37" s="117"/>
      <c r="Q37" s="117"/>
      <c r="R37" s="117"/>
      <c r="S37" s="113">
        <f t="shared" si="42"/>
        <v>10.5</v>
      </c>
      <c r="T37" s="113">
        <f t="shared" si="43"/>
        <v>3</v>
      </c>
      <c r="U37" s="113">
        <f t="shared" si="44"/>
        <v>4.5</v>
      </c>
      <c r="V37" s="113">
        <f t="shared" si="45"/>
        <v>12</v>
      </c>
      <c r="W37" s="110">
        <f t="shared" si="46"/>
        <v>1186500</v>
      </c>
      <c r="X37" s="110">
        <f t="shared" si="47"/>
        <v>339000</v>
      </c>
      <c r="Y37" s="110">
        <f t="shared" si="48"/>
        <v>508500</v>
      </c>
      <c r="Z37" s="110">
        <f t="shared" si="49"/>
        <v>1356000</v>
      </c>
      <c r="AA37" s="113"/>
      <c r="AB37" s="224">
        <f t="shared" si="50"/>
        <v>0</v>
      </c>
      <c r="AC37" s="113">
        <v>0</v>
      </c>
      <c r="AD37" s="224">
        <f t="shared" si="51"/>
        <v>0</v>
      </c>
      <c r="AE37" s="113">
        <v>10</v>
      </c>
      <c r="AF37" s="224">
        <f t="shared" si="52"/>
        <v>1130000</v>
      </c>
      <c r="AG37" s="113"/>
      <c r="AH37" s="224">
        <f t="shared" si="53"/>
        <v>0</v>
      </c>
      <c r="AI37" s="113">
        <v>10</v>
      </c>
      <c r="AJ37" s="224">
        <f t="shared" si="54"/>
        <v>1130000</v>
      </c>
      <c r="AK37" s="113">
        <v>0</v>
      </c>
      <c r="AL37" s="224">
        <f t="shared" si="55"/>
        <v>0</v>
      </c>
      <c r="AM37" s="113">
        <v>10</v>
      </c>
      <c r="AN37" s="224">
        <f t="shared" si="56"/>
        <v>1130000</v>
      </c>
      <c r="AO37" s="113"/>
      <c r="AP37" s="224">
        <f t="shared" si="57"/>
        <v>0</v>
      </c>
      <c r="AQ37" s="113"/>
      <c r="AR37" s="224">
        <f t="shared" si="58"/>
        <v>0</v>
      </c>
      <c r="AS37" s="113">
        <v>0</v>
      </c>
      <c r="AT37" s="224">
        <f t="shared" si="59"/>
        <v>0</v>
      </c>
      <c r="AU37" s="113"/>
      <c r="AV37" s="224">
        <f t="shared" si="60"/>
        <v>0</v>
      </c>
      <c r="AW37" s="113">
        <v>0</v>
      </c>
      <c r="AX37" s="224">
        <f t="shared" si="61"/>
        <v>0</v>
      </c>
      <c r="AY37" s="114"/>
      <c r="AZ37" s="224">
        <f t="shared" si="62"/>
        <v>0</v>
      </c>
      <c r="BA37" s="113">
        <v>0</v>
      </c>
      <c r="BB37" s="224">
        <f t="shared" si="63"/>
        <v>0</v>
      </c>
      <c r="BC37" s="113">
        <v>0</v>
      </c>
      <c r="BD37" s="224">
        <f t="shared" si="64"/>
        <v>0</v>
      </c>
      <c r="BE37" s="115">
        <v>0</v>
      </c>
      <c r="BF37" s="224">
        <f t="shared" si="65"/>
        <v>0</v>
      </c>
      <c r="BG37" s="113">
        <v>0</v>
      </c>
      <c r="BH37" s="224">
        <f t="shared" si="66"/>
        <v>0</v>
      </c>
      <c r="BI37" s="113"/>
      <c r="BJ37" s="224">
        <f t="shared" si="67"/>
        <v>0</v>
      </c>
      <c r="BK37" s="142">
        <f t="shared" si="68"/>
        <v>30</v>
      </c>
      <c r="BL37" s="224">
        <f t="shared" si="69"/>
        <v>3390000</v>
      </c>
      <c r="BM37" s="159" t="s">
        <v>385</v>
      </c>
      <c r="BN37" s="273"/>
      <c r="BO37" s="117">
        <f>H37</f>
        <v>3390000</v>
      </c>
      <c r="BP37" s="70"/>
      <c r="BQ37" s="70"/>
      <c r="BR37" s="70"/>
      <c r="BS37" s="70">
        <f>BO37+BP37+BQ37+BR37</f>
        <v>3390000</v>
      </c>
      <c r="BT37" s="70"/>
      <c r="BU37" s="70"/>
      <c r="BV37" s="70"/>
      <c r="BW37" s="107">
        <f>BS37+BV37</f>
        <v>3390000</v>
      </c>
    </row>
    <row r="38" spans="1:75">
      <c r="A38" s="596"/>
      <c r="B38" s="109"/>
      <c r="C38" s="30"/>
      <c r="D38" s="30" t="s">
        <v>374</v>
      </c>
      <c r="E38" s="30" t="s">
        <v>326</v>
      </c>
      <c r="F38" s="116">
        <v>44000</v>
      </c>
      <c r="G38" s="111">
        <f t="shared" si="40"/>
        <v>150</v>
      </c>
      <c r="H38" s="117">
        <f t="shared" si="41"/>
        <v>6600000</v>
      </c>
      <c r="I38" s="117"/>
      <c r="J38" s="117"/>
      <c r="K38" s="117"/>
      <c r="L38" s="117"/>
      <c r="M38" s="117"/>
      <c r="N38" s="571">
        <f>H38</f>
        <v>6600000</v>
      </c>
      <c r="O38" s="117"/>
      <c r="P38" s="117"/>
      <c r="Q38" s="117"/>
      <c r="R38" s="117"/>
      <c r="S38" s="113">
        <f t="shared" si="42"/>
        <v>52.5</v>
      </c>
      <c r="T38" s="113">
        <f t="shared" si="43"/>
        <v>15</v>
      </c>
      <c r="U38" s="113">
        <f t="shared" si="44"/>
        <v>22.5</v>
      </c>
      <c r="V38" s="113">
        <f t="shared" si="45"/>
        <v>60</v>
      </c>
      <c r="W38" s="110">
        <f t="shared" si="46"/>
        <v>2310000</v>
      </c>
      <c r="X38" s="110">
        <f t="shared" si="47"/>
        <v>660000</v>
      </c>
      <c r="Y38" s="110">
        <f t="shared" si="48"/>
        <v>990000</v>
      </c>
      <c r="Z38" s="110">
        <f t="shared" si="49"/>
        <v>2640000</v>
      </c>
      <c r="AA38" s="113">
        <v>10</v>
      </c>
      <c r="AB38" s="224">
        <f t="shared" si="50"/>
        <v>440000</v>
      </c>
      <c r="AC38" s="113">
        <v>0</v>
      </c>
      <c r="AD38" s="224">
        <f t="shared" si="51"/>
        <v>0</v>
      </c>
      <c r="AE38" s="113">
        <v>30</v>
      </c>
      <c r="AF38" s="224">
        <f t="shared" si="52"/>
        <v>1320000</v>
      </c>
      <c r="AG38" s="113"/>
      <c r="AH38" s="224">
        <f t="shared" si="53"/>
        <v>0</v>
      </c>
      <c r="AI38" s="113">
        <v>0</v>
      </c>
      <c r="AJ38" s="224">
        <f t="shared" si="54"/>
        <v>0</v>
      </c>
      <c r="AK38" s="113">
        <v>0</v>
      </c>
      <c r="AL38" s="224">
        <f t="shared" si="55"/>
        <v>0</v>
      </c>
      <c r="AM38" s="113">
        <v>0</v>
      </c>
      <c r="AN38" s="224">
        <f t="shared" si="56"/>
        <v>0</v>
      </c>
      <c r="AO38" s="113">
        <v>0</v>
      </c>
      <c r="AP38" s="224">
        <f t="shared" si="57"/>
        <v>0</v>
      </c>
      <c r="AQ38" s="113"/>
      <c r="AR38" s="224">
        <f t="shared" si="58"/>
        <v>0</v>
      </c>
      <c r="AS38" s="113">
        <v>10</v>
      </c>
      <c r="AT38" s="224">
        <f t="shared" si="59"/>
        <v>440000</v>
      </c>
      <c r="AU38" s="113"/>
      <c r="AV38" s="224">
        <f t="shared" si="60"/>
        <v>0</v>
      </c>
      <c r="AW38" s="113">
        <v>30</v>
      </c>
      <c r="AX38" s="224">
        <f t="shared" si="61"/>
        <v>1320000</v>
      </c>
      <c r="AY38" s="114"/>
      <c r="AZ38" s="224">
        <f t="shared" si="62"/>
        <v>0</v>
      </c>
      <c r="BA38" s="113">
        <v>0</v>
      </c>
      <c r="BB38" s="224">
        <f t="shared" si="63"/>
        <v>0</v>
      </c>
      <c r="BC38" s="113">
        <v>20</v>
      </c>
      <c r="BD38" s="224">
        <f t="shared" si="64"/>
        <v>880000</v>
      </c>
      <c r="BE38" s="115">
        <v>45</v>
      </c>
      <c r="BF38" s="224">
        <f t="shared" si="65"/>
        <v>1980000</v>
      </c>
      <c r="BG38" s="113">
        <v>5</v>
      </c>
      <c r="BH38" s="224">
        <f t="shared" si="66"/>
        <v>220000</v>
      </c>
      <c r="BI38" s="113"/>
      <c r="BJ38" s="224">
        <f t="shared" si="67"/>
        <v>0</v>
      </c>
      <c r="BK38" s="142">
        <f t="shared" si="68"/>
        <v>150</v>
      </c>
      <c r="BL38" s="224">
        <f t="shared" si="69"/>
        <v>6600000</v>
      </c>
      <c r="BM38" s="159" t="s">
        <v>385</v>
      </c>
      <c r="BN38" s="273"/>
      <c r="BO38" s="117">
        <f>H38</f>
        <v>6600000</v>
      </c>
      <c r="BP38" s="70"/>
      <c r="BQ38" s="70"/>
      <c r="BR38" s="70"/>
      <c r="BS38" s="70">
        <f>BO38+BP38+BQ38+BR38</f>
        <v>6600000</v>
      </c>
      <c r="BT38" s="70"/>
      <c r="BU38" s="70"/>
      <c r="BV38" s="70"/>
      <c r="BW38" s="107">
        <f>BS38+BV38</f>
        <v>6600000</v>
      </c>
    </row>
    <row r="39" spans="1:75">
      <c r="A39" s="596"/>
      <c r="B39" s="109"/>
      <c r="C39" s="30"/>
      <c r="D39" s="30" t="s">
        <v>371</v>
      </c>
      <c r="E39" s="30" t="s">
        <v>372</v>
      </c>
      <c r="F39" s="116">
        <v>182</v>
      </c>
      <c r="G39" s="111">
        <f t="shared" si="40"/>
        <v>6</v>
      </c>
      <c r="H39" s="117">
        <f t="shared" si="41"/>
        <v>1092</v>
      </c>
      <c r="I39" s="117"/>
      <c r="J39" s="117"/>
      <c r="K39" s="117"/>
      <c r="L39" s="117"/>
      <c r="M39" s="117"/>
      <c r="N39" s="571">
        <f>H39</f>
        <v>1092</v>
      </c>
      <c r="O39" s="117"/>
      <c r="P39" s="117"/>
      <c r="Q39" s="117"/>
      <c r="R39" s="117"/>
      <c r="S39" s="113">
        <f t="shared" si="42"/>
        <v>2.0999999999999996</v>
      </c>
      <c r="T39" s="113">
        <f t="shared" si="43"/>
        <v>0.60000000000000009</v>
      </c>
      <c r="U39" s="113">
        <f t="shared" si="44"/>
        <v>0.89999999999999991</v>
      </c>
      <c r="V39" s="113">
        <f t="shared" si="45"/>
        <v>2.4000000000000004</v>
      </c>
      <c r="W39" s="110">
        <f t="shared" si="46"/>
        <v>382.19999999999993</v>
      </c>
      <c r="X39" s="110">
        <f t="shared" si="47"/>
        <v>109.20000000000002</v>
      </c>
      <c r="Y39" s="110">
        <f t="shared" si="48"/>
        <v>163.79999999999998</v>
      </c>
      <c r="Z39" s="110">
        <f t="shared" si="49"/>
        <v>436.80000000000007</v>
      </c>
      <c r="AA39" s="113"/>
      <c r="AB39" s="224">
        <f t="shared" si="50"/>
        <v>0</v>
      </c>
      <c r="AC39" s="113">
        <v>0</v>
      </c>
      <c r="AD39" s="224">
        <f t="shared" si="51"/>
        <v>0</v>
      </c>
      <c r="AE39" s="113"/>
      <c r="AF39" s="224">
        <f t="shared" si="52"/>
        <v>0</v>
      </c>
      <c r="AG39" s="113"/>
      <c r="AH39" s="224">
        <f t="shared" si="53"/>
        <v>0</v>
      </c>
      <c r="AI39" s="113">
        <v>5</v>
      </c>
      <c r="AJ39" s="224">
        <f t="shared" si="54"/>
        <v>910</v>
      </c>
      <c r="AK39" s="113">
        <v>0</v>
      </c>
      <c r="AL39" s="224">
        <f t="shared" si="55"/>
        <v>0</v>
      </c>
      <c r="AM39" s="113"/>
      <c r="AN39" s="224">
        <f t="shared" si="56"/>
        <v>0</v>
      </c>
      <c r="AO39" s="113"/>
      <c r="AP39" s="224">
        <f t="shared" si="57"/>
        <v>0</v>
      </c>
      <c r="AQ39" s="113">
        <v>0</v>
      </c>
      <c r="AR39" s="224">
        <f t="shared" si="58"/>
        <v>0</v>
      </c>
      <c r="AS39" s="113">
        <v>0</v>
      </c>
      <c r="AT39" s="224">
        <f t="shared" si="59"/>
        <v>0</v>
      </c>
      <c r="AU39" s="113"/>
      <c r="AV39" s="224">
        <f t="shared" si="60"/>
        <v>0</v>
      </c>
      <c r="AW39" s="113"/>
      <c r="AX39" s="224">
        <f t="shared" si="61"/>
        <v>0</v>
      </c>
      <c r="AY39" s="114"/>
      <c r="AZ39" s="224">
        <f t="shared" si="62"/>
        <v>0</v>
      </c>
      <c r="BA39" s="113">
        <v>1</v>
      </c>
      <c r="BB39" s="224">
        <f t="shared" si="63"/>
        <v>182</v>
      </c>
      <c r="BC39" s="113"/>
      <c r="BD39" s="224">
        <f t="shared" si="64"/>
        <v>0</v>
      </c>
      <c r="BE39" s="115"/>
      <c r="BF39" s="224">
        <f t="shared" si="65"/>
        <v>0</v>
      </c>
      <c r="BG39" s="113">
        <v>0</v>
      </c>
      <c r="BH39" s="224">
        <f t="shared" si="66"/>
        <v>0</v>
      </c>
      <c r="BI39" s="113"/>
      <c r="BJ39" s="224">
        <f t="shared" si="67"/>
        <v>0</v>
      </c>
      <c r="BK39" s="142">
        <f t="shared" si="68"/>
        <v>6</v>
      </c>
      <c r="BL39" s="224">
        <f t="shared" si="69"/>
        <v>1092</v>
      </c>
      <c r="BM39" s="159" t="s">
        <v>385</v>
      </c>
      <c r="BN39" s="273"/>
      <c r="BO39" s="117">
        <f>H39</f>
        <v>1092</v>
      </c>
      <c r="BP39" s="70"/>
      <c r="BQ39" s="70"/>
      <c r="BR39" s="70"/>
      <c r="BS39" s="70">
        <f>BO39+BP39+BQ39+BR39</f>
        <v>1092</v>
      </c>
      <c r="BT39" s="70"/>
      <c r="BU39" s="70"/>
      <c r="BV39" s="70"/>
      <c r="BW39" s="107">
        <f>BS39+BV39</f>
        <v>1092</v>
      </c>
    </row>
    <row r="40" spans="1:75">
      <c r="A40" s="596"/>
      <c r="B40" s="109"/>
      <c r="C40" s="30"/>
      <c r="D40" s="30" t="s">
        <v>384</v>
      </c>
      <c r="E40" s="30" t="s">
        <v>326</v>
      </c>
      <c r="F40" s="116">
        <v>17000</v>
      </c>
      <c r="G40" s="111">
        <f t="shared" si="40"/>
        <v>30</v>
      </c>
      <c r="H40" s="117">
        <f t="shared" si="41"/>
        <v>510000</v>
      </c>
      <c r="I40" s="117"/>
      <c r="J40" s="117"/>
      <c r="K40" s="117"/>
      <c r="L40" s="117"/>
      <c r="M40" s="117"/>
      <c r="N40" s="571">
        <f>H40</f>
        <v>510000</v>
      </c>
      <c r="O40" s="117"/>
      <c r="P40" s="117"/>
      <c r="Q40" s="117"/>
      <c r="R40" s="117"/>
      <c r="S40" s="113">
        <f t="shared" si="42"/>
        <v>10.5</v>
      </c>
      <c r="T40" s="113">
        <f t="shared" si="43"/>
        <v>3</v>
      </c>
      <c r="U40" s="113">
        <f t="shared" si="44"/>
        <v>4.5</v>
      </c>
      <c r="V40" s="113">
        <f t="shared" si="45"/>
        <v>12</v>
      </c>
      <c r="W40" s="110">
        <f t="shared" si="46"/>
        <v>178500</v>
      </c>
      <c r="X40" s="110">
        <f t="shared" si="47"/>
        <v>51000</v>
      </c>
      <c r="Y40" s="110">
        <f t="shared" si="48"/>
        <v>76500</v>
      </c>
      <c r="Z40" s="110">
        <f t="shared" si="49"/>
        <v>204000</v>
      </c>
      <c r="AA40" s="112"/>
      <c r="AB40" s="224">
        <f t="shared" si="50"/>
        <v>0</v>
      </c>
      <c r="AC40" s="112">
        <v>0</v>
      </c>
      <c r="AD40" s="224">
        <f t="shared" si="51"/>
        <v>0</v>
      </c>
      <c r="AE40" s="112"/>
      <c r="AF40" s="224">
        <f t="shared" si="52"/>
        <v>0</v>
      </c>
      <c r="AG40" s="112"/>
      <c r="AH40" s="224">
        <f t="shared" si="53"/>
        <v>0</v>
      </c>
      <c r="AI40" s="112">
        <v>10</v>
      </c>
      <c r="AJ40" s="224">
        <f t="shared" si="54"/>
        <v>170000</v>
      </c>
      <c r="AK40" s="112"/>
      <c r="AL40" s="224">
        <f t="shared" si="55"/>
        <v>0</v>
      </c>
      <c r="AM40" s="112">
        <v>0</v>
      </c>
      <c r="AN40" s="224">
        <f t="shared" si="56"/>
        <v>0</v>
      </c>
      <c r="AO40" s="112">
        <v>10</v>
      </c>
      <c r="AP40" s="224">
        <f t="shared" si="57"/>
        <v>170000</v>
      </c>
      <c r="AQ40" s="112">
        <v>0</v>
      </c>
      <c r="AR40" s="224">
        <f t="shared" si="58"/>
        <v>0</v>
      </c>
      <c r="AS40" s="112"/>
      <c r="AT40" s="224">
        <f t="shared" si="59"/>
        <v>0</v>
      </c>
      <c r="AU40" s="112"/>
      <c r="AV40" s="224">
        <f t="shared" si="60"/>
        <v>0</v>
      </c>
      <c r="AW40" s="112">
        <v>0</v>
      </c>
      <c r="AX40" s="224">
        <f t="shared" si="61"/>
        <v>0</v>
      </c>
      <c r="AY40" s="135"/>
      <c r="AZ40" s="224">
        <f t="shared" si="62"/>
        <v>0</v>
      </c>
      <c r="BA40" s="112"/>
      <c r="BB40" s="224">
        <f t="shared" si="63"/>
        <v>0</v>
      </c>
      <c r="BC40" s="112">
        <v>10</v>
      </c>
      <c r="BD40" s="224">
        <f t="shared" si="64"/>
        <v>170000</v>
      </c>
      <c r="BE40" s="136">
        <v>0</v>
      </c>
      <c r="BF40" s="224">
        <f t="shared" si="65"/>
        <v>0</v>
      </c>
      <c r="BG40" s="112">
        <v>0</v>
      </c>
      <c r="BH40" s="224">
        <f t="shared" si="66"/>
        <v>0</v>
      </c>
      <c r="BI40" s="112"/>
      <c r="BJ40" s="224">
        <f t="shared" si="67"/>
        <v>0</v>
      </c>
      <c r="BK40" s="142">
        <f t="shared" si="68"/>
        <v>30</v>
      </c>
      <c r="BL40" s="224">
        <f t="shared" si="69"/>
        <v>510000</v>
      </c>
      <c r="BM40" s="159" t="s">
        <v>385</v>
      </c>
      <c r="BN40" s="273"/>
      <c r="BO40" s="117">
        <f>H40</f>
        <v>510000</v>
      </c>
      <c r="BP40" s="70"/>
      <c r="BQ40" s="70"/>
      <c r="BR40" s="70"/>
      <c r="BS40" s="70">
        <f>BO40+BP40+BQ40+BR40</f>
        <v>510000</v>
      </c>
      <c r="BT40" s="70"/>
      <c r="BU40" s="70"/>
      <c r="BV40" s="70"/>
      <c r="BW40" s="107">
        <f>BS40+BV40</f>
        <v>510000</v>
      </c>
    </row>
    <row r="41" spans="1:75">
      <c r="A41" s="596"/>
      <c r="B41" s="109"/>
      <c r="C41" s="30"/>
      <c r="D41" s="30" t="s">
        <v>391</v>
      </c>
      <c r="E41" s="30" t="s">
        <v>326</v>
      </c>
      <c r="F41" s="116">
        <v>20000</v>
      </c>
      <c r="G41" s="111">
        <f t="shared" si="40"/>
        <v>30</v>
      </c>
      <c r="H41" s="117">
        <f t="shared" si="41"/>
        <v>600000</v>
      </c>
      <c r="I41" s="117"/>
      <c r="J41" s="117"/>
      <c r="K41" s="117"/>
      <c r="L41" s="117"/>
      <c r="M41" s="117"/>
      <c r="N41" s="571">
        <f>H41</f>
        <v>600000</v>
      </c>
      <c r="O41" s="117"/>
      <c r="P41" s="117"/>
      <c r="Q41" s="117"/>
      <c r="R41" s="117"/>
      <c r="S41" s="113">
        <f t="shared" si="42"/>
        <v>10.5</v>
      </c>
      <c r="T41" s="113">
        <f t="shared" si="43"/>
        <v>3</v>
      </c>
      <c r="U41" s="113">
        <f t="shared" si="44"/>
        <v>4.5</v>
      </c>
      <c r="V41" s="113">
        <f t="shared" si="45"/>
        <v>12</v>
      </c>
      <c r="W41" s="110">
        <f t="shared" si="46"/>
        <v>210000</v>
      </c>
      <c r="X41" s="110">
        <f t="shared" si="47"/>
        <v>60000</v>
      </c>
      <c r="Y41" s="110">
        <f t="shared" si="48"/>
        <v>90000</v>
      </c>
      <c r="Z41" s="110">
        <f t="shared" si="49"/>
        <v>240000</v>
      </c>
      <c r="AA41" s="112">
        <v>5</v>
      </c>
      <c r="AB41" s="224">
        <f t="shared" si="50"/>
        <v>100000</v>
      </c>
      <c r="AC41" s="112">
        <v>5</v>
      </c>
      <c r="AD41" s="224">
        <f t="shared" si="51"/>
        <v>100000</v>
      </c>
      <c r="AE41" s="112">
        <v>5</v>
      </c>
      <c r="AF41" s="224">
        <f t="shared" si="52"/>
        <v>100000</v>
      </c>
      <c r="AG41" s="112">
        <v>5</v>
      </c>
      <c r="AH41" s="224">
        <f t="shared" si="53"/>
        <v>100000</v>
      </c>
      <c r="AI41" s="112">
        <v>5</v>
      </c>
      <c r="AJ41" s="224">
        <f t="shared" si="54"/>
        <v>100000</v>
      </c>
      <c r="AK41" s="112">
        <v>5</v>
      </c>
      <c r="AL41" s="224">
        <f t="shared" si="55"/>
        <v>100000</v>
      </c>
      <c r="AM41" s="112">
        <v>0</v>
      </c>
      <c r="AN41" s="224">
        <f t="shared" si="56"/>
        <v>0</v>
      </c>
      <c r="AO41" s="112">
        <v>0</v>
      </c>
      <c r="AP41" s="224">
        <f t="shared" si="57"/>
        <v>0</v>
      </c>
      <c r="AQ41" s="112">
        <v>0</v>
      </c>
      <c r="AR41" s="224">
        <f t="shared" si="58"/>
        <v>0</v>
      </c>
      <c r="AS41" s="112">
        <v>0</v>
      </c>
      <c r="AT41" s="224">
        <f t="shared" si="59"/>
        <v>0</v>
      </c>
      <c r="AU41" s="112">
        <v>0</v>
      </c>
      <c r="AV41" s="224">
        <f t="shared" si="60"/>
        <v>0</v>
      </c>
      <c r="AW41" s="112">
        <v>0</v>
      </c>
      <c r="AX41" s="224">
        <f t="shared" si="61"/>
        <v>0</v>
      </c>
      <c r="AY41" s="135">
        <v>0</v>
      </c>
      <c r="AZ41" s="224">
        <f t="shared" si="62"/>
        <v>0</v>
      </c>
      <c r="BA41" s="112">
        <v>0</v>
      </c>
      <c r="BB41" s="224">
        <f t="shared" si="63"/>
        <v>0</v>
      </c>
      <c r="BC41" s="112">
        <v>0</v>
      </c>
      <c r="BD41" s="224">
        <f t="shared" si="64"/>
        <v>0</v>
      </c>
      <c r="BE41" s="136">
        <v>0</v>
      </c>
      <c r="BF41" s="224">
        <f t="shared" si="65"/>
        <v>0</v>
      </c>
      <c r="BG41" s="112">
        <v>0</v>
      </c>
      <c r="BH41" s="224">
        <f t="shared" si="66"/>
        <v>0</v>
      </c>
      <c r="BI41" s="112"/>
      <c r="BJ41" s="224">
        <f t="shared" si="67"/>
        <v>0</v>
      </c>
      <c r="BK41" s="142">
        <f t="shared" si="68"/>
        <v>30</v>
      </c>
      <c r="BL41" s="224">
        <f t="shared" si="69"/>
        <v>600000</v>
      </c>
      <c r="BM41" s="159" t="s">
        <v>385</v>
      </c>
      <c r="BN41" s="273"/>
      <c r="BO41" s="117">
        <f>H41</f>
        <v>600000</v>
      </c>
      <c r="BP41" s="70"/>
      <c r="BQ41" s="70"/>
      <c r="BR41" s="70"/>
      <c r="BS41" s="70">
        <f>BO41+BP41+BQ41+BR41</f>
        <v>600000</v>
      </c>
      <c r="BT41" s="70"/>
      <c r="BU41" s="70"/>
      <c r="BV41" s="70"/>
      <c r="BW41" s="107">
        <f>BS41+BV41</f>
        <v>600000</v>
      </c>
    </row>
    <row r="42" spans="1:75">
      <c r="A42" s="596"/>
      <c r="B42" s="124"/>
      <c r="C42" s="125"/>
      <c r="D42" s="120" t="s">
        <v>3</v>
      </c>
      <c r="E42" s="125"/>
      <c r="F42" s="127"/>
      <c r="G42" s="128">
        <f>SUM(G37:G41)</f>
        <v>246</v>
      </c>
      <c r="H42" s="128">
        <f t="shared" ref="H42:BS42" si="70">SUM(H37:H41)</f>
        <v>11101092</v>
      </c>
      <c r="I42" s="128">
        <f t="shared" si="70"/>
        <v>0</v>
      </c>
      <c r="J42" s="128">
        <f t="shared" si="70"/>
        <v>0</v>
      </c>
      <c r="K42" s="128">
        <f t="shared" si="70"/>
        <v>0</v>
      </c>
      <c r="L42" s="128">
        <f t="shared" si="70"/>
        <v>0</v>
      </c>
      <c r="M42" s="128">
        <f t="shared" si="70"/>
        <v>0</v>
      </c>
      <c r="N42" s="572">
        <f t="shared" si="70"/>
        <v>11101092</v>
      </c>
      <c r="O42" s="128">
        <f t="shared" si="70"/>
        <v>0</v>
      </c>
      <c r="P42" s="128">
        <f t="shared" si="70"/>
        <v>0</v>
      </c>
      <c r="Q42" s="128">
        <f t="shared" si="70"/>
        <v>0</v>
      </c>
      <c r="R42" s="128">
        <f t="shared" si="70"/>
        <v>0</v>
      </c>
      <c r="S42" s="128">
        <f t="shared" si="70"/>
        <v>86.1</v>
      </c>
      <c r="T42" s="128">
        <f t="shared" si="70"/>
        <v>24.6</v>
      </c>
      <c r="U42" s="128">
        <f t="shared" si="70"/>
        <v>36.9</v>
      </c>
      <c r="V42" s="128">
        <f t="shared" si="70"/>
        <v>98.4</v>
      </c>
      <c r="W42" s="128">
        <f t="shared" si="70"/>
        <v>3885382.2</v>
      </c>
      <c r="X42" s="128">
        <f t="shared" si="70"/>
        <v>1110109.2</v>
      </c>
      <c r="Y42" s="128">
        <f t="shared" si="70"/>
        <v>1665163.8</v>
      </c>
      <c r="Z42" s="128">
        <f t="shared" si="70"/>
        <v>4440436.8</v>
      </c>
      <c r="AA42" s="128">
        <f t="shared" si="70"/>
        <v>15</v>
      </c>
      <c r="AB42" s="128">
        <f t="shared" si="70"/>
        <v>540000</v>
      </c>
      <c r="AC42" s="128">
        <f t="shared" si="70"/>
        <v>5</v>
      </c>
      <c r="AD42" s="128">
        <f t="shared" si="70"/>
        <v>100000</v>
      </c>
      <c r="AE42" s="128">
        <f t="shared" si="70"/>
        <v>45</v>
      </c>
      <c r="AF42" s="128">
        <f t="shared" si="70"/>
        <v>2550000</v>
      </c>
      <c r="AG42" s="128">
        <f t="shared" si="70"/>
        <v>5</v>
      </c>
      <c r="AH42" s="128">
        <f t="shared" si="70"/>
        <v>100000</v>
      </c>
      <c r="AI42" s="128">
        <f t="shared" si="70"/>
        <v>30</v>
      </c>
      <c r="AJ42" s="128">
        <f t="shared" si="70"/>
        <v>1400910</v>
      </c>
      <c r="AK42" s="128">
        <f t="shared" si="70"/>
        <v>5</v>
      </c>
      <c r="AL42" s="128">
        <f t="shared" si="70"/>
        <v>100000</v>
      </c>
      <c r="AM42" s="128">
        <f t="shared" si="70"/>
        <v>10</v>
      </c>
      <c r="AN42" s="128">
        <f t="shared" si="70"/>
        <v>1130000</v>
      </c>
      <c r="AO42" s="128">
        <f t="shared" si="70"/>
        <v>10</v>
      </c>
      <c r="AP42" s="128">
        <f t="shared" si="70"/>
        <v>170000</v>
      </c>
      <c r="AQ42" s="128">
        <f t="shared" si="70"/>
        <v>0</v>
      </c>
      <c r="AR42" s="128">
        <f t="shared" si="70"/>
        <v>0</v>
      </c>
      <c r="AS42" s="128">
        <f t="shared" si="70"/>
        <v>10</v>
      </c>
      <c r="AT42" s="128">
        <f t="shared" si="70"/>
        <v>440000</v>
      </c>
      <c r="AU42" s="128">
        <f t="shared" si="70"/>
        <v>0</v>
      </c>
      <c r="AV42" s="128">
        <f t="shared" si="70"/>
        <v>0</v>
      </c>
      <c r="AW42" s="128">
        <f t="shared" si="70"/>
        <v>30</v>
      </c>
      <c r="AX42" s="128">
        <f t="shared" si="70"/>
        <v>1320000</v>
      </c>
      <c r="AY42" s="128">
        <f t="shared" si="70"/>
        <v>0</v>
      </c>
      <c r="AZ42" s="128">
        <f t="shared" si="70"/>
        <v>0</v>
      </c>
      <c r="BA42" s="128">
        <f t="shared" si="70"/>
        <v>1</v>
      </c>
      <c r="BB42" s="128">
        <f t="shared" si="70"/>
        <v>182</v>
      </c>
      <c r="BC42" s="128">
        <f t="shared" si="70"/>
        <v>30</v>
      </c>
      <c r="BD42" s="128">
        <f t="shared" si="70"/>
        <v>1050000</v>
      </c>
      <c r="BE42" s="128">
        <f t="shared" si="70"/>
        <v>45</v>
      </c>
      <c r="BF42" s="128">
        <f t="shared" si="70"/>
        <v>1980000</v>
      </c>
      <c r="BG42" s="128">
        <f t="shared" si="70"/>
        <v>5</v>
      </c>
      <c r="BH42" s="128">
        <f t="shared" si="70"/>
        <v>220000</v>
      </c>
      <c r="BI42" s="128">
        <f t="shared" si="70"/>
        <v>0</v>
      </c>
      <c r="BJ42" s="128">
        <f t="shared" si="70"/>
        <v>0</v>
      </c>
      <c r="BK42" s="128">
        <f t="shared" si="70"/>
        <v>246</v>
      </c>
      <c r="BL42" s="128">
        <f t="shared" si="70"/>
        <v>11101092</v>
      </c>
      <c r="BM42" s="128">
        <f t="shared" si="70"/>
        <v>0</v>
      </c>
      <c r="BN42" s="128">
        <f t="shared" si="70"/>
        <v>0</v>
      </c>
      <c r="BO42" s="128">
        <f t="shared" si="70"/>
        <v>11101092</v>
      </c>
      <c r="BP42" s="128">
        <f t="shared" si="70"/>
        <v>0</v>
      </c>
      <c r="BQ42" s="128">
        <f t="shared" si="70"/>
        <v>0</v>
      </c>
      <c r="BR42" s="128">
        <f t="shared" si="70"/>
        <v>0</v>
      </c>
      <c r="BS42" s="128">
        <f t="shared" si="70"/>
        <v>11101092</v>
      </c>
      <c r="BT42" s="128">
        <f>SUM(BT37:BT41)</f>
        <v>0</v>
      </c>
      <c r="BU42" s="128">
        <f>SUM(BU37:BU41)</f>
        <v>0</v>
      </c>
      <c r="BV42" s="128">
        <f>SUM(BV37:BV41)</f>
        <v>0</v>
      </c>
      <c r="BW42" s="128">
        <f>SUM(BW37:BW41)</f>
        <v>11101092</v>
      </c>
    </row>
    <row r="43" spans="1:75" s="48" customFormat="1">
      <c r="A43" s="596"/>
      <c r="B43" s="109"/>
      <c r="C43" s="30">
        <v>21320</v>
      </c>
      <c r="D43" s="106" t="s">
        <v>77</v>
      </c>
      <c r="E43" s="30"/>
      <c r="F43" s="116"/>
      <c r="G43" s="111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2"/>
      <c r="T43" s="112"/>
      <c r="U43" s="112"/>
      <c r="V43" s="112"/>
      <c r="W43" s="43"/>
      <c r="X43" s="43"/>
      <c r="Y43" s="43"/>
      <c r="Z43" s="43"/>
      <c r="AA43" s="112"/>
      <c r="AB43" s="224">
        <f t="shared" ref="AB43:AB62" si="71">AA43*F43</f>
        <v>0</v>
      </c>
      <c r="AC43" s="112"/>
      <c r="AD43" s="224">
        <f t="shared" ref="AD43:AD62" si="72">AC43*F43</f>
        <v>0</v>
      </c>
      <c r="AE43" s="112"/>
      <c r="AF43" s="224">
        <f t="shared" ref="AF43:AF62" si="73">AE43*F43</f>
        <v>0</v>
      </c>
      <c r="AG43" s="112"/>
      <c r="AH43" s="224">
        <f t="shared" ref="AH43:AH62" si="74">AG43*F43</f>
        <v>0</v>
      </c>
      <c r="AI43" s="112"/>
      <c r="AJ43" s="224">
        <f t="shared" ref="AJ43:AJ62" si="75">AI43*F43</f>
        <v>0</v>
      </c>
      <c r="AK43" s="112"/>
      <c r="AL43" s="224">
        <f t="shared" ref="AL43:AL62" si="76">AK43*F43</f>
        <v>0</v>
      </c>
      <c r="AM43" s="112"/>
      <c r="AN43" s="224">
        <f t="shared" ref="AN43:AN62" si="77">AM43*F43</f>
        <v>0</v>
      </c>
      <c r="AO43" s="112"/>
      <c r="AP43" s="224">
        <f t="shared" ref="AP43:AP62" si="78">AO43*F43</f>
        <v>0</v>
      </c>
      <c r="AQ43" s="112"/>
      <c r="AR43" s="224">
        <f t="shared" ref="AR43:AR62" si="79">AQ43*F43</f>
        <v>0</v>
      </c>
      <c r="AS43" s="112"/>
      <c r="AT43" s="224">
        <f t="shared" ref="AT43:AT62" si="80">AS43*F43</f>
        <v>0</v>
      </c>
      <c r="AU43" s="112"/>
      <c r="AV43" s="224">
        <f t="shared" ref="AV43:AV62" si="81">AU43*F43</f>
        <v>0</v>
      </c>
      <c r="AW43" s="112"/>
      <c r="AX43" s="224">
        <f t="shared" ref="AX43:AX62" si="82">AW43*F43</f>
        <v>0</v>
      </c>
      <c r="AY43" s="135"/>
      <c r="AZ43" s="224">
        <f t="shared" ref="AZ43:AZ62" si="83">AY43*F43</f>
        <v>0</v>
      </c>
      <c r="BA43" s="112"/>
      <c r="BB43" s="224">
        <f t="shared" ref="BB43:BB62" si="84">BA43*F43</f>
        <v>0</v>
      </c>
      <c r="BC43" s="112"/>
      <c r="BD43" s="224">
        <f t="shared" ref="BD43:BD62" si="85">BC43*F43</f>
        <v>0</v>
      </c>
      <c r="BE43" s="112"/>
      <c r="BF43" s="224">
        <f t="shared" ref="BF43:BF62" si="86">BE43*F43</f>
        <v>0</v>
      </c>
      <c r="BG43" s="112"/>
      <c r="BH43" s="224">
        <f t="shared" ref="BH43:BH62" si="87">BG43*F43</f>
        <v>0</v>
      </c>
      <c r="BI43" s="112"/>
      <c r="BJ43" s="224">
        <f t="shared" ref="BJ43:BJ62" si="88">BI43*F43</f>
        <v>0</v>
      </c>
      <c r="BK43" s="142">
        <f t="shared" ref="BK43:BK62" si="89">BI43+BG43+BE43+BC43+BA43+AY43+AW43+AU43+AS43+AQ43+AO43+AM43+AK43+AI43+AG43+AE43+AC43+AA43</f>
        <v>0</v>
      </c>
      <c r="BL43" s="142">
        <f t="shared" ref="BL43:BL62" si="90">BJ43+BH43+BF43+BD43+BB43+AZ43+AX43+AV43+AT43+AR43+AP43+AN43+AL43+AJ43+AH43+AF43+AD43+AB43</f>
        <v>0</v>
      </c>
      <c r="BM43" s="160"/>
      <c r="BN43" s="273"/>
      <c r="BO43" s="117">
        <f t="shared" ref="BO43:BO54" si="91">H43</f>
        <v>0</v>
      </c>
      <c r="BP43" s="137"/>
      <c r="BQ43" s="137"/>
      <c r="BR43" s="137"/>
      <c r="BS43" s="70">
        <f t="shared" ref="BS43:BS55" si="92">BO43+BP43+BQ43+BR43</f>
        <v>0</v>
      </c>
      <c r="BT43" s="137"/>
      <c r="BU43" s="137"/>
      <c r="BV43" s="70">
        <f>BT43+BU43</f>
        <v>0</v>
      </c>
      <c r="BW43" s="107">
        <f t="shared" ref="BW43:BW54" si="93">BS43+BV43</f>
        <v>0</v>
      </c>
    </row>
    <row r="44" spans="1:75" s="48" customFormat="1">
      <c r="A44" s="596"/>
      <c r="B44" s="109"/>
      <c r="C44" s="30"/>
      <c r="D44" s="30" t="s">
        <v>380</v>
      </c>
      <c r="E44" s="30" t="s">
        <v>326</v>
      </c>
      <c r="F44" s="116">
        <v>100000</v>
      </c>
      <c r="G44" s="111">
        <f t="shared" ref="G44:G62" si="94">BK44</f>
        <v>17</v>
      </c>
      <c r="H44" s="117">
        <f t="shared" ref="H44:H54" si="95">G44*F44</f>
        <v>1700000</v>
      </c>
      <c r="I44" s="117"/>
      <c r="J44" s="117"/>
      <c r="K44" s="571"/>
      <c r="L44" s="571"/>
      <c r="M44" s="571"/>
      <c r="N44" s="571">
        <f>H44</f>
        <v>1700000</v>
      </c>
      <c r="O44" s="117"/>
      <c r="P44" s="117"/>
      <c r="Q44" s="117"/>
      <c r="R44" s="117"/>
      <c r="S44" s="113">
        <f>G44*0.35</f>
        <v>5.9499999999999993</v>
      </c>
      <c r="T44" s="113">
        <f t="shared" ref="T44:T62" si="96">G44*0.1</f>
        <v>1.7000000000000002</v>
      </c>
      <c r="U44" s="113">
        <f t="shared" ref="U44:U62" si="97">G44:G44*0.15</f>
        <v>2.5499999999999998</v>
      </c>
      <c r="V44" s="113">
        <f t="shared" ref="V44:V62" si="98">G44*0.4</f>
        <v>6.8000000000000007</v>
      </c>
      <c r="W44" s="110">
        <f t="shared" ref="W44:W54" si="99">S44*F44</f>
        <v>594999.99999999988</v>
      </c>
      <c r="X44" s="110">
        <f t="shared" ref="X44:X62" si="100">T44*F44</f>
        <v>170000.00000000003</v>
      </c>
      <c r="Y44" s="110">
        <f t="shared" ref="Y44:Y62" si="101">U44*F44</f>
        <v>254999.99999999997</v>
      </c>
      <c r="Z44" s="110">
        <f t="shared" ref="Z44:Z62" si="102">V44*F44</f>
        <v>680000.00000000012</v>
      </c>
      <c r="AA44" s="112"/>
      <c r="AB44" s="224">
        <f t="shared" si="71"/>
        <v>0</v>
      </c>
      <c r="AC44" s="112"/>
      <c r="AD44" s="224">
        <f t="shared" si="72"/>
        <v>0</v>
      </c>
      <c r="AE44" s="112">
        <v>3</v>
      </c>
      <c r="AF44" s="224">
        <f t="shared" si="73"/>
        <v>300000</v>
      </c>
      <c r="AG44" s="112">
        <v>3</v>
      </c>
      <c r="AH44" s="224">
        <f t="shared" si="74"/>
        <v>300000</v>
      </c>
      <c r="AI44" s="112">
        <v>5</v>
      </c>
      <c r="AJ44" s="224">
        <f t="shared" si="75"/>
        <v>500000</v>
      </c>
      <c r="AK44" s="112">
        <v>4</v>
      </c>
      <c r="AL44" s="224">
        <f t="shared" si="76"/>
        <v>400000</v>
      </c>
      <c r="AM44" s="112">
        <v>2</v>
      </c>
      <c r="AN44" s="224">
        <f t="shared" si="77"/>
        <v>200000</v>
      </c>
      <c r="AO44" s="112"/>
      <c r="AP44" s="224">
        <f t="shared" si="78"/>
        <v>0</v>
      </c>
      <c r="AQ44" s="112"/>
      <c r="AR44" s="224">
        <f t="shared" si="79"/>
        <v>0</v>
      </c>
      <c r="AS44" s="112"/>
      <c r="AT44" s="224">
        <f t="shared" si="80"/>
        <v>0</v>
      </c>
      <c r="AU44" s="112"/>
      <c r="AV44" s="224">
        <f t="shared" si="81"/>
        <v>0</v>
      </c>
      <c r="AW44" s="112"/>
      <c r="AX44" s="224">
        <f t="shared" si="82"/>
        <v>0</v>
      </c>
      <c r="AY44" s="135"/>
      <c r="AZ44" s="224">
        <f t="shared" si="83"/>
        <v>0</v>
      </c>
      <c r="BA44" s="112">
        <v>0</v>
      </c>
      <c r="BB44" s="224">
        <f t="shared" si="84"/>
        <v>0</v>
      </c>
      <c r="BC44" s="112">
        <v>0</v>
      </c>
      <c r="BD44" s="224">
        <f t="shared" si="85"/>
        <v>0</v>
      </c>
      <c r="BE44" s="112">
        <v>0</v>
      </c>
      <c r="BF44" s="224">
        <f t="shared" si="86"/>
        <v>0</v>
      </c>
      <c r="BG44" s="112">
        <v>0</v>
      </c>
      <c r="BH44" s="224">
        <f t="shared" si="87"/>
        <v>0</v>
      </c>
      <c r="BI44" s="112"/>
      <c r="BJ44" s="224">
        <f t="shared" si="88"/>
        <v>0</v>
      </c>
      <c r="BK44" s="142">
        <f t="shared" si="89"/>
        <v>17</v>
      </c>
      <c r="BL44" s="142">
        <f t="shared" si="90"/>
        <v>1700000</v>
      </c>
      <c r="BM44" s="159" t="s">
        <v>385</v>
      </c>
      <c r="BN44" s="273"/>
      <c r="BO44" s="117">
        <f t="shared" si="91"/>
        <v>1700000</v>
      </c>
      <c r="BP44" s="137"/>
      <c r="BQ44" s="137"/>
      <c r="BR44" s="137"/>
      <c r="BS44" s="70">
        <f t="shared" si="92"/>
        <v>1700000</v>
      </c>
      <c r="BT44" s="137"/>
      <c r="BU44" s="137"/>
      <c r="BV44" s="70"/>
      <c r="BW44" s="107">
        <f t="shared" si="93"/>
        <v>1700000</v>
      </c>
    </row>
    <row r="45" spans="1:75" s="48" customFormat="1">
      <c r="A45" s="596"/>
      <c r="B45" s="109"/>
      <c r="C45" s="30"/>
      <c r="D45" s="30" t="s">
        <v>828</v>
      </c>
      <c r="E45" s="30" t="s">
        <v>326</v>
      </c>
      <c r="F45" s="116">
        <v>200000</v>
      </c>
      <c r="G45" s="111">
        <f>BK45</f>
        <v>20</v>
      </c>
      <c r="H45" s="117">
        <f>G45*F45</f>
        <v>4000000</v>
      </c>
      <c r="I45" s="117"/>
      <c r="J45" s="117"/>
      <c r="K45" s="571"/>
      <c r="L45" s="571"/>
      <c r="M45" s="571"/>
      <c r="N45" s="571">
        <f>H45</f>
        <v>4000000</v>
      </c>
      <c r="O45" s="117"/>
      <c r="P45" s="117"/>
      <c r="Q45" s="117"/>
      <c r="R45" s="117"/>
      <c r="S45" s="113"/>
      <c r="T45" s="113">
        <f t="shared" si="96"/>
        <v>2</v>
      </c>
      <c r="U45" s="113">
        <f t="shared" si="97"/>
        <v>3</v>
      </c>
      <c r="V45" s="113">
        <f t="shared" si="98"/>
        <v>8</v>
      </c>
      <c r="W45" s="110">
        <f t="shared" si="99"/>
        <v>0</v>
      </c>
      <c r="X45" s="110">
        <f t="shared" si="100"/>
        <v>400000</v>
      </c>
      <c r="Y45" s="110">
        <f t="shared" si="101"/>
        <v>600000</v>
      </c>
      <c r="Z45" s="110">
        <f t="shared" si="102"/>
        <v>1600000</v>
      </c>
      <c r="AA45" s="112"/>
      <c r="AB45" s="224">
        <f t="shared" si="71"/>
        <v>0</v>
      </c>
      <c r="AC45" s="112">
        <v>2</v>
      </c>
      <c r="AD45" s="224">
        <f t="shared" si="72"/>
        <v>400000</v>
      </c>
      <c r="AE45" s="112">
        <v>2</v>
      </c>
      <c r="AF45" s="224">
        <f t="shared" si="73"/>
        <v>400000</v>
      </c>
      <c r="AG45" s="112">
        <v>2</v>
      </c>
      <c r="AH45" s="224">
        <f t="shared" si="74"/>
        <v>400000</v>
      </c>
      <c r="AI45" s="112"/>
      <c r="AJ45" s="224"/>
      <c r="AK45" s="112"/>
      <c r="AL45" s="224"/>
      <c r="AM45" s="112"/>
      <c r="AN45" s="224"/>
      <c r="AO45" s="112"/>
      <c r="AP45" s="224">
        <f t="shared" si="78"/>
        <v>0</v>
      </c>
      <c r="AQ45" s="112"/>
      <c r="AR45" s="224">
        <f t="shared" si="79"/>
        <v>0</v>
      </c>
      <c r="AS45" s="112">
        <v>2</v>
      </c>
      <c r="AT45" s="224">
        <f t="shared" si="80"/>
        <v>400000</v>
      </c>
      <c r="AU45" s="112">
        <v>2</v>
      </c>
      <c r="AV45" s="224">
        <f t="shared" si="81"/>
        <v>400000</v>
      </c>
      <c r="AW45" s="112">
        <v>2</v>
      </c>
      <c r="AX45" s="224">
        <f t="shared" si="82"/>
        <v>400000</v>
      </c>
      <c r="AY45" s="135">
        <v>0</v>
      </c>
      <c r="AZ45" s="224">
        <f t="shared" si="83"/>
        <v>0</v>
      </c>
      <c r="BA45" s="112">
        <v>2</v>
      </c>
      <c r="BB45" s="224">
        <f t="shared" si="84"/>
        <v>400000</v>
      </c>
      <c r="BC45" s="112">
        <v>2</v>
      </c>
      <c r="BD45" s="224">
        <f t="shared" si="85"/>
        <v>400000</v>
      </c>
      <c r="BE45" s="112">
        <v>2</v>
      </c>
      <c r="BF45" s="224">
        <f t="shared" si="86"/>
        <v>400000</v>
      </c>
      <c r="BG45" s="112">
        <v>2</v>
      </c>
      <c r="BH45" s="224">
        <f t="shared" si="87"/>
        <v>400000</v>
      </c>
      <c r="BI45" s="112"/>
      <c r="BJ45" s="224">
        <f t="shared" si="88"/>
        <v>0</v>
      </c>
      <c r="BK45" s="142">
        <f>BI45+BG45+BE45+BC45+BA45+AY45+AW45+AU45+AS45+AQ45+AO45+AM45+AK45+AI45+AG45+AE45+AC45+AA45</f>
        <v>20</v>
      </c>
      <c r="BL45" s="142">
        <f>BJ45+BH45+BF45+BD45+BB45+AZ45+AX45+AV45+AT45+AR45+AP45+AN45+AL45+AJ45+AH45+AF45+AD45+AB45</f>
        <v>4000000</v>
      </c>
      <c r="BM45" s="159" t="s">
        <v>385</v>
      </c>
      <c r="BN45" s="273"/>
      <c r="BO45" s="117">
        <f t="shared" si="91"/>
        <v>4000000</v>
      </c>
      <c r="BP45" s="137"/>
      <c r="BQ45" s="137"/>
      <c r="BR45" s="137"/>
      <c r="BS45" s="70">
        <f t="shared" si="92"/>
        <v>4000000</v>
      </c>
      <c r="BT45" s="137"/>
      <c r="BU45" s="137"/>
      <c r="BV45" s="70"/>
      <c r="BW45" s="107">
        <f t="shared" si="93"/>
        <v>4000000</v>
      </c>
    </row>
    <row r="46" spans="1:75" s="226" customFormat="1" ht="31.5">
      <c r="A46" s="633"/>
      <c r="B46" s="121"/>
      <c r="C46" s="93"/>
      <c r="D46" s="93" t="s">
        <v>752</v>
      </c>
      <c r="E46" s="93" t="s">
        <v>326</v>
      </c>
      <c r="F46" s="118">
        <v>500000</v>
      </c>
      <c r="G46" s="221">
        <f t="shared" si="94"/>
        <v>5</v>
      </c>
      <c r="H46" s="123">
        <f t="shared" si="95"/>
        <v>2500000</v>
      </c>
      <c r="I46" s="123"/>
      <c r="J46" s="123"/>
      <c r="K46" s="569"/>
      <c r="L46" s="569"/>
      <c r="M46" s="569">
        <f>H46</f>
        <v>2500000</v>
      </c>
      <c r="N46" s="569"/>
      <c r="O46" s="123"/>
      <c r="P46" s="123"/>
      <c r="Q46" s="123"/>
      <c r="R46" s="123"/>
      <c r="S46" s="222">
        <f t="shared" ref="S46:S62" si="103">G46*0.35</f>
        <v>1.75</v>
      </c>
      <c r="T46" s="222">
        <f t="shared" si="96"/>
        <v>0.5</v>
      </c>
      <c r="U46" s="222">
        <f t="shared" si="97"/>
        <v>0.75</v>
      </c>
      <c r="V46" s="222">
        <f t="shared" si="98"/>
        <v>2</v>
      </c>
      <c r="W46" s="223">
        <f t="shared" si="99"/>
        <v>875000</v>
      </c>
      <c r="X46" s="223">
        <f t="shared" si="100"/>
        <v>250000</v>
      </c>
      <c r="Y46" s="223">
        <f t="shared" si="101"/>
        <v>375000</v>
      </c>
      <c r="Z46" s="223">
        <f t="shared" si="102"/>
        <v>1000000</v>
      </c>
      <c r="AA46" s="142">
        <v>2</v>
      </c>
      <c r="AB46" s="224">
        <f t="shared" si="71"/>
        <v>1000000</v>
      </c>
      <c r="AC46" s="142">
        <v>0</v>
      </c>
      <c r="AD46" s="224">
        <f t="shared" si="72"/>
        <v>0</v>
      </c>
      <c r="AE46" s="142">
        <v>0</v>
      </c>
      <c r="AF46" s="224">
        <f t="shared" si="73"/>
        <v>0</v>
      </c>
      <c r="AG46" s="142">
        <v>1</v>
      </c>
      <c r="AH46" s="224">
        <f t="shared" si="74"/>
        <v>500000</v>
      </c>
      <c r="AI46" s="142">
        <v>1</v>
      </c>
      <c r="AJ46" s="224">
        <f t="shared" si="75"/>
        <v>500000</v>
      </c>
      <c r="AK46" s="142">
        <v>1</v>
      </c>
      <c r="AL46" s="224">
        <f t="shared" si="76"/>
        <v>500000</v>
      </c>
      <c r="AM46" s="142">
        <v>0</v>
      </c>
      <c r="AN46" s="224">
        <f t="shared" si="77"/>
        <v>0</v>
      </c>
      <c r="AO46" s="142">
        <v>0</v>
      </c>
      <c r="AP46" s="224">
        <f t="shared" si="78"/>
        <v>0</v>
      </c>
      <c r="AQ46" s="142">
        <v>0</v>
      </c>
      <c r="AR46" s="224">
        <f t="shared" si="79"/>
        <v>0</v>
      </c>
      <c r="AS46" s="142">
        <v>0</v>
      </c>
      <c r="AT46" s="224">
        <f t="shared" si="80"/>
        <v>0</v>
      </c>
      <c r="AU46" s="142">
        <v>0</v>
      </c>
      <c r="AV46" s="224">
        <f t="shared" si="81"/>
        <v>0</v>
      </c>
      <c r="AW46" s="142">
        <v>0</v>
      </c>
      <c r="AX46" s="224">
        <f t="shared" si="82"/>
        <v>0</v>
      </c>
      <c r="AY46" s="224">
        <v>0</v>
      </c>
      <c r="AZ46" s="224">
        <f t="shared" si="83"/>
        <v>0</v>
      </c>
      <c r="BA46" s="142">
        <v>0</v>
      </c>
      <c r="BB46" s="224">
        <f t="shared" si="84"/>
        <v>0</v>
      </c>
      <c r="BC46" s="142">
        <v>0</v>
      </c>
      <c r="BD46" s="224">
        <f t="shared" si="85"/>
        <v>0</v>
      </c>
      <c r="BE46" s="142">
        <v>0</v>
      </c>
      <c r="BF46" s="224">
        <f t="shared" si="86"/>
        <v>0</v>
      </c>
      <c r="BG46" s="142">
        <v>0</v>
      </c>
      <c r="BH46" s="224">
        <f t="shared" si="87"/>
        <v>0</v>
      </c>
      <c r="BI46" s="142">
        <v>0</v>
      </c>
      <c r="BJ46" s="224">
        <f t="shared" si="88"/>
        <v>0</v>
      </c>
      <c r="BK46" s="142">
        <f t="shared" si="89"/>
        <v>5</v>
      </c>
      <c r="BL46" s="142">
        <f t="shared" si="90"/>
        <v>2500000</v>
      </c>
      <c r="BM46" s="225" t="s">
        <v>733</v>
      </c>
      <c r="BN46" s="403"/>
      <c r="BO46" s="123">
        <f t="shared" si="91"/>
        <v>2500000</v>
      </c>
      <c r="BP46" s="180"/>
      <c r="BQ46" s="180"/>
      <c r="BR46" s="180"/>
      <c r="BS46" s="98">
        <f t="shared" si="92"/>
        <v>2500000</v>
      </c>
      <c r="BT46" s="180"/>
      <c r="BU46" s="180"/>
      <c r="BV46" s="98"/>
      <c r="BW46" s="99">
        <f t="shared" si="93"/>
        <v>2500000</v>
      </c>
    </row>
    <row r="47" spans="1:75" s="226" customFormat="1">
      <c r="A47" s="596"/>
      <c r="B47" s="121"/>
      <c r="C47" s="93"/>
      <c r="D47" s="93" t="s">
        <v>824</v>
      </c>
      <c r="E47" s="93" t="s">
        <v>379</v>
      </c>
      <c r="F47" s="118">
        <v>1000</v>
      </c>
      <c r="G47" s="221">
        <f t="shared" si="94"/>
        <v>1900</v>
      </c>
      <c r="H47" s="123">
        <f t="shared" si="95"/>
        <v>1900000</v>
      </c>
      <c r="I47" s="123"/>
      <c r="J47" s="123"/>
      <c r="K47" s="569"/>
      <c r="L47" s="569"/>
      <c r="M47" s="569"/>
      <c r="N47" s="569">
        <f>H47</f>
        <v>1900000</v>
      </c>
      <c r="O47" s="123"/>
      <c r="P47" s="123"/>
      <c r="Q47" s="123"/>
      <c r="R47" s="123"/>
      <c r="S47" s="222">
        <f t="shared" si="103"/>
        <v>665</v>
      </c>
      <c r="T47" s="222">
        <f t="shared" si="96"/>
        <v>190</v>
      </c>
      <c r="U47" s="222">
        <f t="shared" si="97"/>
        <v>285</v>
      </c>
      <c r="V47" s="222">
        <f t="shared" si="98"/>
        <v>760</v>
      </c>
      <c r="W47" s="223">
        <f t="shared" si="99"/>
        <v>665000</v>
      </c>
      <c r="X47" s="223">
        <f t="shared" si="100"/>
        <v>190000</v>
      </c>
      <c r="Y47" s="223">
        <f t="shared" si="101"/>
        <v>285000</v>
      </c>
      <c r="Z47" s="223">
        <f t="shared" si="102"/>
        <v>760000</v>
      </c>
      <c r="AA47" s="142"/>
      <c r="AB47" s="224">
        <f t="shared" si="71"/>
        <v>0</v>
      </c>
      <c r="AC47" s="142"/>
      <c r="AD47" s="224">
        <f t="shared" si="72"/>
        <v>0</v>
      </c>
      <c r="AE47" s="142">
        <v>600</v>
      </c>
      <c r="AF47" s="224">
        <f t="shared" si="73"/>
        <v>600000</v>
      </c>
      <c r="AG47" s="142">
        <v>300</v>
      </c>
      <c r="AH47" s="224">
        <f t="shared" si="74"/>
        <v>300000</v>
      </c>
      <c r="AI47" s="142">
        <v>400</v>
      </c>
      <c r="AJ47" s="224">
        <f t="shared" si="75"/>
        <v>400000</v>
      </c>
      <c r="AK47" s="142"/>
      <c r="AL47" s="224">
        <f t="shared" si="76"/>
        <v>0</v>
      </c>
      <c r="AM47" s="142">
        <v>0</v>
      </c>
      <c r="AN47" s="224">
        <f t="shared" si="77"/>
        <v>0</v>
      </c>
      <c r="AO47" s="142"/>
      <c r="AP47" s="224">
        <f t="shared" si="78"/>
        <v>0</v>
      </c>
      <c r="AQ47" s="142"/>
      <c r="AR47" s="224">
        <f t="shared" si="79"/>
        <v>0</v>
      </c>
      <c r="AS47" s="142">
        <v>100</v>
      </c>
      <c r="AT47" s="224">
        <f t="shared" si="80"/>
        <v>100000</v>
      </c>
      <c r="AU47" s="142"/>
      <c r="AV47" s="224">
        <f t="shared" si="81"/>
        <v>0</v>
      </c>
      <c r="AW47" s="142">
        <v>100</v>
      </c>
      <c r="AX47" s="224">
        <f t="shared" si="82"/>
        <v>100000</v>
      </c>
      <c r="AY47" s="224"/>
      <c r="AZ47" s="224">
        <f t="shared" si="83"/>
        <v>0</v>
      </c>
      <c r="BA47" s="142">
        <v>100</v>
      </c>
      <c r="BB47" s="224">
        <f t="shared" si="84"/>
        <v>100000</v>
      </c>
      <c r="BC47" s="142">
        <v>100</v>
      </c>
      <c r="BD47" s="224">
        <f t="shared" si="85"/>
        <v>100000</v>
      </c>
      <c r="BE47" s="142">
        <v>100</v>
      </c>
      <c r="BF47" s="224">
        <f t="shared" si="86"/>
        <v>100000</v>
      </c>
      <c r="BG47" s="142">
        <v>100</v>
      </c>
      <c r="BH47" s="224">
        <f t="shared" si="87"/>
        <v>100000</v>
      </c>
      <c r="BI47" s="142"/>
      <c r="BJ47" s="224">
        <f t="shared" si="88"/>
        <v>0</v>
      </c>
      <c r="BK47" s="142">
        <f t="shared" si="89"/>
        <v>1900</v>
      </c>
      <c r="BL47" s="142">
        <f t="shared" si="90"/>
        <v>1900000</v>
      </c>
      <c r="BM47" s="225" t="s">
        <v>385</v>
      </c>
      <c r="BN47" s="273"/>
      <c r="BO47" s="123">
        <f t="shared" si="91"/>
        <v>1900000</v>
      </c>
      <c r="BP47" s="180"/>
      <c r="BQ47" s="180"/>
      <c r="BR47" s="180"/>
      <c r="BS47" s="98">
        <f t="shared" si="92"/>
        <v>1900000</v>
      </c>
      <c r="BT47" s="180"/>
      <c r="BU47" s="180"/>
      <c r="BV47" s="98"/>
      <c r="BW47" s="99">
        <f t="shared" si="93"/>
        <v>1900000</v>
      </c>
    </row>
    <row r="48" spans="1:75" s="226" customFormat="1" ht="47.25">
      <c r="A48" s="596"/>
      <c r="B48" s="121"/>
      <c r="C48" s="93"/>
      <c r="D48" s="93" t="s">
        <v>753</v>
      </c>
      <c r="E48" s="93" t="s">
        <v>326</v>
      </c>
      <c r="F48" s="118">
        <v>500000</v>
      </c>
      <c r="G48" s="221">
        <f t="shared" si="94"/>
        <v>40</v>
      </c>
      <c r="H48" s="123">
        <f t="shared" si="95"/>
        <v>20000000</v>
      </c>
      <c r="I48" s="123"/>
      <c r="J48" s="123"/>
      <c r="K48" s="569"/>
      <c r="L48" s="569"/>
      <c r="M48" s="569">
        <f>H48</f>
        <v>20000000</v>
      </c>
      <c r="N48" s="569"/>
      <c r="O48" s="123"/>
      <c r="P48" s="123"/>
      <c r="Q48" s="123"/>
      <c r="R48" s="123"/>
      <c r="S48" s="222">
        <f t="shared" si="103"/>
        <v>14</v>
      </c>
      <c r="T48" s="222">
        <f t="shared" si="96"/>
        <v>4</v>
      </c>
      <c r="U48" s="222">
        <f t="shared" si="97"/>
        <v>6</v>
      </c>
      <c r="V48" s="222">
        <f t="shared" si="98"/>
        <v>16</v>
      </c>
      <c r="W48" s="223">
        <f t="shared" si="99"/>
        <v>7000000</v>
      </c>
      <c r="X48" s="223">
        <f t="shared" si="100"/>
        <v>2000000</v>
      </c>
      <c r="Y48" s="223">
        <f t="shared" si="101"/>
        <v>3000000</v>
      </c>
      <c r="Z48" s="223">
        <f t="shared" si="102"/>
        <v>8000000</v>
      </c>
      <c r="AA48" s="142">
        <v>4</v>
      </c>
      <c r="AB48" s="224">
        <f t="shared" si="71"/>
        <v>2000000</v>
      </c>
      <c r="AC48" s="142">
        <v>1</v>
      </c>
      <c r="AD48" s="224">
        <f t="shared" si="72"/>
        <v>500000</v>
      </c>
      <c r="AE48" s="142">
        <v>3</v>
      </c>
      <c r="AF48" s="224">
        <f t="shared" si="73"/>
        <v>1500000</v>
      </c>
      <c r="AG48" s="142">
        <v>1</v>
      </c>
      <c r="AH48" s="224">
        <f t="shared" si="74"/>
        <v>500000</v>
      </c>
      <c r="AI48" s="142">
        <v>1</v>
      </c>
      <c r="AJ48" s="224">
        <f t="shared" si="75"/>
        <v>500000</v>
      </c>
      <c r="AK48" s="142">
        <v>2</v>
      </c>
      <c r="AL48" s="224">
        <f t="shared" si="76"/>
        <v>1000000</v>
      </c>
      <c r="AM48" s="142">
        <v>2</v>
      </c>
      <c r="AN48" s="224">
        <f t="shared" si="77"/>
        <v>1000000</v>
      </c>
      <c r="AO48" s="142">
        <v>4</v>
      </c>
      <c r="AP48" s="224">
        <f t="shared" si="78"/>
        <v>2000000</v>
      </c>
      <c r="AQ48" s="142">
        <v>0</v>
      </c>
      <c r="AR48" s="224">
        <f t="shared" si="79"/>
        <v>0</v>
      </c>
      <c r="AS48" s="142">
        <v>3</v>
      </c>
      <c r="AT48" s="224">
        <f t="shared" si="80"/>
        <v>1500000</v>
      </c>
      <c r="AU48" s="142">
        <v>5</v>
      </c>
      <c r="AV48" s="224">
        <f t="shared" si="81"/>
        <v>2500000</v>
      </c>
      <c r="AW48" s="142"/>
      <c r="AX48" s="224">
        <f t="shared" si="82"/>
        <v>0</v>
      </c>
      <c r="AY48" s="224">
        <v>4</v>
      </c>
      <c r="AZ48" s="224">
        <f t="shared" si="83"/>
        <v>2000000</v>
      </c>
      <c r="BA48" s="142">
        <v>2</v>
      </c>
      <c r="BB48" s="224">
        <f t="shared" si="84"/>
        <v>1000000</v>
      </c>
      <c r="BC48" s="142">
        <v>2</v>
      </c>
      <c r="BD48" s="224">
        <f t="shared" si="85"/>
        <v>1000000</v>
      </c>
      <c r="BE48" s="142">
        <v>6</v>
      </c>
      <c r="BF48" s="224">
        <f t="shared" si="86"/>
        <v>3000000</v>
      </c>
      <c r="BG48" s="142">
        <v>0</v>
      </c>
      <c r="BH48" s="224">
        <f t="shared" si="87"/>
        <v>0</v>
      </c>
      <c r="BI48" s="142"/>
      <c r="BJ48" s="224">
        <f t="shared" si="88"/>
        <v>0</v>
      </c>
      <c r="BK48" s="142">
        <f t="shared" si="89"/>
        <v>40</v>
      </c>
      <c r="BL48" s="142">
        <f t="shared" si="90"/>
        <v>20000000</v>
      </c>
      <c r="BM48" s="225" t="s">
        <v>733</v>
      </c>
      <c r="BN48" s="273"/>
      <c r="BO48" s="123">
        <f t="shared" si="91"/>
        <v>20000000</v>
      </c>
      <c r="BP48" s="180"/>
      <c r="BQ48" s="180"/>
      <c r="BR48" s="180"/>
      <c r="BS48" s="98">
        <f t="shared" si="92"/>
        <v>20000000</v>
      </c>
      <c r="BT48" s="180"/>
      <c r="BU48" s="180"/>
      <c r="BV48" s="98"/>
      <c r="BW48" s="99">
        <f t="shared" si="93"/>
        <v>20000000</v>
      </c>
    </row>
    <row r="49" spans="1:75" s="226" customFormat="1" ht="47.25">
      <c r="A49" s="596"/>
      <c r="B49" s="121"/>
      <c r="C49" s="93"/>
      <c r="D49" s="93" t="s">
        <v>786</v>
      </c>
      <c r="E49" s="93" t="s">
        <v>326</v>
      </c>
      <c r="F49" s="118">
        <v>500000</v>
      </c>
      <c r="G49" s="221">
        <f t="shared" si="94"/>
        <v>120</v>
      </c>
      <c r="H49" s="123">
        <f t="shared" si="95"/>
        <v>60000000</v>
      </c>
      <c r="I49" s="123"/>
      <c r="J49" s="123"/>
      <c r="K49" s="569">
        <f>H49</f>
        <v>60000000</v>
      </c>
      <c r="L49" s="569"/>
      <c r="M49" s="569"/>
      <c r="N49" s="569"/>
      <c r="O49" s="123"/>
      <c r="P49" s="123"/>
      <c r="Q49" s="123"/>
      <c r="R49" s="123"/>
      <c r="S49" s="222">
        <f t="shared" si="103"/>
        <v>42</v>
      </c>
      <c r="T49" s="222">
        <f t="shared" si="96"/>
        <v>12</v>
      </c>
      <c r="U49" s="222">
        <f t="shared" si="97"/>
        <v>18</v>
      </c>
      <c r="V49" s="222">
        <f t="shared" si="98"/>
        <v>48</v>
      </c>
      <c r="W49" s="223">
        <f t="shared" si="99"/>
        <v>21000000</v>
      </c>
      <c r="X49" s="223">
        <f t="shared" si="100"/>
        <v>6000000</v>
      </c>
      <c r="Y49" s="223">
        <f t="shared" si="101"/>
        <v>9000000</v>
      </c>
      <c r="Z49" s="223">
        <f t="shared" si="102"/>
        <v>24000000</v>
      </c>
      <c r="AA49" s="142">
        <v>8</v>
      </c>
      <c r="AB49" s="224">
        <f t="shared" si="71"/>
        <v>4000000</v>
      </c>
      <c r="AC49" s="142">
        <v>8</v>
      </c>
      <c r="AD49" s="224">
        <f t="shared" si="72"/>
        <v>4000000</v>
      </c>
      <c r="AE49" s="142">
        <v>8</v>
      </c>
      <c r="AF49" s="224">
        <f t="shared" si="73"/>
        <v>4000000</v>
      </c>
      <c r="AG49" s="142">
        <v>7</v>
      </c>
      <c r="AH49" s="224">
        <f t="shared" si="74"/>
        <v>3500000</v>
      </c>
      <c r="AI49" s="142">
        <v>7</v>
      </c>
      <c r="AJ49" s="224">
        <f t="shared" si="75"/>
        <v>3500000</v>
      </c>
      <c r="AK49" s="142">
        <v>7</v>
      </c>
      <c r="AL49" s="224">
        <f t="shared" si="76"/>
        <v>3500000</v>
      </c>
      <c r="AM49" s="142">
        <v>7</v>
      </c>
      <c r="AN49" s="224">
        <f t="shared" si="77"/>
        <v>3500000</v>
      </c>
      <c r="AO49" s="142">
        <v>7</v>
      </c>
      <c r="AP49" s="224">
        <f t="shared" si="78"/>
        <v>3500000</v>
      </c>
      <c r="AQ49" s="142">
        <v>5</v>
      </c>
      <c r="AR49" s="224">
        <f t="shared" si="79"/>
        <v>2500000</v>
      </c>
      <c r="AS49" s="142">
        <v>7</v>
      </c>
      <c r="AT49" s="224">
        <f t="shared" si="80"/>
        <v>3500000</v>
      </c>
      <c r="AU49" s="142">
        <v>7</v>
      </c>
      <c r="AV49" s="224">
        <f t="shared" si="81"/>
        <v>3500000</v>
      </c>
      <c r="AW49" s="142">
        <v>7</v>
      </c>
      <c r="AX49" s="224">
        <f t="shared" si="82"/>
        <v>3500000</v>
      </c>
      <c r="AY49" s="224">
        <v>7</v>
      </c>
      <c r="AZ49" s="224">
        <f t="shared" si="83"/>
        <v>3500000</v>
      </c>
      <c r="BA49" s="142">
        <v>7</v>
      </c>
      <c r="BB49" s="224">
        <f t="shared" si="84"/>
        <v>3500000</v>
      </c>
      <c r="BC49" s="142">
        <v>7</v>
      </c>
      <c r="BD49" s="224">
        <f t="shared" si="85"/>
        <v>3500000</v>
      </c>
      <c r="BE49" s="142">
        <v>7</v>
      </c>
      <c r="BF49" s="224">
        <f t="shared" si="86"/>
        <v>3500000</v>
      </c>
      <c r="BG49" s="142">
        <v>7</v>
      </c>
      <c r="BH49" s="224">
        <f t="shared" si="87"/>
        <v>3500000</v>
      </c>
      <c r="BI49" s="142"/>
      <c r="BJ49" s="224">
        <f t="shared" si="88"/>
        <v>0</v>
      </c>
      <c r="BK49" s="142">
        <f t="shared" si="89"/>
        <v>120</v>
      </c>
      <c r="BL49" s="142">
        <f t="shared" si="90"/>
        <v>60000000</v>
      </c>
      <c r="BM49" s="225" t="s">
        <v>760</v>
      </c>
      <c r="BN49" s="273"/>
      <c r="BO49" s="123">
        <f t="shared" si="91"/>
        <v>60000000</v>
      </c>
      <c r="BP49" s="180"/>
      <c r="BQ49" s="180"/>
      <c r="BR49" s="180"/>
      <c r="BS49" s="98">
        <f t="shared" si="92"/>
        <v>60000000</v>
      </c>
      <c r="BT49" s="180"/>
      <c r="BU49" s="180"/>
      <c r="BV49" s="98"/>
      <c r="BW49" s="99">
        <f t="shared" si="93"/>
        <v>60000000</v>
      </c>
    </row>
    <row r="50" spans="1:75" s="226" customFormat="1">
      <c r="A50" s="596"/>
      <c r="B50" s="121"/>
      <c r="C50" s="93"/>
      <c r="D50" s="681" t="s">
        <v>362</v>
      </c>
      <c r="E50" s="93" t="s">
        <v>326</v>
      </c>
      <c r="F50" s="118">
        <v>1750000</v>
      </c>
      <c r="G50" s="221">
        <f t="shared" si="94"/>
        <v>14</v>
      </c>
      <c r="H50" s="123">
        <f>G50*F50+500000</f>
        <v>25000000</v>
      </c>
      <c r="I50" s="123"/>
      <c r="J50" s="123"/>
      <c r="K50" s="123"/>
      <c r="L50" s="123"/>
      <c r="M50" s="123">
        <v>0</v>
      </c>
      <c r="N50" s="123">
        <v>0</v>
      </c>
      <c r="O50" s="123"/>
      <c r="P50" s="123"/>
      <c r="Q50" s="123"/>
      <c r="R50" s="123">
        <f>H50*1</f>
        <v>25000000</v>
      </c>
      <c r="S50" s="222">
        <f t="shared" si="103"/>
        <v>4.8999999999999995</v>
      </c>
      <c r="T50" s="222">
        <f t="shared" si="96"/>
        <v>1.4000000000000001</v>
      </c>
      <c r="U50" s="222">
        <f t="shared" si="97"/>
        <v>2.1</v>
      </c>
      <c r="V50" s="222">
        <f t="shared" si="98"/>
        <v>5.6000000000000005</v>
      </c>
      <c r="W50" s="223">
        <f>S50*F50+500000</f>
        <v>9074999.9999999981</v>
      </c>
      <c r="X50" s="223">
        <f t="shared" si="100"/>
        <v>2450000.0000000005</v>
      </c>
      <c r="Y50" s="223">
        <f t="shared" si="101"/>
        <v>3675000</v>
      </c>
      <c r="Z50" s="223">
        <f t="shared" si="102"/>
        <v>9800000.0000000019</v>
      </c>
      <c r="AA50" s="142">
        <v>1</v>
      </c>
      <c r="AB50" s="223">
        <f t="shared" si="71"/>
        <v>1750000</v>
      </c>
      <c r="AC50" s="142">
        <v>0</v>
      </c>
      <c r="AD50" s="222">
        <f t="shared" si="72"/>
        <v>0</v>
      </c>
      <c r="AE50" s="142">
        <v>1</v>
      </c>
      <c r="AF50" s="224">
        <f t="shared" si="73"/>
        <v>1750000</v>
      </c>
      <c r="AG50" s="142">
        <v>1</v>
      </c>
      <c r="AH50" s="224">
        <f>AG50*F50+500000</f>
        <v>2250000</v>
      </c>
      <c r="AI50" s="142">
        <v>1</v>
      </c>
      <c r="AJ50" s="224">
        <f t="shared" si="75"/>
        <v>1750000</v>
      </c>
      <c r="AK50" s="142">
        <v>1</v>
      </c>
      <c r="AL50" s="224">
        <f t="shared" si="76"/>
        <v>1750000</v>
      </c>
      <c r="AM50" s="142">
        <v>1</v>
      </c>
      <c r="AN50" s="224">
        <f t="shared" si="77"/>
        <v>1750000</v>
      </c>
      <c r="AO50" s="142">
        <v>1</v>
      </c>
      <c r="AP50" s="224">
        <f t="shared" si="78"/>
        <v>1750000</v>
      </c>
      <c r="AQ50" s="142">
        <v>0</v>
      </c>
      <c r="AR50" s="224">
        <f t="shared" si="79"/>
        <v>0</v>
      </c>
      <c r="AS50" s="142">
        <v>0</v>
      </c>
      <c r="AT50" s="224">
        <f t="shared" si="80"/>
        <v>0</v>
      </c>
      <c r="AU50" s="142">
        <v>1</v>
      </c>
      <c r="AV50" s="224">
        <f t="shared" si="81"/>
        <v>1750000</v>
      </c>
      <c r="AW50" s="142">
        <v>1</v>
      </c>
      <c r="AX50" s="224">
        <f t="shared" si="82"/>
        <v>1750000</v>
      </c>
      <c r="AY50" s="224">
        <v>1</v>
      </c>
      <c r="AZ50" s="224">
        <f t="shared" si="83"/>
        <v>1750000</v>
      </c>
      <c r="BA50" s="142">
        <v>1</v>
      </c>
      <c r="BB50" s="224">
        <f t="shared" si="84"/>
        <v>1750000</v>
      </c>
      <c r="BC50" s="142">
        <v>1</v>
      </c>
      <c r="BD50" s="224">
        <f t="shared" si="85"/>
        <v>1750000</v>
      </c>
      <c r="BE50" s="142">
        <v>1</v>
      </c>
      <c r="BF50" s="224">
        <f t="shared" si="86"/>
        <v>1750000</v>
      </c>
      <c r="BG50" s="142">
        <v>1</v>
      </c>
      <c r="BH50" s="224">
        <f t="shared" si="87"/>
        <v>1750000</v>
      </c>
      <c r="BI50" s="142"/>
      <c r="BJ50" s="224">
        <f t="shared" si="88"/>
        <v>0</v>
      </c>
      <c r="BK50" s="142">
        <f t="shared" ref="BK50:BL50" si="104">AA50+AC50+AE50+AG50+AI50+AK50+AM50+AO50+AQ50+AS50+AU50+AW50+AY50+BA50+BC50+BE50+BG50+BI50</f>
        <v>14</v>
      </c>
      <c r="BL50" s="224">
        <f t="shared" si="104"/>
        <v>25000000</v>
      </c>
      <c r="BM50" s="225" t="s">
        <v>839</v>
      </c>
      <c r="BN50" s="90"/>
      <c r="BO50" s="123">
        <f t="shared" si="91"/>
        <v>25000000</v>
      </c>
      <c r="BP50" s="180"/>
      <c r="BQ50" s="180"/>
      <c r="BR50" s="180"/>
      <c r="BS50" s="98">
        <f t="shared" si="92"/>
        <v>25000000</v>
      </c>
      <c r="BT50" s="180"/>
      <c r="BU50" s="180"/>
      <c r="BV50" s="98"/>
      <c r="BW50" s="99">
        <f t="shared" si="93"/>
        <v>25000000</v>
      </c>
    </row>
    <row r="51" spans="1:75" s="226" customFormat="1">
      <c r="A51" s="596"/>
      <c r="B51" s="121"/>
      <c r="C51" s="93"/>
      <c r="D51" s="681" t="s">
        <v>837</v>
      </c>
      <c r="E51" s="93" t="s">
        <v>838</v>
      </c>
      <c r="F51" s="118">
        <v>12000</v>
      </c>
      <c r="G51" s="221">
        <f t="shared" si="94"/>
        <v>934</v>
      </c>
      <c r="H51" s="123">
        <f t="shared" si="95"/>
        <v>11208000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>
        <f>H51*1</f>
        <v>11208000</v>
      </c>
      <c r="S51" s="222">
        <f t="shared" si="103"/>
        <v>326.89999999999998</v>
      </c>
      <c r="T51" s="222">
        <f t="shared" si="96"/>
        <v>93.4</v>
      </c>
      <c r="U51" s="222">
        <f t="shared" si="97"/>
        <v>140.1</v>
      </c>
      <c r="V51" s="222">
        <f t="shared" si="98"/>
        <v>373.6</v>
      </c>
      <c r="W51" s="223">
        <f t="shared" si="99"/>
        <v>3922799.9999999995</v>
      </c>
      <c r="X51" s="223">
        <f t="shared" si="100"/>
        <v>1120800</v>
      </c>
      <c r="Y51" s="223">
        <f t="shared" si="101"/>
        <v>1681200</v>
      </c>
      <c r="Z51" s="223">
        <f t="shared" si="102"/>
        <v>4483200</v>
      </c>
      <c r="AA51" s="142">
        <v>40</v>
      </c>
      <c r="AB51" s="223">
        <f t="shared" si="71"/>
        <v>480000</v>
      </c>
      <c r="AC51" s="142">
        <v>19</v>
      </c>
      <c r="AD51" s="222">
        <f t="shared" si="72"/>
        <v>228000</v>
      </c>
      <c r="AE51" s="142">
        <v>66</v>
      </c>
      <c r="AF51" s="224">
        <f t="shared" si="73"/>
        <v>792000</v>
      </c>
      <c r="AG51" s="142">
        <v>87</v>
      </c>
      <c r="AH51" s="224">
        <f t="shared" si="74"/>
        <v>1044000</v>
      </c>
      <c r="AI51" s="142">
        <v>36</v>
      </c>
      <c r="AJ51" s="224">
        <f t="shared" si="75"/>
        <v>432000</v>
      </c>
      <c r="AK51" s="142">
        <v>62</v>
      </c>
      <c r="AL51" s="224">
        <f t="shared" si="76"/>
        <v>744000</v>
      </c>
      <c r="AM51" s="142">
        <v>34</v>
      </c>
      <c r="AN51" s="224">
        <f t="shared" si="77"/>
        <v>408000</v>
      </c>
      <c r="AO51" s="142">
        <v>84</v>
      </c>
      <c r="AP51" s="224">
        <f t="shared" si="78"/>
        <v>1008000</v>
      </c>
      <c r="AQ51" s="142">
        <v>7</v>
      </c>
      <c r="AR51" s="224">
        <f t="shared" si="79"/>
        <v>84000</v>
      </c>
      <c r="AS51" s="142">
        <v>28</v>
      </c>
      <c r="AT51" s="224">
        <f t="shared" si="80"/>
        <v>336000</v>
      </c>
      <c r="AU51" s="142">
        <v>44</v>
      </c>
      <c r="AV51" s="224">
        <f t="shared" si="81"/>
        <v>528000</v>
      </c>
      <c r="AW51" s="142">
        <v>43</v>
      </c>
      <c r="AX51" s="224">
        <f t="shared" si="82"/>
        <v>516000</v>
      </c>
      <c r="AY51" s="224">
        <v>63</v>
      </c>
      <c r="AZ51" s="224">
        <f t="shared" si="83"/>
        <v>756000</v>
      </c>
      <c r="BA51" s="142">
        <v>68</v>
      </c>
      <c r="BB51" s="224">
        <f t="shared" si="84"/>
        <v>816000</v>
      </c>
      <c r="BC51" s="142">
        <v>86</v>
      </c>
      <c r="BD51" s="224">
        <f t="shared" si="85"/>
        <v>1032000</v>
      </c>
      <c r="BE51" s="142">
        <v>122</v>
      </c>
      <c r="BF51" s="224">
        <f t="shared" si="86"/>
        <v>1464000</v>
      </c>
      <c r="BG51" s="142">
        <v>45</v>
      </c>
      <c r="BH51" s="224">
        <f t="shared" si="87"/>
        <v>540000</v>
      </c>
      <c r="BI51" s="142">
        <v>0</v>
      </c>
      <c r="BJ51" s="224">
        <f t="shared" si="88"/>
        <v>0</v>
      </c>
      <c r="BK51" s="142">
        <f t="shared" ref="BK51:BL52" si="105">AA51+AC51+AE51+AG51+AI51+AK51+AM51+AO51+AQ51+AS51+AU51+AW51+AY51+BA51+BC51+BE51+BG51+BI51</f>
        <v>934</v>
      </c>
      <c r="BL51" s="224">
        <f t="shared" si="105"/>
        <v>11208000</v>
      </c>
      <c r="BM51" s="225" t="s">
        <v>839</v>
      </c>
      <c r="BN51" s="90"/>
      <c r="BO51" s="123">
        <f t="shared" si="91"/>
        <v>11208000</v>
      </c>
      <c r="BP51" s="180"/>
      <c r="BQ51" s="180"/>
      <c r="BR51" s="180"/>
      <c r="BS51" s="98">
        <f t="shared" si="92"/>
        <v>11208000</v>
      </c>
      <c r="BT51" s="180"/>
      <c r="BU51" s="180"/>
      <c r="BV51" s="98"/>
      <c r="BW51" s="99">
        <f t="shared" si="93"/>
        <v>11208000</v>
      </c>
    </row>
    <row r="52" spans="1:75" s="226" customFormat="1" ht="31.5">
      <c r="A52" s="596"/>
      <c r="B52" s="121" t="s">
        <v>840</v>
      </c>
      <c r="C52" s="93"/>
      <c r="D52" s="681" t="s">
        <v>841</v>
      </c>
      <c r="E52" s="93" t="s">
        <v>76</v>
      </c>
      <c r="F52" s="118">
        <v>10000</v>
      </c>
      <c r="G52" s="221">
        <f t="shared" si="94"/>
        <v>380</v>
      </c>
      <c r="H52" s="123">
        <f t="shared" si="95"/>
        <v>3800000</v>
      </c>
      <c r="I52" s="123"/>
      <c r="J52" s="123"/>
      <c r="K52" s="123">
        <v>0</v>
      </c>
      <c r="L52" s="123"/>
      <c r="M52" s="123"/>
      <c r="N52" s="123">
        <v>0</v>
      </c>
      <c r="O52" s="123"/>
      <c r="P52" s="123"/>
      <c r="Q52" s="123"/>
      <c r="R52" s="123">
        <f>H52*1</f>
        <v>3800000</v>
      </c>
      <c r="S52" s="222">
        <f t="shared" si="103"/>
        <v>133</v>
      </c>
      <c r="T52" s="222">
        <f t="shared" si="96"/>
        <v>38</v>
      </c>
      <c r="U52" s="222">
        <f t="shared" si="97"/>
        <v>57</v>
      </c>
      <c r="V52" s="222">
        <f t="shared" si="98"/>
        <v>152</v>
      </c>
      <c r="W52" s="223">
        <f t="shared" si="99"/>
        <v>1330000</v>
      </c>
      <c r="X52" s="223">
        <f t="shared" si="100"/>
        <v>380000</v>
      </c>
      <c r="Y52" s="223">
        <f t="shared" si="101"/>
        <v>570000</v>
      </c>
      <c r="Z52" s="223">
        <f t="shared" si="102"/>
        <v>1520000</v>
      </c>
      <c r="AA52" s="142">
        <v>22</v>
      </c>
      <c r="AB52" s="223">
        <f t="shared" si="71"/>
        <v>220000</v>
      </c>
      <c r="AC52" s="142">
        <v>22</v>
      </c>
      <c r="AD52" s="222">
        <f t="shared" si="72"/>
        <v>220000</v>
      </c>
      <c r="AE52" s="142">
        <v>22</v>
      </c>
      <c r="AF52" s="224">
        <f t="shared" si="73"/>
        <v>220000</v>
      </c>
      <c r="AG52" s="142">
        <v>22</v>
      </c>
      <c r="AH52" s="224">
        <f t="shared" si="74"/>
        <v>220000</v>
      </c>
      <c r="AI52" s="142">
        <v>22</v>
      </c>
      <c r="AJ52" s="224">
        <f t="shared" si="75"/>
        <v>220000</v>
      </c>
      <c r="AK52" s="142">
        <v>22</v>
      </c>
      <c r="AL52" s="224">
        <f t="shared" si="76"/>
        <v>220000</v>
      </c>
      <c r="AM52" s="142">
        <v>22</v>
      </c>
      <c r="AN52" s="224">
        <f t="shared" si="77"/>
        <v>220000</v>
      </c>
      <c r="AO52" s="142">
        <v>22</v>
      </c>
      <c r="AP52" s="224">
        <f t="shared" si="78"/>
        <v>220000</v>
      </c>
      <c r="AQ52" s="142">
        <v>10</v>
      </c>
      <c r="AR52" s="224">
        <f t="shared" si="79"/>
        <v>100000</v>
      </c>
      <c r="AS52" s="142">
        <v>22</v>
      </c>
      <c r="AT52" s="224">
        <f t="shared" si="80"/>
        <v>220000</v>
      </c>
      <c r="AU52" s="142">
        <v>22</v>
      </c>
      <c r="AV52" s="224">
        <f t="shared" si="81"/>
        <v>220000</v>
      </c>
      <c r="AW52" s="142">
        <v>25</v>
      </c>
      <c r="AX52" s="224">
        <f t="shared" si="82"/>
        <v>250000</v>
      </c>
      <c r="AY52" s="224">
        <v>25</v>
      </c>
      <c r="AZ52" s="224">
        <f t="shared" si="83"/>
        <v>250000</v>
      </c>
      <c r="BA52" s="142">
        <v>25</v>
      </c>
      <c r="BB52" s="224">
        <f t="shared" si="84"/>
        <v>250000</v>
      </c>
      <c r="BC52" s="142">
        <v>25</v>
      </c>
      <c r="BD52" s="224">
        <f t="shared" si="85"/>
        <v>250000</v>
      </c>
      <c r="BE52" s="142">
        <v>25</v>
      </c>
      <c r="BF52" s="224">
        <f t="shared" si="86"/>
        <v>250000</v>
      </c>
      <c r="BG52" s="142">
        <v>25</v>
      </c>
      <c r="BH52" s="224">
        <f t="shared" si="87"/>
        <v>250000</v>
      </c>
      <c r="BI52" s="142"/>
      <c r="BJ52" s="224">
        <f t="shared" si="88"/>
        <v>0</v>
      </c>
      <c r="BK52" s="142">
        <f t="shared" si="105"/>
        <v>380</v>
      </c>
      <c r="BL52" s="224">
        <f t="shared" si="105"/>
        <v>3800000</v>
      </c>
      <c r="BM52" s="225" t="s">
        <v>842</v>
      </c>
      <c r="BN52" s="90"/>
      <c r="BO52" s="123">
        <f t="shared" si="91"/>
        <v>3800000</v>
      </c>
      <c r="BP52" s="180"/>
      <c r="BQ52" s="180"/>
      <c r="BR52" s="180"/>
      <c r="BS52" s="98">
        <f t="shared" si="92"/>
        <v>3800000</v>
      </c>
      <c r="BT52" s="180"/>
      <c r="BU52" s="180"/>
      <c r="BV52" s="98"/>
      <c r="BW52" s="99">
        <f t="shared" si="93"/>
        <v>3800000</v>
      </c>
    </row>
    <row r="53" spans="1:75" s="226" customFormat="1" ht="31.5">
      <c r="A53" s="596"/>
      <c r="B53" s="121"/>
      <c r="C53" s="93"/>
      <c r="D53" s="93" t="s">
        <v>750</v>
      </c>
      <c r="E53" s="93" t="s">
        <v>326</v>
      </c>
      <c r="F53" s="118">
        <v>2000000</v>
      </c>
      <c r="G53" s="221">
        <f t="shared" si="94"/>
        <v>18</v>
      </c>
      <c r="H53" s="123">
        <f t="shared" si="95"/>
        <v>36000000</v>
      </c>
      <c r="I53" s="123"/>
      <c r="J53" s="123"/>
      <c r="K53" s="569"/>
      <c r="L53" s="569"/>
      <c r="M53" s="569">
        <f>H53</f>
        <v>36000000</v>
      </c>
      <c r="N53" s="569"/>
      <c r="O53" s="123"/>
      <c r="P53" s="123"/>
      <c r="Q53" s="123"/>
      <c r="R53" s="123"/>
      <c r="S53" s="222">
        <f t="shared" si="103"/>
        <v>6.3</v>
      </c>
      <c r="T53" s="222">
        <f t="shared" si="96"/>
        <v>1.8</v>
      </c>
      <c r="U53" s="222">
        <f t="shared" si="97"/>
        <v>2.6999999999999997</v>
      </c>
      <c r="V53" s="222">
        <f t="shared" si="98"/>
        <v>7.2</v>
      </c>
      <c r="W53" s="223">
        <f t="shared" si="99"/>
        <v>12600000</v>
      </c>
      <c r="X53" s="223">
        <f t="shared" si="100"/>
        <v>3600000</v>
      </c>
      <c r="Y53" s="223">
        <f t="shared" si="101"/>
        <v>5399999.9999999991</v>
      </c>
      <c r="Z53" s="223">
        <f t="shared" si="102"/>
        <v>14400000</v>
      </c>
      <c r="AA53" s="142">
        <v>2</v>
      </c>
      <c r="AB53" s="224">
        <f t="shared" si="71"/>
        <v>4000000</v>
      </c>
      <c r="AC53" s="142">
        <v>1</v>
      </c>
      <c r="AD53" s="224">
        <f t="shared" si="72"/>
        <v>2000000</v>
      </c>
      <c r="AE53" s="142">
        <v>1</v>
      </c>
      <c r="AF53" s="224">
        <f t="shared" si="73"/>
        <v>2000000</v>
      </c>
      <c r="AG53" s="142">
        <v>1</v>
      </c>
      <c r="AH53" s="224">
        <f t="shared" si="74"/>
        <v>2000000</v>
      </c>
      <c r="AI53" s="142">
        <v>1</v>
      </c>
      <c r="AJ53" s="224">
        <f t="shared" si="75"/>
        <v>2000000</v>
      </c>
      <c r="AK53" s="142">
        <v>1</v>
      </c>
      <c r="AL53" s="224">
        <f t="shared" si="76"/>
        <v>2000000</v>
      </c>
      <c r="AM53" s="142">
        <v>1</v>
      </c>
      <c r="AN53" s="224">
        <f t="shared" si="77"/>
        <v>2000000</v>
      </c>
      <c r="AO53" s="142">
        <v>1</v>
      </c>
      <c r="AP53" s="224">
        <f t="shared" si="78"/>
        <v>2000000</v>
      </c>
      <c r="AQ53" s="142">
        <v>1</v>
      </c>
      <c r="AR53" s="224">
        <f t="shared" si="79"/>
        <v>2000000</v>
      </c>
      <c r="AS53" s="142">
        <v>1</v>
      </c>
      <c r="AT53" s="224">
        <f t="shared" si="80"/>
        <v>2000000</v>
      </c>
      <c r="AU53" s="142">
        <v>1</v>
      </c>
      <c r="AV53" s="224">
        <f t="shared" si="81"/>
        <v>2000000</v>
      </c>
      <c r="AW53" s="142">
        <v>1</v>
      </c>
      <c r="AX53" s="224">
        <f t="shared" si="82"/>
        <v>2000000</v>
      </c>
      <c r="AY53" s="224">
        <v>1</v>
      </c>
      <c r="AZ53" s="224">
        <f t="shared" si="83"/>
        <v>2000000</v>
      </c>
      <c r="BA53" s="142">
        <v>1</v>
      </c>
      <c r="BB53" s="224">
        <f t="shared" si="84"/>
        <v>2000000</v>
      </c>
      <c r="BC53" s="142">
        <v>1</v>
      </c>
      <c r="BD53" s="224">
        <f t="shared" si="85"/>
        <v>2000000</v>
      </c>
      <c r="BE53" s="142">
        <v>1</v>
      </c>
      <c r="BF53" s="224">
        <f t="shared" si="86"/>
        <v>2000000</v>
      </c>
      <c r="BG53" s="142">
        <v>1</v>
      </c>
      <c r="BH53" s="224">
        <f t="shared" si="87"/>
        <v>2000000</v>
      </c>
      <c r="BI53" s="142"/>
      <c r="BJ53" s="224">
        <f t="shared" si="88"/>
        <v>0</v>
      </c>
      <c r="BK53" s="142">
        <f t="shared" si="89"/>
        <v>18</v>
      </c>
      <c r="BL53" s="142">
        <f t="shared" si="90"/>
        <v>36000000</v>
      </c>
      <c r="BM53" s="225" t="s">
        <v>733</v>
      </c>
      <c r="BN53" s="273"/>
      <c r="BO53" s="123">
        <f t="shared" si="91"/>
        <v>36000000</v>
      </c>
      <c r="BP53" s="180"/>
      <c r="BQ53" s="180"/>
      <c r="BR53" s="180"/>
      <c r="BS53" s="98">
        <f t="shared" si="92"/>
        <v>36000000</v>
      </c>
      <c r="BT53" s="180"/>
      <c r="BU53" s="180"/>
      <c r="BV53" s="98"/>
      <c r="BW53" s="99">
        <f t="shared" si="93"/>
        <v>36000000</v>
      </c>
    </row>
    <row r="54" spans="1:75" s="226" customFormat="1" ht="47.25">
      <c r="A54" s="633"/>
      <c r="B54" s="121"/>
      <c r="C54" s="93"/>
      <c r="D54" s="93" t="s">
        <v>751</v>
      </c>
      <c r="E54" s="93" t="s">
        <v>326</v>
      </c>
      <c r="F54" s="118">
        <v>10000</v>
      </c>
      <c r="G54" s="221">
        <f t="shared" si="94"/>
        <v>400</v>
      </c>
      <c r="H54" s="123">
        <f t="shared" si="95"/>
        <v>4000000</v>
      </c>
      <c r="I54" s="123"/>
      <c r="J54" s="123"/>
      <c r="K54" s="569"/>
      <c r="L54" s="569"/>
      <c r="M54" s="569">
        <f>H54</f>
        <v>4000000</v>
      </c>
      <c r="N54" s="569"/>
      <c r="O54" s="123"/>
      <c r="P54" s="123"/>
      <c r="Q54" s="123"/>
      <c r="R54" s="123"/>
      <c r="S54" s="222">
        <f t="shared" si="103"/>
        <v>140</v>
      </c>
      <c r="T54" s="222">
        <f t="shared" si="96"/>
        <v>40</v>
      </c>
      <c r="U54" s="222">
        <f t="shared" si="97"/>
        <v>60</v>
      </c>
      <c r="V54" s="222">
        <f t="shared" si="98"/>
        <v>160</v>
      </c>
      <c r="W54" s="223">
        <f t="shared" si="99"/>
        <v>1400000</v>
      </c>
      <c r="X54" s="223">
        <f t="shared" si="100"/>
        <v>400000</v>
      </c>
      <c r="Y54" s="223">
        <f t="shared" si="101"/>
        <v>600000</v>
      </c>
      <c r="Z54" s="223">
        <f t="shared" si="102"/>
        <v>1600000</v>
      </c>
      <c r="AA54" s="142">
        <v>24</v>
      </c>
      <c r="AB54" s="224">
        <f t="shared" si="71"/>
        <v>240000</v>
      </c>
      <c r="AC54" s="142">
        <v>24</v>
      </c>
      <c r="AD54" s="224">
        <f t="shared" si="72"/>
        <v>240000</v>
      </c>
      <c r="AE54" s="142">
        <v>24</v>
      </c>
      <c r="AF54" s="224">
        <f t="shared" si="73"/>
        <v>240000</v>
      </c>
      <c r="AG54" s="142">
        <v>24</v>
      </c>
      <c r="AH54" s="224">
        <f t="shared" si="74"/>
        <v>240000</v>
      </c>
      <c r="AI54" s="142">
        <v>24</v>
      </c>
      <c r="AJ54" s="224">
        <f t="shared" si="75"/>
        <v>240000</v>
      </c>
      <c r="AK54" s="142">
        <v>22</v>
      </c>
      <c r="AL54" s="224">
        <f t="shared" si="76"/>
        <v>220000</v>
      </c>
      <c r="AM54" s="142">
        <v>24</v>
      </c>
      <c r="AN54" s="224">
        <f t="shared" si="77"/>
        <v>240000</v>
      </c>
      <c r="AO54" s="142">
        <v>24</v>
      </c>
      <c r="AP54" s="224">
        <f t="shared" si="78"/>
        <v>240000</v>
      </c>
      <c r="AQ54" s="142">
        <v>20</v>
      </c>
      <c r="AR54" s="224">
        <f t="shared" si="79"/>
        <v>200000</v>
      </c>
      <c r="AS54" s="142">
        <v>22</v>
      </c>
      <c r="AT54" s="224">
        <f t="shared" si="80"/>
        <v>220000</v>
      </c>
      <c r="AU54" s="142">
        <v>24</v>
      </c>
      <c r="AV54" s="224">
        <f t="shared" si="81"/>
        <v>240000</v>
      </c>
      <c r="AW54" s="142">
        <v>24</v>
      </c>
      <c r="AX54" s="224">
        <f t="shared" si="82"/>
        <v>240000</v>
      </c>
      <c r="AY54" s="224">
        <v>24</v>
      </c>
      <c r="AZ54" s="224">
        <f t="shared" si="83"/>
        <v>240000</v>
      </c>
      <c r="BA54" s="142">
        <v>24</v>
      </c>
      <c r="BB54" s="224">
        <f t="shared" si="84"/>
        <v>240000</v>
      </c>
      <c r="BC54" s="142">
        <v>24</v>
      </c>
      <c r="BD54" s="224">
        <f t="shared" si="85"/>
        <v>240000</v>
      </c>
      <c r="BE54" s="142">
        <v>24</v>
      </c>
      <c r="BF54" s="224">
        <f t="shared" si="86"/>
        <v>240000</v>
      </c>
      <c r="BG54" s="142">
        <v>24</v>
      </c>
      <c r="BH54" s="224">
        <f t="shared" si="87"/>
        <v>240000</v>
      </c>
      <c r="BI54" s="142">
        <v>0</v>
      </c>
      <c r="BJ54" s="224">
        <f t="shared" si="88"/>
        <v>0</v>
      </c>
      <c r="BK54" s="142">
        <f t="shared" si="89"/>
        <v>400</v>
      </c>
      <c r="BL54" s="142">
        <f t="shared" si="90"/>
        <v>4000000</v>
      </c>
      <c r="BM54" s="225" t="s">
        <v>733</v>
      </c>
      <c r="BN54" s="403"/>
      <c r="BO54" s="123">
        <f t="shared" si="91"/>
        <v>4000000</v>
      </c>
      <c r="BP54" s="180"/>
      <c r="BQ54" s="180"/>
      <c r="BR54" s="180"/>
      <c r="BS54" s="98">
        <f t="shared" si="92"/>
        <v>4000000</v>
      </c>
      <c r="BT54" s="180"/>
      <c r="BU54" s="180"/>
      <c r="BV54" s="98"/>
      <c r="BW54" s="99">
        <f t="shared" si="93"/>
        <v>4000000</v>
      </c>
    </row>
    <row r="55" spans="1:75" s="226" customFormat="1">
      <c r="A55" s="596"/>
      <c r="B55" s="121"/>
      <c r="C55" s="93"/>
      <c r="D55" s="93" t="s">
        <v>362</v>
      </c>
      <c r="E55" s="93" t="s">
        <v>326</v>
      </c>
      <c r="F55" s="118">
        <v>1000000</v>
      </c>
      <c r="G55" s="221">
        <f t="shared" si="94"/>
        <v>51</v>
      </c>
      <c r="H55" s="123">
        <f t="shared" ref="H55:H60" si="106">G55*F55</f>
        <v>51000000</v>
      </c>
      <c r="I55" s="123"/>
      <c r="J55" s="123"/>
      <c r="K55" s="569"/>
      <c r="L55" s="569"/>
      <c r="M55" s="569"/>
      <c r="N55" s="569">
        <f t="shared" ref="N55:N60" si="107">H55</f>
        <v>51000000</v>
      </c>
      <c r="O55" s="123"/>
      <c r="P55" s="123"/>
      <c r="Q55" s="123"/>
      <c r="R55" s="123"/>
      <c r="S55" s="222">
        <f t="shared" si="103"/>
        <v>17.849999999999998</v>
      </c>
      <c r="T55" s="222">
        <f t="shared" si="96"/>
        <v>5.1000000000000005</v>
      </c>
      <c r="U55" s="222">
        <f t="shared" si="97"/>
        <v>7.6499999999999995</v>
      </c>
      <c r="V55" s="222">
        <f t="shared" si="98"/>
        <v>20.400000000000002</v>
      </c>
      <c r="W55" s="223">
        <v>0</v>
      </c>
      <c r="X55" s="223">
        <f t="shared" si="100"/>
        <v>5100000.0000000009</v>
      </c>
      <c r="Y55" s="223">
        <f t="shared" si="101"/>
        <v>7649999.9999999991</v>
      </c>
      <c r="Z55" s="223">
        <f t="shared" si="102"/>
        <v>20400000.000000004</v>
      </c>
      <c r="AA55" s="142">
        <v>0</v>
      </c>
      <c r="AB55" s="224">
        <f t="shared" si="71"/>
        <v>0</v>
      </c>
      <c r="AC55" s="142">
        <v>1</v>
      </c>
      <c r="AD55" s="224">
        <f t="shared" si="72"/>
        <v>1000000</v>
      </c>
      <c r="AE55" s="142">
        <v>2</v>
      </c>
      <c r="AF55" s="224">
        <f t="shared" si="73"/>
        <v>2000000</v>
      </c>
      <c r="AG55" s="142">
        <v>1</v>
      </c>
      <c r="AH55" s="224">
        <f t="shared" si="74"/>
        <v>1000000</v>
      </c>
      <c r="AI55" s="142">
        <v>2</v>
      </c>
      <c r="AJ55" s="224">
        <f t="shared" si="75"/>
        <v>2000000</v>
      </c>
      <c r="AK55" s="142">
        <v>2</v>
      </c>
      <c r="AL55" s="224">
        <f t="shared" si="76"/>
        <v>2000000</v>
      </c>
      <c r="AM55" s="142">
        <v>1</v>
      </c>
      <c r="AN55" s="224">
        <f t="shared" si="77"/>
        <v>1000000</v>
      </c>
      <c r="AO55" s="142">
        <v>5</v>
      </c>
      <c r="AP55" s="224">
        <f t="shared" si="78"/>
        <v>5000000</v>
      </c>
      <c r="AQ55" s="142">
        <v>0</v>
      </c>
      <c r="AR55" s="224">
        <f t="shared" si="79"/>
        <v>0</v>
      </c>
      <c r="AS55" s="142">
        <v>10</v>
      </c>
      <c r="AT55" s="224">
        <f t="shared" si="80"/>
        <v>10000000</v>
      </c>
      <c r="AU55" s="142">
        <v>1</v>
      </c>
      <c r="AV55" s="224">
        <f t="shared" si="81"/>
        <v>1000000</v>
      </c>
      <c r="AW55" s="142">
        <v>1</v>
      </c>
      <c r="AX55" s="224">
        <f t="shared" si="82"/>
        <v>1000000</v>
      </c>
      <c r="AY55" s="224">
        <v>10</v>
      </c>
      <c r="AZ55" s="224">
        <f t="shared" si="83"/>
        <v>10000000</v>
      </c>
      <c r="BA55" s="142">
        <v>3</v>
      </c>
      <c r="BB55" s="224">
        <f t="shared" si="84"/>
        <v>3000000</v>
      </c>
      <c r="BC55" s="142">
        <v>0</v>
      </c>
      <c r="BD55" s="224">
        <f t="shared" si="85"/>
        <v>0</v>
      </c>
      <c r="BE55" s="142">
        <v>12</v>
      </c>
      <c r="BF55" s="224">
        <f t="shared" si="86"/>
        <v>12000000</v>
      </c>
      <c r="BG55" s="142">
        <v>0</v>
      </c>
      <c r="BH55" s="224">
        <f t="shared" si="87"/>
        <v>0</v>
      </c>
      <c r="BI55" s="142"/>
      <c r="BJ55" s="224">
        <f t="shared" si="88"/>
        <v>0</v>
      </c>
      <c r="BK55" s="142">
        <f t="shared" si="89"/>
        <v>51</v>
      </c>
      <c r="BL55" s="142">
        <f t="shared" si="90"/>
        <v>51000000</v>
      </c>
      <c r="BM55" s="225" t="s">
        <v>756</v>
      </c>
      <c r="BN55" s="273"/>
      <c r="BO55" s="123">
        <f t="shared" ref="BO55:BO60" si="108">H55</f>
        <v>51000000</v>
      </c>
      <c r="BP55" s="180"/>
      <c r="BQ55" s="180"/>
      <c r="BR55" s="180"/>
      <c r="BS55" s="98">
        <f t="shared" si="92"/>
        <v>51000000</v>
      </c>
      <c r="BT55" s="180"/>
      <c r="BU55" s="180"/>
      <c r="BV55" s="98"/>
      <c r="BW55" s="99">
        <f t="shared" ref="BW55:BW62" si="109">BS55+BV55</f>
        <v>51000000</v>
      </c>
    </row>
    <row r="56" spans="1:75" s="48" customFormat="1">
      <c r="A56" s="596"/>
      <c r="B56" s="109"/>
      <c r="C56" s="30"/>
      <c r="D56" s="30" t="s">
        <v>368</v>
      </c>
      <c r="E56" s="30" t="s">
        <v>326</v>
      </c>
      <c r="F56" s="116">
        <v>300000</v>
      </c>
      <c r="G56" s="111">
        <f t="shared" si="94"/>
        <v>4</v>
      </c>
      <c r="H56" s="117">
        <f t="shared" si="106"/>
        <v>1200000</v>
      </c>
      <c r="I56" s="117"/>
      <c r="J56" s="117"/>
      <c r="K56" s="571"/>
      <c r="L56" s="571"/>
      <c r="M56" s="571"/>
      <c r="N56" s="571">
        <f t="shared" si="107"/>
        <v>1200000</v>
      </c>
      <c r="O56" s="117"/>
      <c r="P56" s="117"/>
      <c r="Q56" s="117"/>
      <c r="R56" s="117"/>
      <c r="S56" s="113">
        <f t="shared" si="103"/>
        <v>1.4</v>
      </c>
      <c r="T56" s="113">
        <f t="shared" si="96"/>
        <v>0.4</v>
      </c>
      <c r="U56" s="113">
        <f t="shared" si="97"/>
        <v>0.6</v>
      </c>
      <c r="V56" s="113">
        <f t="shared" si="98"/>
        <v>1.6</v>
      </c>
      <c r="W56" s="110">
        <f t="shared" ref="W56:W62" si="110">S56*F56</f>
        <v>420000</v>
      </c>
      <c r="X56" s="110">
        <f t="shared" si="100"/>
        <v>120000</v>
      </c>
      <c r="Y56" s="110">
        <f t="shared" si="101"/>
        <v>180000</v>
      </c>
      <c r="Z56" s="110">
        <f t="shared" si="102"/>
        <v>480000</v>
      </c>
      <c r="AA56" s="112">
        <v>0</v>
      </c>
      <c r="AB56" s="224">
        <f t="shared" si="71"/>
        <v>0</v>
      </c>
      <c r="AC56" s="112">
        <v>2</v>
      </c>
      <c r="AD56" s="224">
        <f t="shared" si="72"/>
        <v>600000</v>
      </c>
      <c r="AE56" s="112">
        <v>1</v>
      </c>
      <c r="AF56" s="224">
        <f t="shared" si="73"/>
        <v>300000</v>
      </c>
      <c r="AG56" s="112"/>
      <c r="AH56" s="224">
        <f t="shared" si="74"/>
        <v>0</v>
      </c>
      <c r="AI56" s="112"/>
      <c r="AJ56" s="224">
        <f t="shared" si="75"/>
        <v>0</v>
      </c>
      <c r="AK56" s="112">
        <v>0</v>
      </c>
      <c r="AL56" s="224">
        <f t="shared" si="76"/>
        <v>0</v>
      </c>
      <c r="AM56" s="112">
        <v>0</v>
      </c>
      <c r="AN56" s="224">
        <f t="shared" si="77"/>
        <v>0</v>
      </c>
      <c r="AO56" s="112">
        <v>0</v>
      </c>
      <c r="AP56" s="224">
        <f t="shared" si="78"/>
        <v>0</v>
      </c>
      <c r="AQ56" s="112"/>
      <c r="AR56" s="224">
        <f t="shared" si="79"/>
        <v>0</v>
      </c>
      <c r="AS56" s="112">
        <v>0</v>
      </c>
      <c r="AT56" s="224">
        <f t="shared" si="80"/>
        <v>0</v>
      </c>
      <c r="AU56" s="112">
        <v>0</v>
      </c>
      <c r="AV56" s="224">
        <f t="shared" si="81"/>
        <v>0</v>
      </c>
      <c r="AW56" s="112">
        <v>0</v>
      </c>
      <c r="AX56" s="224">
        <f t="shared" si="82"/>
        <v>0</v>
      </c>
      <c r="AY56" s="43">
        <v>0</v>
      </c>
      <c r="AZ56" s="224">
        <f t="shared" si="83"/>
        <v>0</v>
      </c>
      <c r="BA56" s="112">
        <v>0</v>
      </c>
      <c r="BB56" s="224">
        <f t="shared" si="84"/>
        <v>0</v>
      </c>
      <c r="BC56" s="112">
        <v>1</v>
      </c>
      <c r="BD56" s="224">
        <f t="shared" si="85"/>
        <v>300000</v>
      </c>
      <c r="BE56" s="112">
        <v>0</v>
      </c>
      <c r="BF56" s="224">
        <f t="shared" si="86"/>
        <v>0</v>
      </c>
      <c r="BG56" s="112"/>
      <c r="BH56" s="224">
        <f t="shared" si="87"/>
        <v>0</v>
      </c>
      <c r="BI56" s="112"/>
      <c r="BJ56" s="224">
        <f t="shared" si="88"/>
        <v>0</v>
      </c>
      <c r="BK56" s="142">
        <f t="shared" si="89"/>
        <v>4</v>
      </c>
      <c r="BL56" s="142">
        <f t="shared" si="90"/>
        <v>1200000</v>
      </c>
      <c r="BM56" s="159" t="s">
        <v>385</v>
      </c>
      <c r="BN56" s="273"/>
      <c r="BO56" s="117">
        <f t="shared" si="108"/>
        <v>1200000</v>
      </c>
      <c r="BP56" s="137"/>
      <c r="BQ56" s="137"/>
      <c r="BR56" s="137"/>
      <c r="BS56" s="70">
        <f t="shared" ref="BS56:BS62" si="111">BO56+BP56+BQ56+BR56</f>
        <v>1200000</v>
      </c>
      <c r="BT56" s="137"/>
      <c r="BU56" s="137"/>
      <c r="BV56" s="70"/>
      <c r="BW56" s="107">
        <f t="shared" si="109"/>
        <v>1200000</v>
      </c>
    </row>
    <row r="57" spans="1:75" s="226" customFormat="1" ht="23.25">
      <c r="A57" s="633" t="s">
        <v>826</v>
      </c>
      <c r="B57" s="121"/>
      <c r="C57" s="93"/>
      <c r="D57" s="93" t="s">
        <v>825</v>
      </c>
      <c r="E57" s="30" t="s">
        <v>326</v>
      </c>
      <c r="F57" s="118">
        <v>500000</v>
      </c>
      <c r="G57" s="221">
        <f t="shared" si="94"/>
        <v>10</v>
      </c>
      <c r="H57" s="123">
        <f t="shared" si="106"/>
        <v>5000000</v>
      </c>
      <c r="I57" s="123"/>
      <c r="J57" s="123"/>
      <c r="K57" s="569"/>
      <c r="L57" s="569"/>
      <c r="M57" s="569"/>
      <c r="N57" s="569">
        <f t="shared" si="107"/>
        <v>5000000</v>
      </c>
      <c r="O57" s="123"/>
      <c r="P57" s="123"/>
      <c r="Q57" s="123"/>
      <c r="R57" s="123"/>
      <c r="S57" s="222">
        <f t="shared" si="103"/>
        <v>3.5</v>
      </c>
      <c r="T57" s="222">
        <f t="shared" si="96"/>
        <v>1</v>
      </c>
      <c r="U57" s="222">
        <f t="shared" si="97"/>
        <v>1.5</v>
      </c>
      <c r="V57" s="222">
        <f t="shared" si="98"/>
        <v>4</v>
      </c>
      <c r="W57" s="223">
        <f t="shared" si="110"/>
        <v>1750000</v>
      </c>
      <c r="X57" s="223">
        <f t="shared" si="100"/>
        <v>500000</v>
      </c>
      <c r="Y57" s="223">
        <f t="shared" si="101"/>
        <v>750000</v>
      </c>
      <c r="Z57" s="223">
        <f t="shared" si="102"/>
        <v>2000000</v>
      </c>
      <c r="AA57" s="142">
        <v>1</v>
      </c>
      <c r="AB57" s="224">
        <f t="shared" si="71"/>
        <v>500000</v>
      </c>
      <c r="AC57" s="142">
        <v>1</v>
      </c>
      <c r="AD57" s="224">
        <f t="shared" si="72"/>
        <v>500000</v>
      </c>
      <c r="AE57" s="142">
        <v>3</v>
      </c>
      <c r="AF57" s="224">
        <f t="shared" si="73"/>
        <v>1500000</v>
      </c>
      <c r="AG57" s="142"/>
      <c r="AH57" s="224">
        <f t="shared" si="74"/>
        <v>0</v>
      </c>
      <c r="AI57" s="142"/>
      <c r="AJ57" s="224">
        <f t="shared" si="75"/>
        <v>0</v>
      </c>
      <c r="AK57" s="142"/>
      <c r="AL57" s="224">
        <f t="shared" si="76"/>
        <v>0</v>
      </c>
      <c r="AM57" s="142"/>
      <c r="AN57" s="224">
        <f t="shared" si="77"/>
        <v>0</v>
      </c>
      <c r="AO57" s="142"/>
      <c r="AP57" s="224">
        <f t="shared" si="78"/>
        <v>0</v>
      </c>
      <c r="AQ57" s="142">
        <v>1</v>
      </c>
      <c r="AR57" s="224">
        <f t="shared" si="79"/>
        <v>500000</v>
      </c>
      <c r="AS57" s="142"/>
      <c r="AT57" s="224">
        <f t="shared" si="80"/>
        <v>0</v>
      </c>
      <c r="AU57" s="142"/>
      <c r="AV57" s="224">
        <f t="shared" si="81"/>
        <v>0</v>
      </c>
      <c r="AW57" s="142"/>
      <c r="AX57" s="224">
        <f t="shared" si="82"/>
        <v>0</v>
      </c>
      <c r="AY57" s="224">
        <v>2</v>
      </c>
      <c r="AZ57" s="224">
        <f t="shared" si="83"/>
        <v>1000000</v>
      </c>
      <c r="BA57" s="142">
        <v>1</v>
      </c>
      <c r="BB57" s="224">
        <f t="shared" si="84"/>
        <v>500000</v>
      </c>
      <c r="BC57" s="142">
        <v>1</v>
      </c>
      <c r="BD57" s="224">
        <f t="shared" si="85"/>
        <v>500000</v>
      </c>
      <c r="BE57" s="142"/>
      <c r="BF57" s="224">
        <f t="shared" si="86"/>
        <v>0</v>
      </c>
      <c r="BG57" s="142"/>
      <c r="BH57" s="224">
        <f t="shared" si="87"/>
        <v>0</v>
      </c>
      <c r="BI57" s="142"/>
      <c r="BJ57" s="224">
        <f t="shared" si="88"/>
        <v>0</v>
      </c>
      <c r="BK57" s="142">
        <f t="shared" si="89"/>
        <v>10</v>
      </c>
      <c r="BL57" s="142">
        <f t="shared" si="90"/>
        <v>5000000</v>
      </c>
      <c r="BM57" s="225" t="s">
        <v>385</v>
      </c>
      <c r="BN57" s="403"/>
      <c r="BO57" s="123">
        <f t="shared" si="108"/>
        <v>5000000</v>
      </c>
      <c r="BP57" s="180"/>
      <c r="BQ57" s="180"/>
      <c r="BR57" s="180"/>
      <c r="BS57" s="98">
        <f t="shared" si="111"/>
        <v>5000000</v>
      </c>
      <c r="BT57" s="180"/>
      <c r="BU57" s="180"/>
      <c r="BV57" s="98"/>
      <c r="BW57" s="99">
        <f t="shared" si="109"/>
        <v>5000000</v>
      </c>
    </row>
    <row r="58" spans="1:75" s="48" customFormat="1">
      <c r="A58" s="596"/>
      <c r="B58" s="109"/>
      <c r="C58" s="30"/>
      <c r="D58" s="30" t="s">
        <v>393</v>
      </c>
      <c r="E58" s="30" t="s">
        <v>326</v>
      </c>
      <c r="F58" s="116">
        <v>100000</v>
      </c>
      <c r="G58" s="111">
        <f t="shared" si="94"/>
        <v>15</v>
      </c>
      <c r="H58" s="117">
        <f t="shared" si="106"/>
        <v>1500000</v>
      </c>
      <c r="I58" s="117"/>
      <c r="J58" s="117"/>
      <c r="K58" s="571"/>
      <c r="L58" s="571"/>
      <c r="M58" s="571"/>
      <c r="N58" s="571">
        <f t="shared" si="107"/>
        <v>1500000</v>
      </c>
      <c r="O58" s="117"/>
      <c r="P58" s="117"/>
      <c r="Q58" s="117"/>
      <c r="R58" s="117"/>
      <c r="S58" s="113">
        <f t="shared" si="103"/>
        <v>5.25</v>
      </c>
      <c r="T58" s="113">
        <f t="shared" si="96"/>
        <v>1.5</v>
      </c>
      <c r="U58" s="113">
        <f t="shared" si="97"/>
        <v>2.25</v>
      </c>
      <c r="V58" s="113">
        <f t="shared" si="98"/>
        <v>6</v>
      </c>
      <c r="W58" s="110">
        <f t="shared" si="110"/>
        <v>525000</v>
      </c>
      <c r="X58" s="110">
        <f t="shared" si="100"/>
        <v>150000</v>
      </c>
      <c r="Y58" s="110">
        <f t="shared" si="101"/>
        <v>225000</v>
      </c>
      <c r="Z58" s="110">
        <f t="shared" si="102"/>
        <v>600000</v>
      </c>
      <c r="AA58" s="112"/>
      <c r="AB58" s="224">
        <f t="shared" si="71"/>
        <v>0</v>
      </c>
      <c r="AC58" s="112"/>
      <c r="AD58" s="224">
        <f t="shared" si="72"/>
        <v>0</v>
      </c>
      <c r="AE58" s="112">
        <v>5</v>
      </c>
      <c r="AF58" s="224">
        <f t="shared" si="73"/>
        <v>500000</v>
      </c>
      <c r="AG58" s="112">
        <v>7</v>
      </c>
      <c r="AH58" s="224">
        <f t="shared" si="74"/>
        <v>700000</v>
      </c>
      <c r="AI58" s="112"/>
      <c r="AJ58" s="224">
        <f t="shared" si="75"/>
        <v>0</v>
      </c>
      <c r="AK58" s="112"/>
      <c r="AL58" s="224">
        <f t="shared" si="76"/>
        <v>0</v>
      </c>
      <c r="AM58" s="112"/>
      <c r="AN58" s="224">
        <f t="shared" si="77"/>
        <v>0</v>
      </c>
      <c r="AO58" s="112"/>
      <c r="AP58" s="224">
        <f t="shared" si="78"/>
        <v>0</v>
      </c>
      <c r="AQ58" s="112">
        <v>1</v>
      </c>
      <c r="AR58" s="224">
        <f t="shared" si="79"/>
        <v>100000</v>
      </c>
      <c r="AS58" s="112"/>
      <c r="AT58" s="224">
        <f t="shared" si="80"/>
        <v>0</v>
      </c>
      <c r="AU58" s="112"/>
      <c r="AV58" s="224">
        <f t="shared" si="81"/>
        <v>0</v>
      </c>
      <c r="AW58" s="112"/>
      <c r="AX58" s="224">
        <f t="shared" si="82"/>
        <v>0</v>
      </c>
      <c r="AY58" s="43">
        <v>2</v>
      </c>
      <c r="AZ58" s="224">
        <f t="shared" si="83"/>
        <v>200000</v>
      </c>
      <c r="BA58" s="112">
        <v>0</v>
      </c>
      <c r="BB58" s="224">
        <f t="shared" si="84"/>
        <v>0</v>
      </c>
      <c r="BC58" s="112"/>
      <c r="BD58" s="224">
        <f t="shared" si="85"/>
        <v>0</v>
      </c>
      <c r="BE58" s="112"/>
      <c r="BF58" s="224">
        <f t="shared" si="86"/>
        <v>0</v>
      </c>
      <c r="BG58" s="112"/>
      <c r="BH58" s="224">
        <f t="shared" si="87"/>
        <v>0</v>
      </c>
      <c r="BI58" s="112"/>
      <c r="BJ58" s="224">
        <f t="shared" si="88"/>
        <v>0</v>
      </c>
      <c r="BK58" s="142">
        <f t="shared" si="89"/>
        <v>15</v>
      </c>
      <c r="BL58" s="142">
        <f t="shared" si="90"/>
        <v>1500000</v>
      </c>
      <c r="BM58" s="159" t="s">
        <v>385</v>
      </c>
      <c r="BN58" s="273"/>
      <c r="BO58" s="117">
        <f t="shared" si="108"/>
        <v>1500000</v>
      </c>
      <c r="BP58" s="137"/>
      <c r="BQ58" s="137"/>
      <c r="BR58" s="137"/>
      <c r="BS58" s="70">
        <f t="shared" si="111"/>
        <v>1500000</v>
      </c>
      <c r="BT58" s="137"/>
      <c r="BU58" s="137"/>
      <c r="BV58" s="70"/>
      <c r="BW58" s="107">
        <f t="shared" si="109"/>
        <v>1500000</v>
      </c>
    </row>
    <row r="59" spans="1:75" s="48" customFormat="1" ht="31.5">
      <c r="A59" s="596"/>
      <c r="B59" s="109"/>
      <c r="C59" s="30"/>
      <c r="D59" s="30" t="s">
        <v>829</v>
      </c>
      <c r="E59" s="30" t="s">
        <v>326</v>
      </c>
      <c r="F59" s="116">
        <v>500000</v>
      </c>
      <c r="G59" s="111">
        <f t="shared" si="94"/>
        <v>10</v>
      </c>
      <c r="H59" s="117">
        <f t="shared" si="106"/>
        <v>5000000</v>
      </c>
      <c r="I59" s="117"/>
      <c r="J59" s="117"/>
      <c r="K59" s="571"/>
      <c r="L59" s="571"/>
      <c r="M59" s="571"/>
      <c r="N59" s="571">
        <f t="shared" si="107"/>
        <v>5000000</v>
      </c>
      <c r="O59" s="117"/>
      <c r="P59" s="117"/>
      <c r="Q59" s="117"/>
      <c r="R59" s="117"/>
      <c r="S59" s="113">
        <f t="shared" si="103"/>
        <v>3.5</v>
      </c>
      <c r="T59" s="113">
        <f t="shared" si="96"/>
        <v>1</v>
      </c>
      <c r="U59" s="113">
        <f t="shared" si="97"/>
        <v>1.5</v>
      </c>
      <c r="V59" s="113">
        <f t="shared" si="98"/>
        <v>4</v>
      </c>
      <c r="W59" s="110">
        <f t="shared" si="110"/>
        <v>1750000</v>
      </c>
      <c r="X59" s="110">
        <f t="shared" si="100"/>
        <v>500000</v>
      </c>
      <c r="Y59" s="110">
        <f t="shared" si="101"/>
        <v>750000</v>
      </c>
      <c r="Z59" s="110">
        <f t="shared" si="102"/>
        <v>2000000</v>
      </c>
      <c r="AA59" s="112">
        <v>1</v>
      </c>
      <c r="AB59" s="224">
        <f t="shared" si="71"/>
        <v>500000</v>
      </c>
      <c r="AC59" s="112"/>
      <c r="AD59" s="224">
        <f t="shared" si="72"/>
        <v>0</v>
      </c>
      <c r="AE59" s="112">
        <v>1</v>
      </c>
      <c r="AF59" s="224">
        <f t="shared" si="73"/>
        <v>500000</v>
      </c>
      <c r="AG59" s="112">
        <v>1</v>
      </c>
      <c r="AH59" s="224">
        <f t="shared" si="74"/>
        <v>500000</v>
      </c>
      <c r="AI59" s="112">
        <v>1</v>
      </c>
      <c r="AJ59" s="224">
        <f t="shared" si="75"/>
        <v>500000</v>
      </c>
      <c r="AK59" s="112">
        <v>1</v>
      </c>
      <c r="AL59" s="224">
        <f t="shared" si="76"/>
        <v>500000</v>
      </c>
      <c r="AM59" s="112">
        <v>1</v>
      </c>
      <c r="AN59" s="224">
        <f t="shared" si="77"/>
        <v>500000</v>
      </c>
      <c r="AO59" s="112"/>
      <c r="AP59" s="224">
        <f t="shared" si="78"/>
        <v>0</v>
      </c>
      <c r="AQ59" s="112">
        <v>1</v>
      </c>
      <c r="AR59" s="224">
        <f t="shared" si="79"/>
        <v>500000</v>
      </c>
      <c r="AS59" s="112"/>
      <c r="AT59" s="224">
        <f t="shared" si="80"/>
        <v>0</v>
      </c>
      <c r="AU59" s="112"/>
      <c r="AV59" s="224">
        <f t="shared" si="81"/>
        <v>0</v>
      </c>
      <c r="AW59" s="112"/>
      <c r="AX59" s="224">
        <f t="shared" si="82"/>
        <v>0</v>
      </c>
      <c r="AY59" s="43">
        <v>0</v>
      </c>
      <c r="AZ59" s="224">
        <f t="shared" si="83"/>
        <v>0</v>
      </c>
      <c r="BA59" s="112">
        <v>1</v>
      </c>
      <c r="BB59" s="224">
        <f t="shared" si="84"/>
        <v>500000</v>
      </c>
      <c r="BC59" s="112">
        <v>1</v>
      </c>
      <c r="BD59" s="224">
        <f t="shared" si="85"/>
        <v>500000</v>
      </c>
      <c r="BE59" s="112">
        <v>1</v>
      </c>
      <c r="BF59" s="224">
        <f t="shared" si="86"/>
        <v>500000</v>
      </c>
      <c r="BG59" s="112"/>
      <c r="BH59" s="224">
        <f t="shared" si="87"/>
        <v>0</v>
      </c>
      <c r="BI59" s="112"/>
      <c r="BJ59" s="224">
        <f t="shared" si="88"/>
        <v>0</v>
      </c>
      <c r="BK59" s="142">
        <f t="shared" si="89"/>
        <v>10</v>
      </c>
      <c r="BL59" s="142">
        <f t="shared" si="90"/>
        <v>5000000</v>
      </c>
      <c r="BM59" s="159" t="s">
        <v>385</v>
      </c>
      <c r="BN59" s="273"/>
      <c r="BO59" s="117">
        <f t="shared" si="108"/>
        <v>5000000</v>
      </c>
      <c r="BP59" s="137"/>
      <c r="BQ59" s="137"/>
      <c r="BR59" s="137"/>
      <c r="BS59" s="70">
        <f t="shared" si="111"/>
        <v>5000000</v>
      </c>
      <c r="BT59" s="137"/>
      <c r="BU59" s="137"/>
      <c r="BV59" s="70"/>
      <c r="BW59" s="107">
        <f t="shared" si="109"/>
        <v>5000000</v>
      </c>
    </row>
    <row r="60" spans="1:75" s="48" customFormat="1">
      <c r="A60" s="596"/>
      <c r="B60" s="109"/>
      <c r="C60" s="30"/>
      <c r="D60" s="30" t="s">
        <v>827</v>
      </c>
      <c r="E60" s="30" t="s">
        <v>326</v>
      </c>
      <c r="F60" s="116">
        <v>180000</v>
      </c>
      <c r="G60" s="111">
        <f t="shared" si="94"/>
        <v>20</v>
      </c>
      <c r="H60" s="117">
        <f t="shared" si="106"/>
        <v>3600000</v>
      </c>
      <c r="I60" s="117"/>
      <c r="J60" s="117"/>
      <c r="K60" s="571"/>
      <c r="L60" s="571"/>
      <c r="M60" s="571"/>
      <c r="N60" s="571">
        <f t="shared" si="107"/>
        <v>3600000</v>
      </c>
      <c r="O60" s="117"/>
      <c r="P60" s="117"/>
      <c r="Q60" s="117"/>
      <c r="R60" s="117"/>
      <c r="S60" s="113">
        <f t="shared" si="103"/>
        <v>7</v>
      </c>
      <c r="T60" s="113">
        <f t="shared" si="96"/>
        <v>2</v>
      </c>
      <c r="U60" s="113">
        <f t="shared" si="97"/>
        <v>3</v>
      </c>
      <c r="V60" s="113">
        <f t="shared" si="98"/>
        <v>8</v>
      </c>
      <c r="W60" s="110">
        <f t="shared" si="110"/>
        <v>1260000</v>
      </c>
      <c r="X60" s="110">
        <f t="shared" si="100"/>
        <v>360000</v>
      </c>
      <c r="Y60" s="110">
        <f t="shared" si="101"/>
        <v>540000</v>
      </c>
      <c r="Z60" s="110">
        <f t="shared" si="102"/>
        <v>1440000</v>
      </c>
      <c r="AA60" s="112"/>
      <c r="AB60" s="224">
        <f t="shared" si="71"/>
        <v>0</v>
      </c>
      <c r="AC60" s="112"/>
      <c r="AD60" s="224">
        <f t="shared" si="72"/>
        <v>0</v>
      </c>
      <c r="AE60" s="112">
        <v>2</v>
      </c>
      <c r="AF60" s="224">
        <f t="shared" si="73"/>
        <v>360000</v>
      </c>
      <c r="AG60" s="112">
        <v>2</v>
      </c>
      <c r="AH60" s="224">
        <f t="shared" si="74"/>
        <v>360000</v>
      </c>
      <c r="AI60" s="112">
        <v>1</v>
      </c>
      <c r="AJ60" s="224">
        <f t="shared" si="75"/>
        <v>180000</v>
      </c>
      <c r="AK60" s="112">
        <v>0</v>
      </c>
      <c r="AL60" s="224">
        <f t="shared" si="76"/>
        <v>0</v>
      </c>
      <c r="AM60" s="112">
        <v>2</v>
      </c>
      <c r="AN60" s="224">
        <f t="shared" si="77"/>
        <v>360000</v>
      </c>
      <c r="AO60" s="112">
        <v>2</v>
      </c>
      <c r="AP60" s="224">
        <f t="shared" si="78"/>
        <v>360000</v>
      </c>
      <c r="AQ60" s="112">
        <v>0</v>
      </c>
      <c r="AR60" s="224">
        <f t="shared" si="79"/>
        <v>0</v>
      </c>
      <c r="AS60" s="112"/>
      <c r="AT60" s="224">
        <f t="shared" si="80"/>
        <v>0</v>
      </c>
      <c r="AU60" s="112">
        <v>1</v>
      </c>
      <c r="AV60" s="224">
        <f t="shared" si="81"/>
        <v>180000</v>
      </c>
      <c r="AW60" s="112">
        <v>1</v>
      </c>
      <c r="AX60" s="224">
        <f t="shared" si="82"/>
        <v>180000</v>
      </c>
      <c r="AY60" s="43">
        <v>2</v>
      </c>
      <c r="AZ60" s="224">
        <f t="shared" si="83"/>
        <v>360000</v>
      </c>
      <c r="BA60" s="112">
        <v>2</v>
      </c>
      <c r="BB60" s="224">
        <f t="shared" si="84"/>
        <v>360000</v>
      </c>
      <c r="BC60" s="112">
        <v>2</v>
      </c>
      <c r="BD60" s="224">
        <f t="shared" si="85"/>
        <v>360000</v>
      </c>
      <c r="BE60" s="112">
        <v>1</v>
      </c>
      <c r="BF60" s="224">
        <f t="shared" si="86"/>
        <v>180000</v>
      </c>
      <c r="BG60" s="112">
        <v>2</v>
      </c>
      <c r="BH60" s="224">
        <f t="shared" si="87"/>
        <v>360000</v>
      </c>
      <c r="BI60" s="112"/>
      <c r="BJ60" s="224">
        <f t="shared" si="88"/>
        <v>0</v>
      </c>
      <c r="BK60" s="142">
        <f>BI60+BG60+BE60+BC60+BA60+AY60+AW60+AU60+AS60+AQ60+AO60+AM60+AK60+AI60+AG60+AE60+AC60+AA60</f>
        <v>20</v>
      </c>
      <c r="BL60" s="142">
        <f>BJ60+BH60+BF60+BD60+BB60+AZ60+AX60+AV60+AT60+AR60+AP60+AN60+AL60+AJ60+AH60+AF60+AD60+AB60</f>
        <v>3600000</v>
      </c>
      <c r="BM60" s="159" t="s">
        <v>385</v>
      </c>
      <c r="BN60" s="273"/>
      <c r="BO60" s="117">
        <f t="shared" si="108"/>
        <v>3600000</v>
      </c>
      <c r="BP60" s="137"/>
      <c r="BQ60" s="137"/>
      <c r="BR60" s="137"/>
      <c r="BS60" s="70">
        <f t="shared" si="111"/>
        <v>3600000</v>
      </c>
      <c r="BT60" s="137"/>
      <c r="BU60" s="137"/>
      <c r="BV60" s="70"/>
      <c r="BW60" s="107">
        <f t="shared" si="109"/>
        <v>3600000</v>
      </c>
    </row>
    <row r="61" spans="1:75" s="48" customFormat="1" ht="31.5">
      <c r="A61" s="596"/>
      <c r="B61" s="109"/>
      <c r="C61" s="30"/>
      <c r="D61" s="30" t="s">
        <v>754</v>
      </c>
      <c r="E61" s="30" t="s">
        <v>326</v>
      </c>
      <c r="F61" s="116">
        <v>5500</v>
      </c>
      <c r="G61" s="111">
        <f t="shared" si="94"/>
        <v>500</v>
      </c>
      <c r="H61" s="117">
        <f>G61*F61</f>
        <v>2750000</v>
      </c>
      <c r="I61" s="117"/>
      <c r="J61" s="117"/>
      <c r="K61" s="571"/>
      <c r="L61" s="571"/>
      <c r="M61" s="571">
        <f>H61*1</f>
        <v>2750000</v>
      </c>
      <c r="N61" s="571"/>
      <c r="O61" s="117"/>
      <c r="P61" s="117"/>
      <c r="Q61" s="117"/>
      <c r="R61" s="117"/>
      <c r="S61" s="113">
        <f t="shared" si="103"/>
        <v>175</v>
      </c>
      <c r="T61" s="113">
        <f t="shared" si="96"/>
        <v>50</v>
      </c>
      <c r="U61" s="113">
        <f t="shared" si="97"/>
        <v>75</v>
      </c>
      <c r="V61" s="113">
        <f t="shared" si="98"/>
        <v>200</v>
      </c>
      <c r="W61" s="110">
        <f t="shared" si="110"/>
        <v>962500</v>
      </c>
      <c r="X61" s="110">
        <f t="shared" si="100"/>
        <v>275000</v>
      </c>
      <c r="Y61" s="110">
        <f t="shared" si="101"/>
        <v>412500</v>
      </c>
      <c r="Z61" s="110">
        <f t="shared" si="102"/>
        <v>1100000</v>
      </c>
      <c r="AA61" s="112">
        <v>35</v>
      </c>
      <c r="AB61" s="224">
        <f t="shared" si="71"/>
        <v>192500</v>
      </c>
      <c r="AC61" s="112">
        <v>30</v>
      </c>
      <c r="AD61" s="224">
        <f t="shared" si="72"/>
        <v>165000</v>
      </c>
      <c r="AE61" s="112">
        <v>30</v>
      </c>
      <c r="AF61" s="224">
        <f t="shared" si="73"/>
        <v>165000</v>
      </c>
      <c r="AG61" s="112">
        <v>30</v>
      </c>
      <c r="AH61" s="224">
        <f t="shared" si="74"/>
        <v>165000</v>
      </c>
      <c r="AI61" s="112">
        <v>30</v>
      </c>
      <c r="AJ61" s="224">
        <f t="shared" si="75"/>
        <v>165000</v>
      </c>
      <c r="AK61" s="112">
        <v>30</v>
      </c>
      <c r="AL61" s="224">
        <f t="shared" si="76"/>
        <v>165000</v>
      </c>
      <c r="AM61" s="112">
        <v>30</v>
      </c>
      <c r="AN61" s="224">
        <f t="shared" si="77"/>
        <v>165000</v>
      </c>
      <c r="AO61" s="112">
        <v>20</v>
      </c>
      <c r="AP61" s="224">
        <f t="shared" si="78"/>
        <v>110000</v>
      </c>
      <c r="AQ61" s="112">
        <v>20</v>
      </c>
      <c r="AR61" s="224">
        <f t="shared" si="79"/>
        <v>110000</v>
      </c>
      <c r="AS61" s="112">
        <v>30</v>
      </c>
      <c r="AT61" s="224">
        <f t="shared" si="80"/>
        <v>165000</v>
      </c>
      <c r="AU61" s="112">
        <v>30</v>
      </c>
      <c r="AV61" s="224">
        <f t="shared" si="81"/>
        <v>165000</v>
      </c>
      <c r="AW61" s="112">
        <v>30</v>
      </c>
      <c r="AX61" s="224">
        <f t="shared" si="82"/>
        <v>165000</v>
      </c>
      <c r="AY61" s="43">
        <v>35</v>
      </c>
      <c r="AZ61" s="224">
        <f t="shared" si="83"/>
        <v>192500</v>
      </c>
      <c r="BA61" s="112">
        <v>35</v>
      </c>
      <c r="BB61" s="224">
        <f t="shared" si="84"/>
        <v>192500</v>
      </c>
      <c r="BC61" s="112">
        <v>40</v>
      </c>
      <c r="BD61" s="224">
        <f t="shared" si="85"/>
        <v>220000</v>
      </c>
      <c r="BE61" s="112">
        <v>15</v>
      </c>
      <c r="BF61" s="224">
        <f t="shared" si="86"/>
        <v>82500</v>
      </c>
      <c r="BG61" s="112">
        <v>30</v>
      </c>
      <c r="BH61" s="224">
        <f t="shared" si="87"/>
        <v>165000</v>
      </c>
      <c r="BI61" s="112"/>
      <c r="BJ61" s="224">
        <f t="shared" si="88"/>
        <v>0</v>
      </c>
      <c r="BK61" s="142">
        <f t="shared" si="89"/>
        <v>500</v>
      </c>
      <c r="BL61" s="142">
        <f t="shared" si="90"/>
        <v>2750000</v>
      </c>
      <c r="BM61" s="225" t="s">
        <v>701</v>
      </c>
      <c r="BN61" s="273"/>
      <c r="BO61" s="117"/>
      <c r="BP61" s="137"/>
      <c r="BQ61" s="70">
        <f>BL61</f>
        <v>2750000</v>
      </c>
      <c r="BR61" s="137"/>
      <c r="BS61" s="70">
        <f t="shared" si="111"/>
        <v>2750000</v>
      </c>
      <c r="BT61" s="137"/>
      <c r="BU61" s="137"/>
      <c r="BV61" s="70"/>
      <c r="BW61" s="107">
        <f t="shared" si="109"/>
        <v>2750000</v>
      </c>
    </row>
    <row r="62" spans="1:75" s="48" customFormat="1">
      <c r="A62" s="596"/>
      <c r="B62" s="109"/>
      <c r="C62" s="30"/>
      <c r="D62" s="30" t="s">
        <v>755</v>
      </c>
      <c r="E62" s="30" t="s">
        <v>326</v>
      </c>
      <c r="F62" s="116">
        <v>13000</v>
      </c>
      <c r="G62" s="111">
        <f t="shared" si="94"/>
        <v>500</v>
      </c>
      <c r="H62" s="117">
        <f>G62*F62</f>
        <v>6500000</v>
      </c>
      <c r="I62" s="117"/>
      <c r="J62" s="117"/>
      <c r="K62" s="571"/>
      <c r="L62" s="571"/>
      <c r="M62" s="571">
        <f>H62*1</f>
        <v>6500000</v>
      </c>
      <c r="N62" s="571"/>
      <c r="O62" s="117"/>
      <c r="P62" s="117"/>
      <c r="Q62" s="117"/>
      <c r="R62" s="117"/>
      <c r="S62" s="113">
        <f t="shared" si="103"/>
        <v>175</v>
      </c>
      <c r="T62" s="113">
        <f t="shared" si="96"/>
        <v>50</v>
      </c>
      <c r="U62" s="113">
        <f t="shared" si="97"/>
        <v>75</v>
      </c>
      <c r="V62" s="113">
        <f t="shared" si="98"/>
        <v>200</v>
      </c>
      <c r="W62" s="110">
        <f t="shared" si="110"/>
        <v>2275000</v>
      </c>
      <c r="X62" s="110">
        <f t="shared" si="100"/>
        <v>650000</v>
      </c>
      <c r="Y62" s="110">
        <f t="shared" si="101"/>
        <v>975000</v>
      </c>
      <c r="Z62" s="110">
        <f t="shared" si="102"/>
        <v>2600000</v>
      </c>
      <c r="AA62" s="112">
        <v>35</v>
      </c>
      <c r="AB62" s="224">
        <f t="shared" si="71"/>
        <v>455000</v>
      </c>
      <c r="AC62" s="112">
        <v>30</v>
      </c>
      <c r="AD62" s="224">
        <f t="shared" si="72"/>
        <v>390000</v>
      </c>
      <c r="AE62" s="112">
        <v>30</v>
      </c>
      <c r="AF62" s="224">
        <f t="shared" si="73"/>
        <v>390000</v>
      </c>
      <c r="AG62" s="112">
        <v>30</v>
      </c>
      <c r="AH62" s="224">
        <f t="shared" si="74"/>
        <v>390000</v>
      </c>
      <c r="AI62" s="112">
        <v>30</v>
      </c>
      <c r="AJ62" s="224">
        <f t="shared" si="75"/>
        <v>390000</v>
      </c>
      <c r="AK62" s="112">
        <v>30</v>
      </c>
      <c r="AL62" s="224">
        <f t="shared" si="76"/>
        <v>390000</v>
      </c>
      <c r="AM62" s="112">
        <v>30</v>
      </c>
      <c r="AN62" s="224">
        <f t="shared" si="77"/>
        <v>390000</v>
      </c>
      <c r="AO62" s="112">
        <v>20</v>
      </c>
      <c r="AP62" s="224">
        <f t="shared" si="78"/>
        <v>260000</v>
      </c>
      <c r="AQ62" s="112">
        <v>20</v>
      </c>
      <c r="AR62" s="224">
        <f t="shared" si="79"/>
        <v>260000</v>
      </c>
      <c r="AS62" s="112">
        <v>30</v>
      </c>
      <c r="AT62" s="224">
        <f t="shared" si="80"/>
        <v>390000</v>
      </c>
      <c r="AU62" s="112">
        <v>30</v>
      </c>
      <c r="AV62" s="224">
        <f t="shared" si="81"/>
        <v>390000</v>
      </c>
      <c r="AW62" s="112">
        <v>30</v>
      </c>
      <c r="AX62" s="224">
        <f t="shared" si="82"/>
        <v>390000</v>
      </c>
      <c r="AY62" s="43">
        <v>35</v>
      </c>
      <c r="AZ62" s="224">
        <f t="shared" si="83"/>
        <v>455000</v>
      </c>
      <c r="BA62" s="112">
        <v>35</v>
      </c>
      <c r="BB62" s="224">
        <f t="shared" si="84"/>
        <v>455000</v>
      </c>
      <c r="BC62" s="112">
        <v>40</v>
      </c>
      <c r="BD62" s="224">
        <f t="shared" si="85"/>
        <v>520000</v>
      </c>
      <c r="BE62" s="112">
        <v>15</v>
      </c>
      <c r="BF62" s="224">
        <f t="shared" si="86"/>
        <v>195000</v>
      </c>
      <c r="BG62" s="112">
        <v>30</v>
      </c>
      <c r="BH62" s="224">
        <f t="shared" si="87"/>
        <v>390000</v>
      </c>
      <c r="BI62" s="112"/>
      <c r="BJ62" s="224">
        <f t="shared" si="88"/>
        <v>0</v>
      </c>
      <c r="BK62" s="142">
        <f t="shared" si="89"/>
        <v>500</v>
      </c>
      <c r="BL62" s="142">
        <f t="shared" si="90"/>
        <v>6500000</v>
      </c>
      <c r="BM62" s="225" t="s">
        <v>701</v>
      </c>
      <c r="BN62" s="273"/>
      <c r="BO62" s="117"/>
      <c r="BP62" s="137"/>
      <c r="BQ62" s="70">
        <f>BL62</f>
        <v>6500000</v>
      </c>
      <c r="BR62" s="137"/>
      <c r="BS62" s="70">
        <f t="shared" si="111"/>
        <v>6500000</v>
      </c>
      <c r="BT62" s="137"/>
      <c r="BU62" s="137"/>
      <c r="BV62" s="70"/>
      <c r="BW62" s="107">
        <f t="shared" si="109"/>
        <v>6500000</v>
      </c>
    </row>
    <row r="63" spans="1:75" s="48" customFormat="1">
      <c r="A63" s="596"/>
      <c r="B63" s="119"/>
      <c r="C63" s="139"/>
      <c r="D63" s="120" t="s">
        <v>3</v>
      </c>
      <c r="E63" s="139"/>
      <c r="F63" s="140"/>
      <c r="G63" s="128">
        <f t="shared" ref="G63:AL63" si="112">SUM(G44:G62)</f>
        <v>4958</v>
      </c>
      <c r="H63" s="128">
        <f t="shared" si="112"/>
        <v>246658000</v>
      </c>
      <c r="I63" s="128">
        <f t="shared" si="112"/>
        <v>0</v>
      </c>
      <c r="J63" s="128">
        <f t="shared" si="112"/>
        <v>0</v>
      </c>
      <c r="K63" s="572">
        <f t="shared" si="112"/>
        <v>60000000</v>
      </c>
      <c r="L63" s="572">
        <f t="shared" si="112"/>
        <v>0</v>
      </c>
      <c r="M63" s="572">
        <f t="shared" si="112"/>
        <v>71750000</v>
      </c>
      <c r="N63" s="572">
        <f t="shared" si="112"/>
        <v>74900000</v>
      </c>
      <c r="O63" s="128">
        <f t="shared" si="112"/>
        <v>0</v>
      </c>
      <c r="P63" s="128">
        <f t="shared" si="112"/>
        <v>0</v>
      </c>
      <c r="Q63" s="128">
        <f t="shared" si="112"/>
        <v>0</v>
      </c>
      <c r="R63" s="128">
        <f t="shared" si="112"/>
        <v>40008000</v>
      </c>
      <c r="S63" s="128">
        <f t="shared" si="112"/>
        <v>1728.3</v>
      </c>
      <c r="T63" s="128">
        <f t="shared" si="112"/>
        <v>495.8</v>
      </c>
      <c r="U63" s="128">
        <f t="shared" si="112"/>
        <v>743.7</v>
      </c>
      <c r="V63" s="128">
        <f t="shared" si="112"/>
        <v>1983.2</v>
      </c>
      <c r="W63" s="128">
        <f t="shared" si="112"/>
        <v>67405300</v>
      </c>
      <c r="X63" s="128">
        <f t="shared" si="112"/>
        <v>24615800</v>
      </c>
      <c r="Y63" s="128">
        <f t="shared" si="112"/>
        <v>36923700</v>
      </c>
      <c r="Z63" s="128">
        <f t="shared" si="112"/>
        <v>98463200</v>
      </c>
      <c r="AA63" s="128">
        <f t="shared" si="112"/>
        <v>175</v>
      </c>
      <c r="AB63" s="128">
        <f t="shared" si="112"/>
        <v>15337500</v>
      </c>
      <c r="AC63" s="128">
        <f t="shared" si="112"/>
        <v>141</v>
      </c>
      <c r="AD63" s="128">
        <f t="shared" si="112"/>
        <v>10243000</v>
      </c>
      <c r="AE63" s="128">
        <f t="shared" si="112"/>
        <v>804</v>
      </c>
      <c r="AF63" s="128">
        <f t="shared" si="112"/>
        <v>17517000</v>
      </c>
      <c r="AG63" s="128">
        <f t="shared" si="112"/>
        <v>520</v>
      </c>
      <c r="AH63" s="128">
        <f t="shared" si="112"/>
        <v>14369000</v>
      </c>
      <c r="AI63" s="128">
        <f t="shared" si="112"/>
        <v>562</v>
      </c>
      <c r="AJ63" s="128">
        <f t="shared" si="112"/>
        <v>13277000</v>
      </c>
      <c r="AK63" s="128">
        <f t="shared" si="112"/>
        <v>185</v>
      </c>
      <c r="AL63" s="128">
        <f t="shared" si="112"/>
        <v>13389000</v>
      </c>
      <c r="AM63" s="128">
        <f t="shared" ref="AM63:BR63" si="113">SUM(AM44:AM62)</f>
        <v>157</v>
      </c>
      <c r="AN63" s="128">
        <f t="shared" si="113"/>
        <v>11733000</v>
      </c>
      <c r="AO63" s="128">
        <f t="shared" si="113"/>
        <v>190</v>
      </c>
      <c r="AP63" s="128">
        <f t="shared" si="113"/>
        <v>16448000</v>
      </c>
      <c r="AQ63" s="128">
        <f t="shared" si="113"/>
        <v>86</v>
      </c>
      <c r="AR63" s="128">
        <f t="shared" si="113"/>
        <v>6354000</v>
      </c>
      <c r="AS63" s="128">
        <f t="shared" si="113"/>
        <v>255</v>
      </c>
      <c r="AT63" s="128">
        <f t="shared" si="113"/>
        <v>18831000</v>
      </c>
      <c r="AU63" s="128">
        <f t="shared" si="113"/>
        <v>168</v>
      </c>
      <c r="AV63" s="128">
        <f t="shared" si="113"/>
        <v>12873000</v>
      </c>
      <c r="AW63" s="128">
        <f t="shared" si="113"/>
        <v>265</v>
      </c>
      <c r="AX63" s="128">
        <f t="shared" si="113"/>
        <v>10491000</v>
      </c>
      <c r="AY63" s="128">
        <f t="shared" si="113"/>
        <v>211</v>
      </c>
      <c r="AZ63" s="128">
        <f t="shared" si="113"/>
        <v>22703500</v>
      </c>
      <c r="BA63" s="128">
        <f t="shared" si="113"/>
        <v>307</v>
      </c>
      <c r="BB63" s="128">
        <f t="shared" si="113"/>
        <v>15063500</v>
      </c>
      <c r="BC63" s="128">
        <f t="shared" si="113"/>
        <v>333</v>
      </c>
      <c r="BD63" s="128">
        <f t="shared" si="113"/>
        <v>12672000</v>
      </c>
      <c r="BE63" s="128">
        <f t="shared" si="113"/>
        <v>332</v>
      </c>
      <c r="BF63" s="128">
        <f t="shared" si="113"/>
        <v>25661500</v>
      </c>
      <c r="BG63" s="128">
        <f t="shared" si="113"/>
        <v>267</v>
      </c>
      <c r="BH63" s="128">
        <f t="shared" si="113"/>
        <v>9695000</v>
      </c>
      <c r="BI63" s="128">
        <f t="shared" si="113"/>
        <v>0</v>
      </c>
      <c r="BJ63" s="128">
        <f t="shared" si="113"/>
        <v>0</v>
      </c>
      <c r="BK63" s="128">
        <f t="shared" si="113"/>
        <v>4958</v>
      </c>
      <c r="BL63" s="128">
        <f t="shared" si="113"/>
        <v>246658000</v>
      </c>
      <c r="BM63" s="128">
        <f t="shared" si="113"/>
        <v>0</v>
      </c>
      <c r="BN63" s="128">
        <f t="shared" si="113"/>
        <v>0</v>
      </c>
      <c r="BO63" s="128">
        <f t="shared" si="113"/>
        <v>237408000</v>
      </c>
      <c r="BP63" s="128">
        <f t="shared" si="113"/>
        <v>0</v>
      </c>
      <c r="BQ63" s="128">
        <f t="shared" si="113"/>
        <v>9250000</v>
      </c>
      <c r="BR63" s="128">
        <f t="shared" si="113"/>
        <v>0</v>
      </c>
      <c r="BS63" s="128">
        <f>SUM(BS44:BS62)</f>
        <v>246658000</v>
      </c>
      <c r="BT63" s="128">
        <f>SUM(BT44:BT62)</f>
        <v>0</v>
      </c>
      <c r="BU63" s="128">
        <f>SUM(BU44:BU62)</f>
        <v>0</v>
      </c>
      <c r="BV63" s="128">
        <f>SUM(BV44:BV62)</f>
        <v>0</v>
      </c>
      <c r="BW63" s="128">
        <f>SUM(BW44:BW62)</f>
        <v>246658000</v>
      </c>
    </row>
    <row r="64" spans="1:75">
      <c r="A64" s="596"/>
      <c r="B64" s="109"/>
      <c r="C64" s="30">
        <v>21330</v>
      </c>
      <c r="D64" s="106" t="s">
        <v>408</v>
      </c>
      <c r="E64" s="30"/>
      <c r="F64" s="116"/>
      <c r="G64" s="111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2"/>
      <c r="T64" s="112"/>
      <c r="U64" s="112"/>
      <c r="V64" s="112"/>
      <c r="W64" s="43"/>
      <c r="X64" s="43"/>
      <c r="Y64" s="43"/>
      <c r="Z64" s="43"/>
      <c r="AA64" s="112"/>
      <c r="AB64" s="224">
        <f t="shared" ref="AB64:AB82" si="114">AA64*F64</f>
        <v>0</v>
      </c>
      <c r="AC64" s="112"/>
      <c r="AD64" s="224">
        <f t="shared" ref="AD64:AD82" si="115">AC64*F64</f>
        <v>0</v>
      </c>
      <c r="AE64" s="112"/>
      <c r="AF64" s="224">
        <f t="shared" ref="AF64:AF82" si="116">AE64*F64</f>
        <v>0</v>
      </c>
      <c r="AG64" s="112"/>
      <c r="AH64" s="224">
        <f t="shared" ref="AH64:AH82" si="117">AG64*F64</f>
        <v>0</v>
      </c>
      <c r="AI64" s="112"/>
      <c r="AJ64" s="224">
        <f t="shared" ref="AJ64:AJ82" si="118">AI64*F64</f>
        <v>0</v>
      </c>
      <c r="AK64" s="112"/>
      <c r="AL64" s="224">
        <f t="shared" ref="AL64:AL82" si="119">AK64*F64</f>
        <v>0</v>
      </c>
      <c r="AM64" s="112"/>
      <c r="AN64" s="224">
        <f t="shared" ref="AN64:AN82" si="120">AM64*F64</f>
        <v>0</v>
      </c>
      <c r="AO64" s="112"/>
      <c r="AP64" s="224">
        <f t="shared" ref="AP64:AP82" si="121">AO64*F64</f>
        <v>0</v>
      </c>
      <c r="AQ64" s="112"/>
      <c r="AR64" s="224">
        <f t="shared" ref="AR64:AR82" si="122">AQ64*F64</f>
        <v>0</v>
      </c>
      <c r="AS64" s="112"/>
      <c r="AT64" s="224">
        <f t="shared" ref="AT64:AT82" si="123">AS64*F64</f>
        <v>0</v>
      </c>
      <c r="AU64" s="112"/>
      <c r="AV64" s="224">
        <f t="shared" ref="AV64:AV82" si="124">AU64*F64</f>
        <v>0</v>
      </c>
      <c r="AW64" s="112"/>
      <c r="AX64" s="224">
        <f t="shared" ref="AX64:AX82" si="125">AW64*F64</f>
        <v>0</v>
      </c>
      <c r="AY64" s="43"/>
      <c r="AZ64" s="224">
        <f t="shared" ref="AZ64:AZ82" si="126">AY64*F64</f>
        <v>0</v>
      </c>
      <c r="BA64" s="112">
        <v>10</v>
      </c>
      <c r="BB64" s="224">
        <f t="shared" ref="BB64:BB82" si="127">BA64*F64</f>
        <v>0</v>
      </c>
      <c r="BC64" s="112"/>
      <c r="BD64" s="224">
        <f t="shared" ref="BD64:BD82" si="128">BC64*F64</f>
        <v>0</v>
      </c>
      <c r="BE64" s="142"/>
      <c r="BF64" s="224">
        <f t="shared" ref="BF64:BF82" si="129">BE64*F64</f>
        <v>0</v>
      </c>
      <c r="BG64" s="112"/>
      <c r="BH64" s="224">
        <f t="shared" ref="BH64:BH82" si="130">BG64*F64</f>
        <v>0</v>
      </c>
      <c r="BI64" s="112"/>
      <c r="BJ64" s="224">
        <f t="shared" ref="BJ64:BJ82" si="131">BI64*F64</f>
        <v>0</v>
      </c>
      <c r="BK64" s="142">
        <f t="shared" ref="BK64:BK82" si="132">BI64+BG64+BE64+BC64+BA64+AY64+AW64+AU64+AS64+AQ64+AO64+AM64+AK64+AI64+AG64+AE64+AC64+AA64</f>
        <v>10</v>
      </c>
      <c r="BL64" s="142"/>
      <c r="BM64" s="159"/>
      <c r="BN64" s="273"/>
      <c r="BO64" s="117"/>
      <c r="BP64" s="70"/>
      <c r="BQ64" s="70"/>
      <c r="BR64" s="70"/>
      <c r="BS64" s="70"/>
      <c r="BT64" s="70"/>
      <c r="BU64" s="70"/>
      <c r="BV64" s="70"/>
      <c r="BW64" s="107"/>
    </row>
    <row r="65" spans="1:75">
      <c r="A65" s="596"/>
      <c r="B65" s="109"/>
      <c r="C65" s="30"/>
      <c r="D65" s="93" t="s">
        <v>329</v>
      </c>
      <c r="E65" s="30" t="s">
        <v>76</v>
      </c>
      <c r="F65" s="116">
        <v>278600</v>
      </c>
      <c r="G65" s="111">
        <f t="shared" ref="G65:G82" si="133">BK65</f>
        <v>170</v>
      </c>
      <c r="H65" s="117">
        <f t="shared" ref="H65:H82" si="134">G65*F65</f>
        <v>47362000</v>
      </c>
      <c r="I65" s="117"/>
      <c r="J65" s="117"/>
      <c r="K65" s="117"/>
      <c r="L65" s="117"/>
      <c r="M65" s="117"/>
      <c r="N65" s="117">
        <f t="shared" ref="N65:N70" si="135">H65</f>
        <v>47362000</v>
      </c>
      <c r="O65" s="117"/>
      <c r="P65" s="117"/>
      <c r="Q65" s="117"/>
      <c r="R65" s="117"/>
      <c r="S65" s="113">
        <f t="shared" ref="S65:S73" si="136">G65*0.35</f>
        <v>59.499999999999993</v>
      </c>
      <c r="T65" s="113">
        <f t="shared" ref="T65:T73" si="137">G65*0.65</f>
        <v>110.5</v>
      </c>
      <c r="U65" s="113"/>
      <c r="V65" s="113"/>
      <c r="W65" s="110">
        <f t="shared" ref="W65:W79" si="138">S65*F65</f>
        <v>16576699.999999998</v>
      </c>
      <c r="X65" s="110">
        <f t="shared" ref="X65:X79" si="139">T65*F65</f>
        <v>30785300</v>
      </c>
      <c r="Y65" s="110">
        <f t="shared" ref="Y65:Y79" si="140">U65*F65</f>
        <v>0</v>
      </c>
      <c r="Z65" s="110">
        <f t="shared" ref="Z65:Z79" si="141">V65*F65</f>
        <v>0</v>
      </c>
      <c r="AA65" s="112">
        <v>5</v>
      </c>
      <c r="AB65" s="224">
        <f t="shared" si="114"/>
        <v>1393000</v>
      </c>
      <c r="AC65" s="112">
        <v>0</v>
      </c>
      <c r="AD65" s="224">
        <f t="shared" si="115"/>
        <v>0</v>
      </c>
      <c r="AE65" s="112">
        <v>20</v>
      </c>
      <c r="AF65" s="224">
        <f t="shared" si="116"/>
        <v>5572000</v>
      </c>
      <c r="AG65" s="112">
        <v>38</v>
      </c>
      <c r="AH65" s="224">
        <f t="shared" si="117"/>
        <v>10586800</v>
      </c>
      <c r="AI65" s="112">
        <v>10</v>
      </c>
      <c r="AJ65" s="224">
        <f t="shared" si="118"/>
        <v>2786000</v>
      </c>
      <c r="AK65" s="112">
        <v>10</v>
      </c>
      <c r="AL65" s="224">
        <f t="shared" si="119"/>
        <v>2786000</v>
      </c>
      <c r="AM65" s="112">
        <v>8</v>
      </c>
      <c r="AN65" s="224">
        <f t="shared" si="120"/>
        <v>2228800</v>
      </c>
      <c r="AO65" s="112">
        <v>5</v>
      </c>
      <c r="AP65" s="224">
        <f t="shared" si="121"/>
        <v>1393000</v>
      </c>
      <c r="AQ65" s="112">
        <v>0</v>
      </c>
      <c r="AR65" s="224">
        <f t="shared" si="122"/>
        <v>0</v>
      </c>
      <c r="AS65" s="112">
        <v>10</v>
      </c>
      <c r="AT65" s="224">
        <f t="shared" si="123"/>
        <v>2786000</v>
      </c>
      <c r="AU65" s="112">
        <v>0</v>
      </c>
      <c r="AV65" s="224">
        <f t="shared" si="124"/>
        <v>0</v>
      </c>
      <c r="AW65" s="112">
        <v>10</v>
      </c>
      <c r="AX65" s="224">
        <f t="shared" si="125"/>
        <v>2786000</v>
      </c>
      <c r="AY65" s="43">
        <v>0</v>
      </c>
      <c r="AZ65" s="224">
        <f t="shared" si="126"/>
        <v>0</v>
      </c>
      <c r="BA65" s="112">
        <v>10</v>
      </c>
      <c r="BB65" s="224">
        <f t="shared" si="127"/>
        <v>2786000</v>
      </c>
      <c r="BC65" s="112">
        <v>10</v>
      </c>
      <c r="BD65" s="224">
        <f t="shared" si="128"/>
        <v>2786000</v>
      </c>
      <c r="BE65" s="142">
        <v>4</v>
      </c>
      <c r="BF65" s="224">
        <f t="shared" si="129"/>
        <v>1114400</v>
      </c>
      <c r="BG65" s="112">
        <v>30</v>
      </c>
      <c r="BH65" s="224">
        <f t="shared" si="130"/>
        <v>8358000</v>
      </c>
      <c r="BI65" s="112"/>
      <c r="BJ65" s="224">
        <f t="shared" si="131"/>
        <v>0</v>
      </c>
      <c r="BK65" s="142">
        <f t="shared" si="132"/>
        <v>170</v>
      </c>
      <c r="BL65" s="142">
        <f t="shared" ref="BL65:BL82" si="142">BJ65+BH65+BF65+BD65+BB65+AZ65+AX65+AV65+AT65+AR65+AP65+AN65+AL65+AJ65+AH65+AF65+AD65+AB65</f>
        <v>47362000</v>
      </c>
      <c r="BM65" s="158" t="s">
        <v>418</v>
      </c>
      <c r="BN65" s="273"/>
      <c r="BO65" s="117"/>
      <c r="BP65" s="70"/>
      <c r="BQ65" s="117">
        <f t="shared" ref="BQ65:BQ70" si="143">H65</f>
        <v>47362000</v>
      </c>
      <c r="BR65" s="70"/>
      <c r="BS65" s="70">
        <f>BO65+BP65+BQ65+BR65</f>
        <v>47362000</v>
      </c>
      <c r="BT65" s="70"/>
      <c r="BU65" s="70"/>
      <c r="BV65" s="70"/>
      <c r="BW65" s="107">
        <f>BS65+BV65</f>
        <v>47362000</v>
      </c>
    </row>
    <row r="66" spans="1:75" ht="21.75" customHeight="1">
      <c r="A66" s="596"/>
      <c r="B66" s="109"/>
      <c r="C66" s="30"/>
      <c r="D66" s="93" t="s">
        <v>692</v>
      </c>
      <c r="E66" s="30" t="s">
        <v>76</v>
      </c>
      <c r="F66" s="116">
        <v>109000</v>
      </c>
      <c r="G66" s="111">
        <f t="shared" si="133"/>
        <v>26</v>
      </c>
      <c r="H66" s="117">
        <f t="shared" si="134"/>
        <v>2834000</v>
      </c>
      <c r="I66" s="117"/>
      <c r="J66" s="117"/>
      <c r="K66" s="117"/>
      <c r="L66" s="117"/>
      <c r="M66" s="117"/>
      <c r="N66" s="117">
        <f t="shared" si="135"/>
        <v>2834000</v>
      </c>
      <c r="O66" s="117"/>
      <c r="P66" s="117"/>
      <c r="Q66" s="117"/>
      <c r="R66" s="117"/>
      <c r="S66" s="113">
        <f t="shared" si="136"/>
        <v>9.1</v>
      </c>
      <c r="T66" s="113">
        <f t="shared" si="137"/>
        <v>16.900000000000002</v>
      </c>
      <c r="U66" s="113"/>
      <c r="V66" s="113"/>
      <c r="W66" s="110">
        <f t="shared" si="138"/>
        <v>991900</v>
      </c>
      <c r="X66" s="110">
        <f t="shared" si="139"/>
        <v>1842100.0000000002</v>
      </c>
      <c r="Y66" s="110">
        <f t="shared" si="140"/>
        <v>0</v>
      </c>
      <c r="Z66" s="110">
        <f t="shared" si="141"/>
        <v>0</v>
      </c>
      <c r="AA66" s="112"/>
      <c r="AB66" s="224">
        <f t="shared" si="114"/>
        <v>0</v>
      </c>
      <c r="AC66" s="112"/>
      <c r="AD66" s="224">
        <f t="shared" si="115"/>
        <v>0</v>
      </c>
      <c r="AE66" s="112"/>
      <c r="AF66" s="224">
        <f t="shared" si="116"/>
        <v>0</v>
      </c>
      <c r="AG66" s="112"/>
      <c r="AH66" s="224">
        <f t="shared" si="117"/>
        <v>0</v>
      </c>
      <c r="AI66" s="112"/>
      <c r="AJ66" s="224">
        <f t="shared" si="118"/>
        <v>0</v>
      </c>
      <c r="AK66" s="112"/>
      <c r="AL66" s="224">
        <f t="shared" si="119"/>
        <v>0</v>
      </c>
      <c r="AM66" s="112"/>
      <c r="AN66" s="224">
        <f t="shared" si="120"/>
        <v>0</v>
      </c>
      <c r="AO66" s="112"/>
      <c r="AP66" s="224">
        <f t="shared" si="121"/>
        <v>0</v>
      </c>
      <c r="AQ66" s="112"/>
      <c r="AR66" s="224">
        <f t="shared" si="122"/>
        <v>0</v>
      </c>
      <c r="AS66" s="112"/>
      <c r="AT66" s="224">
        <f t="shared" si="123"/>
        <v>0</v>
      </c>
      <c r="AU66" s="112"/>
      <c r="AV66" s="224">
        <f t="shared" si="124"/>
        <v>0</v>
      </c>
      <c r="AW66" s="112"/>
      <c r="AX66" s="224">
        <f t="shared" si="125"/>
        <v>0</v>
      </c>
      <c r="AY66" s="43"/>
      <c r="AZ66" s="224">
        <f t="shared" si="126"/>
        <v>0</v>
      </c>
      <c r="BA66" s="112"/>
      <c r="BB66" s="224">
        <f t="shared" si="127"/>
        <v>0</v>
      </c>
      <c r="BC66" s="112"/>
      <c r="BD66" s="224">
        <f t="shared" si="128"/>
        <v>0</v>
      </c>
      <c r="BE66" s="142"/>
      <c r="BF66" s="224">
        <f t="shared" si="129"/>
        <v>0</v>
      </c>
      <c r="BG66" s="142">
        <v>26</v>
      </c>
      <c r="BH66" s="224">
        <f t="shared" si="130"/>
        <v>2834000</v>
      </c>
      <c r="BI66" s="112"/>
      <c r="BJ66" s="224">
        <f t="shared" si="131"/>
        <v>0</v>
      </c>
      <c r="BK66" s="142">
        <f t="shared" si="132"/>
        <v>26</v>
      </c>
      <c r="BL66" s="142">
        <f t="shared" si="142"/>
        <v>2834000</v>
      </c>
      <c r="BM66" s="158" t="s">
        <v>418</v>
      </c>
      <c r="BN66" s="273"/>
      <c r="BO66" s="117"/>
      <c r="BP66" s="70"/>
      <c r="BQ66" s="117">
        <f t="shared" si="143"/>
        <v>2834000</v>
      </c>
      <c r="BR66" s="70"/>
      <c r="BS66" s="70">
        <f t="shared" ref="BS66:BS72" si="144">BO66+BP66+BQ66+BR66</f>
        <v>2834000</v>
      </c>
      <c r="BT66" s="70"/>
      <c r="BU66" s="70"/>
      <c r="BV66" s="70"/>
      <c r="BW66" s="107">
        <f t="shared" ref="BW66:BW71" si="145">BS66+BV66</f>
        <v>2834000</v>
      </c>
    </row>
    <row r="67" spans="1:75" ht="31.5">
      <c r="A67" s="596"/>
      <c r="B67" s="109"/>
      <c r="C67" s="30"/>
      <c r="D67" s="93" t="s">
        <v>693</v>
      </c>
      <c r="E67" s="30" t="s">
        <v>76</v>
      </c>
      <c r="F67" s="116">
        <v>90000</v>
      </c>
      <c r="G67" s="111">
        <f t="shared" si="133"/>
        <v>14</v>
      </c>
      <c r="H67" s="117">
        <f t="shared" si="134"/>
        <v>1260000</v>
      </c>
      <c r="I67" s="117"/>
      <c r="J67" s="117"/>
      <c r="K67" s="117"/>
      <c r="L67" s="117"/>
      <c r="M67" s="117"/>
      <c r="N67" s="117">
        <f t="shared" si="135"/>
        <v>1260000</v>
      </c>
      <c r="O67" s="117"/>
      <c r="P67" s="117"/>
      <c r="Q67" s="117"/>
      <c r="R67" s="117"/>
      <c r="S67" s="113">
        <f t="shared" si="136"/>
        <v>4.8999999999999995</v>
      </c>
      <c r="T67" s="113">
        <f t="shared" si="137"/>
        <v>9.1</v>
      </c>
      <c r="U67" s="113"/>
      <c r="V67" s="113"/>
      <c r="W67" s="110">
        <f t="shared" si="138"/>
        <v>440999.99999999994</v>
      </c>
      <c r="X67" s="110">
        <f t="shared" si="139"/>
        <v>819000</v>
      </c>
      <c r="Y67" s="110">
        <f t="shared" si="140"/>
        <v>0</v>
      </c>
      <c r="Z67" s="110">
        <f t="shared" si="141"/>
        <v>0</v>
      </c>
      <c r="AA67" s="112"/>
      <c r="AB67" s="224">
        <f t="shared" si="114"/>
        <v>0</v>
      </c>
      <c r="AC67" s="112"/>
      <c r="AD67" s="224">
        <f t="shared" si="115"/>
        <v>0</v>
      </c>
      <c r="AE67" s="112"/>
      <c r="AF67" s="224">
        <f t="shared" si="116"/>
        <v>0</v>
      </c>
      <c r="AG67" s="112"/>
      <c r="AH67" s="224">
        <f t="shared" si="117"/>
        <v>0</v>
      </c>
      <c r="AI67" s="112"/>
      <c r="AJ67" s="224">
        <f t="shared" si="118"/>
        <v>0</v>
      </c>
      <c r="AK67" s="112"/>
      <c r="AL67" s="224">
        <f t="shared" si="119"/>
        <v>0</v>
      </c>
      <c r="AM67" s="112"/>
      <c r="AN67" s="224">
        <f t="shared" si="120"/>
        <v>0</v>
      </c>
      <c r="AO67" s="112"/>
      <c r="AP67" s="224">
        <f t="shared" si="121"/>
        <v>0</v>
      </c>
      <c r="AQ67" s="112"/>
      <c r="AR67" s="224">
        <f t="shared" si="122"/>
        <v>0</v>
      </c>
      <c r="AS67" s="112"/>
      <c r="AT67" s="224">
        <f t="shared" si="123"/>
        <v>0</v>
      </c>
      <c r="AU67" s="112"/>
      <c r="AV67" s="224">
        <f t="shared" si="124"/>
        <v>0</v>
      </c>
      <c r="AW67" s="112"/>
      <c r="AX67" s="224">
        <f t="shared" si="125"/>
        <v>0</v>
      </c>
      <c r="AY67" s="43"/>
      <c r="AZ67" s="224">
        <f t="shared" si="126"/>
        <v>0</v>
      </c>
      <c r="BA67" s="112"/>
      <c r="BB67" s="224">
        <f t="shared" si="127"/>
        <v>0</v>
      </c>
      <c r="BC67" s="112"/>
      <c r="BD67" s="224">
        <f t="shared" si="128"/>
        <v>0</v>
      </c>
      <c r="BE67" s="142"/>
      <c r="BF67" s="224">
        <f t="shared" si="129"/>
        <v>0</v>
      </c>
      <c r="BG67" s="142">
        <v>14</v>
      </c>
      <c r="BH67" s="224">
        <f t="shared" si="130"/>
        <v>1260000</v>
      </c>
      <c r="BI67" s="112"/>
      <c r="BJ67" s="224">
        <f t="shared" si="131"/>
        <v>0</v>
      </c>
      <c r="BK67" s="142">
        <f t="shared" si="132"/>
        <v>14</v>
      </c>
      <c r="BL67" s="142">
        <f t="shared" si="142"/>
        <v>1260000</v>
      </c>
      <c r="BM67" s="158" t="s">
        <v>418</v>
      </c>
      <c r="BN67" s="273"/>
      <c r="BO67" s="117"/>
      <c r="BP67" s="70"/>
      <c r="BQ67" s="117">
        <f t="shared" si="143"/>
        <v>1260000</v>
      </c>
      <c r="BR67" s="70"/>
      <c r="BS67" s="70">
        <f t="shared" si="144"/>
        <v>1260000</v>
      </c>
      <c r="BT67" s="70"/>
      <c r="BU67" s="70"/>
      <c r="BV67" s="70"/>
      <c r="BW67" s="107">
        <f t="shared" si="145"/>
        <v>1260000</v>
      </c>
    </row>
    <row r="68" spans="1:75" ht="18.2" customHeight="1">
      <c r="A68" s="596"/>
      <c r="B68" s="109"/>
      <c r="C68" s="30"/>
      <c r="D68" s="93" t="s">
        <v>389</v>
      </c>
      <c r="E68" s="30" t="s">
        <v>76</v>
      </c>
      <c r="F68" s="116">
        <v>187300</v>
      </c>
      <c r="G68" s="111">
        <f t="shared" si="133"/>
        <v>174</v>
      </c>
      <c r="H68" s="117">
        <f t="shared" si="134"/>
        <v>32590200</v>
      </c>
      <c r="I68" s="117"/>
      <c r="J68" s="117"/>
      <c r="K68" s="117"/>
      <c r="L68" s="117"/>
      <c r="M68" s="117"/>
      <c r="N68" s="117">
        <f t="shared" si="135"/>
        <v>32590200</v>
      </c>
      <c r="O68" s="117"/>
      <c r="P68" s="117"/>
      <c r="Q68" s="117"/>
      <c r="R68" s="117"/>
      <c r="S68" s="113">
        <f t="shared" si="136"/>
        <v>60.9</v>
      </c>
      <c r="T68" s="113">
        <f t="shared" si="137"/>
        <v>113.10000000000001</v>
      </c>
      <c r="U68" s="113"/>
      <c r="V68" s="113"/>
      <c r="W68" s="110">
        <f t="shared" si="138"/>
        <v>11406570</v>
      </c>
      <c r="X68" s="110">
        <f t="shared" si="139"/>
        <v>21183630</v>
      </c>
      <c r="Y68" s="110">
        <f t="shared" si="140"/>
        <v>0</v>
      </c>
      <c r="Z68" s="110">
        <f t="shared" si="141"/>
        <v>0</v>
      </c>
      <c r="AA68" s="112">
        <v>20</v>
      </c>
      <c r="AB68" s="224">
        <f t="shared" si="114"/>
        <v>3746000</v>
      </c>
      <c r="AC68" s="112">
        <v>10</v>
      </c>
      <c r="AD68" s="224">
        <f t="shared" si="115"/>
        <v>1873000</v>
      </c>
      <c r="AE68" s="112">
        <v>20</v>
      </c>
      <c r="AF68" s="224">
        <f t="shared" si="116"/>
        <v>3746000</v>
      </c>
      <c r="AG68" s="112">
        <v>19</v>
      </c>
      <c r="AH68" s="224">
        <f t="shared" si="117"/>
        <v>3558700</v>
      </c>
      <c r="AI68" s="112"/>
      <c r="AJ68" s="224">
        <f t="shared" si="118"/>
        <v>0</v>
      </c>
      <c r="AK68" s="112">
        <v>5</v>
      </c>
      <c r="AL68" s="224">
        <f t="shared" si="119"/>
        <v>936500</v>
      </c>
      <c r="AM68" s="112"/>
      <c r="AN68" s="224">
        <f t="shared" si="120"/>
        <v>0</v>
      </c>
      <c r="AO68" s="112">
        <v>5</v>
      </c>
      <c r="AP68" s="224">
        <f t="shared" si="121"/>
        <v>936500</v>
      </c>
      <c r="AQ68" s="112">
        <v>5</v>
      </c>
      <c r="AR68" s="224">
        <f t="shared" si="122"/>
        <v>936500</v>
      </c>
      <c r="AS68" s="112">
        <v>5</v>
      </c>
      <c r="AT68" s="224">
        <f t="shared" si="123"/>
        <v>936500</v>
      </c>
      <c r="AU68" s="112">
        <v>10</v>
      </c>
      <c r="AV68" s="224">
        <f t="shared" si="124"/>
        <v>1873000</v>
      </c>
      <c r="AW68" s="112"/>
      <c r="AX68" s="224">
        <f t="shared" si="125"/>
        <v>0</v>
      </c>
      <c r="AY68" s="43">
        <v>10</v>
      </c>
      <c r="AZ68" s="224">
        <f t="shared" si="126"/>
        <v>1873000</v>
      </c>
      <c r="BA68" s="112">
        <v>10</v>
      </c>
      <c r="BB68" s="224">
        <f t="shared" si="127"/>
        <v>1873000</v>
      </c>
      <c r="BC68" s="112">
        <v>15</v>
      </c>
      <c r="BD68" s="224">
        <f t="shared" si="128"/>
        <v>2809500</v>
      </c>
      <c r="BE68" s="142">
        <v>10</v>
      </c>
      <c r="BF68" s="224">
        <f t="shared" si="129"/>
        <v>1873000</v>
      </c>
      <c r="BG68" s="112">
        <v>30</v>
      </c>
      <c r="BH68" s="224">
        <f t="shared" si="130"/>
        <v>5619000</v>
      </c>
      <c r="BI68" s="112"/>
      <c r="BJ68" s="224">
        <f t="shared" si="131"/>
        <v>0</v>
      </c>
      <c r="BK68" s="142">
        <f t="shared" si="132"/>
        <v>174</v>
      </c>
      <c r="BL68" s="142">
        <f t="shared" si="142"/>
        <v>32590200</v>
      </c>
      <c r="BM68" s="158" t="s">
        <v>418</v>
      </c>
      <c r="BN68" s="273"/>
      <c r="BO68" s="117"/>
      <c r="BP68" s="70"/>
      <c r="BQ68" s="117">
        <f t="shared" si="143"/>
        <v>32590200</v>
      </c>
      <c r="BR68" s="70"/>
      <c r="BS68" s="70">
        <f t="shared" si="144"/>
        <v>32590200</v>
      </c>
      <c r="BT68" s="70"/>
      <c r="BU68" s="70"/>
      <c r="BV68" s="70"/>
      <c r="BW68" s="107">
        <f t="shared" si="145"/>
        <v>32590200</v>
      </c>
    </row>
    <row r="69" spans="1:75" ht="31.5" customHeight="1">
      <c r="A69" s="596"/>
      <c r="B69" s="109"/>
      <c r="C69" s="30"/>
      <c r="D69" s="93" t="s">
        <v>694</v>
      </c>
      <c r="E69" s="30"/>
      <c r="F69" s="116">
        <v>73200</v>
      </c>
      <c r="G69" s="111">
        <f t="shared" si="133"/>
        <v>24</v>
      </c>
      <c r="H69" s="117">
        <f t="shared" si="134"/>
        <v>1756800</v>
      </c>
      <c r="I69" s="117"/>
      <c r="J69" s="117"/>
      <c r="K69" s="117"/>
      <c r="L69" s="117"/>
      <c r="M69" s="117"/>
      <c r="N69" s="117">
        <f t="shared" si="135"/>
        <v>1756800</v>
      </c>
      <c r="O69" s="117"/>
      <c r="P69" s="117"/>
      <c r="Q69" s="117"/>
      <c r="R69" s="117"/>
      <c r="S69" s="113">
        <f t="shared" si="136"/>
        <v>8.3999999999999986</v>
      </c>
      <c r="T69" s="113">
        <f t="shared" si="137"/>
        <v>15.600000000000001</v>
      </c>
      <c r="U69" s="113"/>
      <c r="V69" s="113"/>
      <c r="W69" s="110">
        <f t="shared" si="138"/>
        <v>614879.99999999988</v>
      </c>
      <c r="X69" s="110">
        <f t="shared" si="139"/>
        <v>1141920</v>
      </c>
      <c r="Y69" s="110">
        <f t="shared" si="140"/>
        <v>0</v>
      </c>
      <c r="Z69" s="110">
        <f t="shared" si="141"/>
        <v>0</v>
      </c>
      <c r="AA69" s="112"/>
      <c r="AB69" s="224">
        <f t="shared" si="114"/>
        <v>0</v>
      </c>
      <c r="AC69" s="112"/>
      <c r="AD69" s="224">
        <f t="shared" si="115"/>
        <v>0</v>
      </c>
      <c r="AE69" s="112"/>
      <c r="AF69" s="224">
        <f t="shared" si="116"/>
        <v>0</v>
      </c>
      <c r="AG69" s="112"/>
      <c r="AH69" s="224">
        <f t="shared" si="117"/>
        <v>0</v>
      </c>
      <c r="AI69" s="112"/>
      <c r="AJ69" s="224">
        <f t="shared" si="118"/>
        <v>0</v>
      </c>
      <c r="AK69" s="112"/>
      <c r="AL69" s="224">
        <f t="shared" si="119"/>
        <v>0</v>
      </c>
      <c r="AM69" s="112"/>
      <c r="AN69" s="224">
        <f t="shared" si="120"/>
        <v>0</v>
      </c>
      <c r="AO69" s="112"/>
      <c r="AP69" s="224">
        <f t="shared" si="121"/>
        <v>0</v>
      </c>
      <c r="AQ69" s="112"/>
      <c r="AR69" s="224">
        <f t="shared" si="122"/>
        <v>0</v>
      </c>
      <c r="AS69" s="112"/>
      <c r="AT69" s="224">
        <f t="shared" si="123"/>
        <v>0</v>
      </c>
      <c r="AU69" s="112">
        <v>10</v>
      </c>
      <c r="AV69" s="224">
        <f t="shared" si="124"/>
        <v>732000</v>
      </c>
      <c r="AW69" s="112"/>
      <c r="AX69" s="224">
        <f t="shared" si="125"/>
        <v>0</v>
      </c>
      <c r="AY69" s="43">
        <v>5</v>
      </c>
      <c r="AZ69" s="224">
        <f t="shared" si="126"/>
        <v>366000</v>
      </c>
      <c r="BA69" s="112"/>
      <c r="BB69" s="224">
        <f t="shared" si="127"/>
        <v>0</v>
      </c>
      <c r="BC69" s="112"/>
      <c r="BD69" s="224">
        <f t="shared" si="128"/>
        <v>0</v>
      </c>
      <c r="BE69" s="142"/>
      <c r="BF69" s="224">
        <f t="shared" si="129"/>
        <v>0</v>
      </c>
      <c r="BG69" s="112">
        <v>9</v>
      </c>
      <c r="BH69" s="224">
        <f t="shared" si="130"/>
        <v>658800</v>
      </c>
      <c r="BI69" s="112"/>
      <c r="BJ69" s="224">
        <f t="shared" si="131"/>
        <v>0</v>
      </c>
      <c r="BK69" s="142">
        <f t="shared" si="132"/>
        <v>24</v>
      </c>
      <c r="BL69" s="142">
        <f t="shared" si="142"/>
        <v>1756800</v>
      </c>
      <c r="BM69" s="158" t="s">
        <v>418</v>
      </c>
      <c r="BN69" s="273"/>
      <c r="BO69" s="117"/>
      <c r="BP69" s="70"/>
      <c r="BQ69" s="117">
        <f t="shared" si="143"/>
        <v>1756800</v>
      </c>
      <c r="BR69" s="70"/>
      <c r="BS69" s="70">
        <f t="shared" si="144"/>
        <v>1756800</v>
      </c>
      <c r="BT69" s="70"/>
      <c r="BU69" s="70"/>
      <c r="BV69" s="70"/>
      <c r="BW69" s="107">
        <f t="shared" si="145"/>
        <v>1756800</v>
      </c>
    </row>
    <row r="70" spans="1:75" ht="31.5" customHeight="1">
      <c r="A70" s="596"/>
      <c r="B70" s="109"/>
      <c r="C70" s="30"/>
      <c r="D70" s="93" t="s">
        <v>695</v>
      </c>
      <c r="E70" s="30"/>
      <c r="F70" s="116">
        <v>50000</v>
      </c>
      <c r="G70" s="111">
        <f t="shared" si="133"/>
        <v>20</v>
      </c>
      <c r="H70" s="117">
        <f t="shared" si="134"/>
        <v>1000000</v>
      </c>
      <c r="I70" s="117"/>
      <c r="J70" s="117"/>
      <c r="K70" s="117"/>
      <c r="L70" s="117"/>
      <c r="M70" s="117"/>
      <c r="N70" s="117">
        <f t="shared" si="135"/>
        <v>1000000</v>
      </c>
      <c r="O70" s="117"/>
      <c r="P70" s="117"/>
      <c r="Q70" s="117"/>
      <c r="R70" s="117"/>
      <c r="S70" s="113">
        <f t="shared" si="136"/>
        <v>7</v>
      </c>
      <c r="T70" s="113">
        <f t="shared" si="137"/>
        <v>13</v>
      </c>
      <c r="U70" s="113"/>
      <c r="V70" s="113"/>
      <c r="W70" s="110">
        <f t="shared" si="138"/>
        <v>350000</v>
      </c>
      <c r="X70" s="110">
        <f t="shared" si="139"/>
        <v>650000</v>
      </c>
      <c r="Y70" s="110">
        <f t="shared" si="140"/>
        <v>0</v>
      </c>
      <c r="Z70" s="110">
        <f t="shared" si="141"/>
        <v>0</v>
      </c>
      <c r="AA70" s="112"/>
      <c r="AB70" s="224">
        <f t="shared" si="114"/>
        <v>0</v>
      </c>
      <c r="AC70" s="112"/>
      <c r="AD70" s="224">
        <f t="shared" si="115"/>
        <v>0</v>
      </c>
      <c r="AE70" s="112"/>
      <c r="AF70" s="224">
        <f t="shared" si="116"/>
        <v>0</v>
      </c>
      <c r="AG70" s="112"/>
      <c r="AH70" s="224">
        <f t="shared" si="117"/>
        <v>0</v>
      </c>
      <c r="AI70" s="112"/>
      <c r="AJ70" s="224">
        <f t="shared" si="118"/>
        <v>0</v>
      </c>
      <c r="AK70" s="112"/>
      <c r="AL70" s="224">
        <f t="shared" si="119"/>
        <v>0</v>
      </c>
      <c r="AM70" s="112"/>
      <c r="AN70" s="224">
        <f t="shared" si="120"/>
        <v>0</v>
      </c>
      <c r="AO70" s="112"/>
      <c r="AP70" s="224">
        <f t="shared" si="121"/>
        <v>0</v>
      </c>
      <c r="AQ70" s="112"/>
      <c r="AR70" s="224">
        <f t="shared" si="122"/>
        <v>0</v>
      </c>
      <c r="AS70" s="112"/>
      <c r="AT70" s="224">
        <f t="shared" si="123"/>
        <v>0</v>
      </c>
      <c r="AU70" s="112"/>
      <c r="AV70" s="224">
        <f t="shared" si="124"/>
        <v>0</v>
      </c>
      <c r="AW70" s="112"/>
      <c r="AX70" s="224">
        <f t="shared" si="125"/>
        <v>0</v>
      </c>
      <c r="AY70" s="43"/>
      <c r="AZ70" s="224">
        <f t="shared" si="126"/>
        <v>0</v>
      </c>
      <c r="BA70" s="112">
        <v>10</v>
      </c>
      <c r="BB70" s="224">
        <f t="shared" si="127"/>
        <v>500000</v>
      </c>
      <c r="BC70" s="112"/>
      <c r="BD70" s="224">
        <f t="shared" si="128"/>
        <v>0</v>
      </c>
      <c r="BE70" s="142"/>
      <c r="BF70" s="224">
        <f t="shared" si="129"/>
        <v>0</v>
      </c>
      <c r="BG70" s="112">
        <v>10</v>
      </c>
      <c r="BH70" s="224">
        <f t="shared" si="130"/>
        <v>500000</v>
      </c>
      <c r="BI70" s="112"/>
      <c r="BJ70" s="224">
        <f t="shared" si="131"/>
        <v>0</v>
      </c>
      <c r="BK70" s="142">
        <f t="shared" si="132"/>
        <v>20</v>
      </c>
      <c r="BL70" s="142">
        <f t="shared" si="142"/>
        <v>1000000</v>
      </c>
      <c r="BM70" s="158" t="s">
        <v>418</v>
      </c>
      <c r="BN70" s="273"/>
      <c r="BO70" s="117"/>
      <c r="BP70" s="70"/>
      <c r="BQ70" s="117">
        <f t="shared" si="143"/>
        <v>1000000</v>
      </c>
      <c r="BR70" s="70"/>
      <c r="BS70" s="70">
        <f t="shared" si="144"/>
        <v>1000000</v>
      </c>
      <c r="BT70" s="70"/>
      <c r="BU70" s="70"/>
      <c r="BV70" s="70"/>
      <c r="BW70" s="107">
        <f t="shared" si="145"/>
        <v>1000000</v>
      </c>
    </row>
    <row r="71" spans="1:75">
      <c r="A71" s="596"/>
      <c r="B71" s="109"/>
      <c r="C71" s="30"/>
      <c r="D71" s="93" t="s">
        <v>330</v>
      </c>
      <c r="E71" s="30" t="s">
        <v>76</v>
      </c>
      <c r="F71" s="116">
        <v>278000</v>
      </c>
      <c r="G71" s="111">
        <f t="shared" si="133"/>
        <v>90</v>
      </c>
      <c r="H71" s="117">
        <f t="shared" si="134"/>
        <v>25020000</v>
      </c>
      <c r="I71" s="117"/>
      <c r="J71" s="117"/>
      <c r="K71" s="117"/>
      <c r="L71" s="117"/>
      <c r="M71" s="117"/>
      <c r="N71" s="117">
        <f t="shared" ref="N71:N76" si="146">H71</f>
        <v>25020000</v>
      </c>
      <c r="O71" s="117"/>
      <c r="P71" s="117"/>
      <c r="Q71" s="117"/>
      <c r="R71" s="117"/>
      <c r="S71" s="113">
        <f t="shared" si="136"/>
        <v>31.499999999999996</v>
      </c>
      <c r="T71" s="113">
        <f t="shared" si="137"/>
        <v>58.5</v>
      </c>
      <c r="U71" s="113"/>
      <c r="V71" s="113"/>
      <c r="W71" s="110">
        <f t="shared" si="138"/>
        <v>8756999.9999999981</v>
      </c>
      <c r="X71" s="110">
        <f t="shared" si="139"/>
        <v>16263000</v>
      </c>
      <c r="Y71" s="110">
        <f t="shared" si="140"/>
        <v>0</v>
      </c>
      <c r="Z71" s="110">
        <f t="shared" si="141"/>
        <v>0</v>
      </c>
      <c r="AA71" s="112"/>
      <c r="AB71" s="224">
        <f t="shared" si="114"/>
        <v>0</v>
      </c>
      <c r="AC71" s="112"/>
      <c r="AD71" s="224">
        <f t="shared" si="115"/>
        <v>0</v>
      </c>
      <c r="AE71" s="112"/>
      <c r="AF71" s="224">
        <f t="shared" si="116"/>
        <v>0</v>
      </c>
      <c r="AG71" s="112"/>
      <c r="AH71" s="224">
        <f t="shared" si="117"/>
        <v>0</v>
      </c>
      <c r="AI71" s="112"/>
      <c r="AJ71" s="224">
        <f t="shared" si="118"/>
        <v>0</v>
      </c>
      <c r="AK71" s="112">
        <v>10</v>
      </c>
      <c r="AL71" s="224">
        <f t="shared" si="119"/>
        <v>2780000</v>
      </c>
      <c r="AM71" s="112">
        <v>30</v>
      </c>
      <c r="AN71" s="224">
        <f t="shared" si="120"/>
        <v>8340000</v>
      </c>
      <c r="AO71" s="112">
        <v>20</v>
      </c>
      <c r="AP71" s="224">
        <f t="shared" si="121"/>
        <v>5560000</v>
      </c>
      <c r="AQ71" s="112"/>
      <c r="AR71" s="224">
        <f t="shared" si="122"/>
        <v>0</v>
      </c>
      <c r="AS71" s="112">
        <v>0</v>
      </c>
      <c r="AT71" s="224">
        <f t="shared" si="123"/>
        <v>0</v>
      </c>
      <c r="AU71" s="112">
        <v>0</v>
      </c>
      <c r="AV71" s="224">
        <f t="shared" si="124"/>
        <v>0</v>
      </c>
      <c r="AW71" s="112">
        <v>0</v>
      </c>
      <c r="AX71" s="224">
        <f t="shared" si="125"/>
        <v>0</v>
      </c>
      <c r="AY71" s="43"/>
      <c r="AZ71" s="224">
        <f t="shared" si="126"/>
        <v>0</v>
      </c>
      <c r="BA71" s="112"/>
      <c r="BB71" s="224">
        <f t="shared" si="127"/>
        <v>0</v>
      </c>
      <c r="BC71" s="112">
        <v>0</v>
      </c>
      <c r="BD71" s="224">
        <f t="shared" si="128"/>
        <v>0</v>
      </c>
      <c r="BE71" s="112">
        <v>20</v>
      </c>
      <c r="BF71" s="224">
        <f t="shared" si="129"/>
        <v>5560000</v>
      </c>
      <c r="BG71" s="112">
        <v>10</v>
      </c>
      <c r="BH71" s="224">
        <f t="shared" si="130"/>
        <v>2780000</v>
      </c>
      <c r="BI71" s="112"/>
      <c r="BJ71" s="224">
        <f t="shared" si="131"/>
        <v>0</v>
      </c>
      <c r="BK71" s="142">
        <f t="shared" si="132"/>
        <v>90</v>
      </c>
      <c r="BL71" s="142">
        <f t="shared" si="142"/>
        <v>25020000</v>
      </c>
      <c r="BM71" s="158" t="s">
        <v>418</v>
      </c>
      <c r="BN71" s="273"/>
      <c r="BO71" s="117"/>
      <c r="BP71" s="70"/>
      <c r="BQ71" s="117">
        <f t="shared" ref="BQ71:BQ82" si="147">H71</f>
        <v>25020000</v>
      </c>
      <c r="BR71" s="70"/>
      <c r="BS71" s="70">
        <f t="shared" si="144"/>
        <v>25020000</v>
      </c>
      <c r="BT71" s="70"/>
      <c r="BU71" s="70"/>
      <c r="BV71" s="70"/>
      <c r="BW71" s="107">
        <f t="shared" si="145"/>
        <v>25020000</v>
      </c>
    </row>
    <row r="72" spans="1:75">
      <c r="A72" s="596"/>
      <c r="B72" s="109"/>
      <c r="C72" s="30"/>
      <c r="D72" s="93" t="s">
        <v>331</v>
      </c>
      <c r="E72" s="30" t="s">
        <v>76</v>
      </c>
      <c r="F72" s="116">
        <v>80000</v>
      </c>
      <c r="G72" s="111">
        <f t="shared" si="133"/>
        <v>40</v>
      </c>
      <c r="H72" s="117">
        <f t="shared" si="134"/>
        <v>3200000</v>
      </c>
      <c r="I72" s="117"/>
      <c r="J72" s="117"/>
      <c r="K72" s="117"/>
      <c r="L72" s="117"/>
      <c r="M72" s="117"/>
      <c r="N72" s="117">
        <f t="shared" si="146"/>
        <v>3200000</v>
      </c>
      <c r="O72" s="117"/>
      <c r="P72" s="117"/>
      <c r="Q72" s="117"/>
      <c r="R72" s="117"/>
      <c r="S72" s="113">
        <f t="shared" si="136"/>
        <v>14</v>
      </c>
      <c r="T72" s="113">
        <f t="shared" si="137"/>
        <v>26</v>
      </c>
      <c r="U72" s="113"/>
      <c r="V72" s="113"/>
      <c r="W72" s="110">
        <f t="shared" si="138"/>
        <v>1120000</v>
      </c>
      <c r="X72" s="110">
        <f t="shared" si="139"/>
        <v>2080000</v>
      </c>
      <c r="Y72" s="110">
        <f t="shared" si="140"/>
        <v>0</v>
      </c>
      <c r="Z72" s="110">
        <f t="shared" si="141"/>
        <v>0</v>
      </c>
      <c r="AA72" s="112"/>
      <c r="AB72" s="224">
        <f t="shared" si="114"/>
        <v>0</v>
      </c>
      <c r="AC72" s="112"/>
      <c r="AD72" s="224">
        <f t="shared" si="115"/>
        <v>0</v>
      </c>
      <c r="AE72" s="112">
        <v>5</v>
      </c>
      <c r="AF72" s="224">
        <f t="shared" si="116"/>
        <v>400000</v>
      </c>
      <c r="AG72" s="112">
        <v>5</v>
      </c>
      <c r="AH72" s="224">
        <f t="shared" si="117"/>
        <v>400000</v>
      </c>
      <c r="AI72" s="112">
        <v>5</v>
      </c>
      <c r="AJ72" s="224">
        <f t="shared" si="118"/>
        <v>400000</v>
      </c>
      <c r="AK72" s="112">
        <v>5</v>
      </c>
      <c r="AL72" s="224">
        <f t="shared" si="119"/>
        <v>400000</v>
      </c>
      <c r="AM72" s="112">
        <v>5</v>
      </c>
      <c r="AN72" s="224">
        <f t="shared" si="120"/>
        <v>400000</v>
      </c>
      <c r="AO72" s="112"/>
      <c r="AP72" s="224">
        <f t="shared" si="121"/>
        <v>0</v>
      </c>
      <c r="AQ72" s="112">
        <v>0</v>
      </c>
      <c r="AR72" s="224">
        <f t="shared" si="122"/>
        <v>0</v>
      </c>
      <c r="AS72" s="112">
        <v>5</v>
      </c>
      <c r="AT72" s="224">
        <f t="shared" si="123"/>
        <v>400000</v>
      </c>
      <c r="AU72" s="112">
        <v>0</v>
      </c>
      <c r="AV72" s="224">
        <f t="shared" si="124"/>
        <v>0</v>
      </c>
      <c r="AW72" s="112"/>
      <c r="AX72" s="224">
        <f t="shared" si="125"/>
        <v>0</v>
      </c>
      <c r="AY72" s="43"/>
      <c r="AZ72" s="224">
        <f t="shared" si="126"/>
        <v>0</v>
      </c>
      <c r="BA72" s="112">
        <v>5</v>
      </c>
      <c r="BB72" s="224">
        <f t="shared" si="127"/>
        <v>400000</v>
      </c>
      <c r="BC72" s="112">
        <v>5</v>
      </c>
      <c r="BD72" s="224">
        <f t="shared" si="128"/>
        <v>400000</v>
      </c>
      <c r="BE72" s="112"/>
      <c r="BF72" s="224">
        <f t="shared" si="129"/>
        <v>0</v>
      </c>
      <c r="BG72" s="112">
        <v>0</v>
      </c>
      <c r="BH72" s="224">
        <f t="shared" si="130"/>
        <v>0</v>
      </c>
      <c r="BI72" s="112"/>
      <c r="BJ72" s="224">
        <f t="shared" si="131"/>
        <v>0</v>
      </c>
      <c r="BK72" s="142">
        <f t="shared" si="132"/>
        <v>40</v>
      </c>
      <c r="BL72" s="142">
        <f t="shared" si="142"/>
        <v>3200000</v>
      </c>
      <c r="BM72" s="158" t="s">
        <v>418</v>
      </c>
      <c r="BN72" s="273"/>
      <c r="BO72" s="117"/>
      <c r="BP72" s="70"/>
      <c r="BQ72" s="117">
        <f t="shared" si="147"/>
        <v>3200000</v>
      </c>
      <c r="BR72" s="70"/>
      <c r="BS72" s="70">
        <f t="shared" si="144"/>
        <v>3200000</v>
      </c>
      <c r="BT72" s="70"/>
      <c r="BU72" s="70"/>
      <c r="BV72" s="70"/>
      <c r="BW72" s="107">
        <f t="shared" ref="BW72:BW82" si="148">BS72+BV72</f>
        <v>3200000</v>
      </c>
    </row>
    <row r="73" spans="1:75" s="90" customFormat="1">
      <c r="A73" s="596"/>
      <c r="B73" s="121"/>
      <c r="C73" s="93"/>
      <c r="D73" s="93" t="s">
        <v>332</v>
      </c>
      <c r="E73" s="93" t="s">
        <v>76</v>
      </c>
      <c r="F73" s="118">
        <v>203000</v>
      </c>
      <c r="G73" s="221">
        <f t="shared" si="133"/>
        <v>6</v>
      </c>
      <c r="H73" s="123">
        <f t="shared" si="134"/>
        <v>1218000</v>
      </c>
      <c r="I73" s="123"/>
      <c r="J73" s="123"/>
      <c r="K73" s="123"/>
      <c r="L73" s="123"/>
      <c r="M73" s="123"/>
      <c r="N73" s="117">
        <f t="shared" si="146"/>
        <v>1218000</v>
      </c>
      <c r="O73" s="123"/>
      <c r="P73" s="123"/>
      <c r="Q73" s="123"/>
      <c r="R73" s="123"/>
      <c r="S73" s="222">
        <f t="shared" si="136"/>
        <v>2.0999999999999996</v>
      </c>
      <c r="T73" s="222">
        <f t="shared" si="137"/>
        <v>3.9000000000000004</v>
      </c>
      <c r="U73" s="222"/>
      <c r="V73" s="222"/>
      <c r="W73" s="223">
        <f t="shared" si="138"/>
        <v>426299.99999999994</v>
      </c>
      <c r="X73" s="223">
        <f t="shared" si="139"/>
        <v>791700.00000000012</v>
      </c>
      <c r="Y73" s="223">
        <f t="shared" si="140"/>
        <v>0</v>
      </c>
      <c r="Z73" s="223">
        <f t="shared" si="141"/>
        <v>0</v>
      </c>
      <c r="AA73" s="142">
        <v>0</v>
      </c>
      <c r="AB73" s="224">
        <f t="shared" si="114"/>
        <v>0</v>
      </c>
      <c r="AC73" s="142">
        <v>0</v>
      </c>
      <c r="AD73" s="224">
        <f t="shared" si="115"/>
        <v>0</v>
      </c>
      <c r="AE73" s="142">
        <v>0</v>
      </c>
      <c r="AF73" s="224">
        <f t="shared" si="116"/>
        <v>0</v>
      </c>
      <c r="AG73" s="142"/>
      <c r="AH73" s="224">
        <f t="shared" si="117"/>
        <v>0</v>
      </c>
      <c r="AI73" s="142">
        <v>0</v>
      </c>
      <c r="AJ73" s="224">
        <f t="shared" si="118"/>
        <v>0</v>
      </c>
      <c r="AK73" s="142">
        <v>0</v>
      </c>
      <c r="AL73" s="224">
        <f t="shared" si="119"/>
        <v>0</v>
      </c>
      <c r="AM73" s="142"/>
      <c r="AN73" s="224">
        <f t="shared" si="120"/>
        <v>0</v>
      </c>
      <c r="AO73" s="142"/>
      <c r="AP73" s="224">
        <f t="shared" si="121"/>
        <v>0</v>
      </c>
      <c r="AQ73" s="142">
        <v>2</v>
      </c>
      <c r="AR73" s="224">
        <f t="shared" si="122"/>
        <v>406000</v>
      </c>
      <c r="AS73" s="142"/>
      <c r="AT73" s="224">
        <f t="shared" si="123"/>
        <v>0</v>
      </c>
      <c r="AU73" s="142">
        <v>0</v>
      </c>
      <c r="AV73" s="224">
        <f t="shared" si="124"/>
        <v>0</v>
      </c>
      <c r="AW73" s="142">
        <v>2</v>
      </c>
      <c r="AX73" s="224">
        <f t="shared" si="125"/>
        <v>406000</v>
      </c>
      <c r="AY73" s="224">
        <v>0</v>
      </c>
      <c r="AZ73" s="224">
        <f t="shared" si="126"/>
        <v>0</v>
      </c>
      <c r="BA73" s="142">
        <v>0</v>
      </c>
      <c r="BB73" s="224">
        <f t="shared" si="127"/>
        <v>0</v>
      </c>
      <c r="BC73" s="142">
        <v>2</v>
      </c>
      <c r="BD73" s="224">
        <f t="shared" si="128"/>
        <v>406000</v>
      </c>
      <c r="BE73" s="142">
        <v>0</v>
      </c>
      <c r="BF73" s="224">
        <f t="shared" si="129"/>
        <v>0</v>
      </c>
      <c r="BG73" s="142">
        <v>0</v>
      </c>
      <c r="BH73" s="224">
        <f t="shared" si="130"/>
        <v>0</v>
      </c>
      <c r="BI73" s="142"/>
      <c r="BJ73" s="224">
        <f t="shared" si="131"/>
        <v>0</v>
      </c>
      <c r="BK73" s="142">
        <f t="shared" si="132"/>
        <v>6</v>
      </c>
      <c r="BL73" s="142">
        <f t="shared" si="142"/>
        <v>1218000</v>
      </c>
      <c r="BM73" s="227" t="s">
        <v>418</v>
      </c>
      <c r="BN73" s="273"/>
      <c r="BO73" s="123"/>
      <c r="BP73" s="98"/>
      <c r="BQ73" s="123">
        <f t="shared" si="147"/>
        <v>1218000</v>
      </c>
      <c r="BR73" s="98"/>
      <c r="BS73" s="98">
        <f t="shared" ref="BS73:BS82" si="149">BO73+BP73+BQ73+BR73</f>
        <v>1218000</v>
      </c>
      <c r="BT73" s="98"/>
      <c r="BU73" s="98"/>
      <c r="BV73" s="98"/>
      <c r="BW73" s="99">
        <f t="shared" si="148"/>
        <v>1218000</v>
      </c>
    </row>
    <row r="74" spans="1:75" s="90" customFormat="1">
      <c r="A74" s="596"/>
      <c r="B74" s="121"/>
      <c r="C74" s="93"/>
      <c r="D74" s="93" t="s">
        <v>339</v>
      </c>
      <c r="E74" s="93" t="s">
        <v>76</v>
      </c>
      <c r="F74" s="118">
        <v>217500</v>
      </c>
      <c r="G74" s="221">
        <f t="shared" si="133"/>
        <v>5</v>
      </c>
      <c r="H74" s="123">
        <f t="shared" si="134"/>
        <v>1087500</v>
      </c>
      <c r="I74" s="123"/>
      <c r="J74" s="123"/>
      <c r="K74" s="123"/>
      <c r="L74" s="123"/>
      <c r="M74" s="123"/>
      <c r="N74" s="117">
        <f t="shared" si="146"/>
        <v>1087500</v>
      </c>
      <c r="O74" s="123"/>
      <c r="P74" s="123"/>
      <c r="Q74" s="123"/>
      <c r="R74" s="123"/>
      <c r="S74" s="222">
        <f>G74*0.15</f>
        <v>0.75</v>
      </c>
      <c r="T74" s="222">
        <f>G74*0.7</f>
        <v>3.5</v>
      </c>
      <c r="U74" s="222">
        <f>G74:G74*0.15</f>
        <v>0.75</v>
      </c>
      <c r="V74" s="222"/>
      <c r="W74" s="223">
        <f t="shared" si="138"/>
        <v>163125</v>
      </c>
      <c r="X74" s="223">
        <f t="shared" si="139"/>
        <v>761250</v>
      </c>
      <c r="Y74" s="223">
        <f t="shared" si="140"/>
        <v>163125</v>
      </c>
      <c r="Z74" s="223">
        <f t="shared" si="141"/>
        <v>0</v>
      </c>
      <c r="AA74" s="142"/>
      <c r="AB74" s="224">
        <f t="shared" si="114"/>
        <v>0</v>
      </c>
      <c r="AC74" s="142">
        <v>0</v>
      </c>
      <c r="AD74" s="224">
        <f t="shared" si="115"/>
        <v>0</v>
      </c>
      <c r="AE74" s="142">
        <v>0</v>
      </c>
      <c r="AF74" s="224">
        <f t="shared" si="116"/>
        <v>0</v>
      </c>
      <c r="AG74" s="142"/>
      <c r="AH74" s="224">
        <f t="shared" si="117"/>
        <v>0</v>
      </c>
      <c r="AI74" s="142"/>
      <c r="AJ74" s="224">
        <f t="shared" si="118"/>
        <v>0</v>
      </c>
      <c r="AK74" s="142">
        <v>0</v>
      </c>
      <c r="AL74" s="224">
        <f t="shared" si="119"/>
        <v>0</v>
      </c>
      <c r="AM74" s="142">
        <v>0</v>
      </c>
      <c r="AN74" s="224">
        <f t="shared" si="120"/>
        <v>0</v>
      </c>
      <c r="AO74" s="142">
        <v>0</v>
      </c>
      <c r="AP74" s="224">
        <f t="shared" si="121"/>
        <v>0</v>
      </c>
      <c r="AQ74" s="142">
        <v>0</v>
      </c>
      <c r="AR74" s="224">
        <f t="shared" si="122"/>
        <v>0</v>
      </c>
      <c r="AS74" s="142">
        <v>0</v>
      </c>
      <c r="AT74" s="224">
        <f t="shared" si="123"/>
        <v>0</v>
      </c>
      <c r="AU74" s="142"/>
      <c r="AV74" s="224">
        <f t="shared" si="124"/>
        <v>0</v>
      </c>
      <c r="AW74" s="142"/>
      <c r="AX74" s="224">
        <f t="shared" si="125"/>
        <v>0</v>
      </c>
      <c r="AY74" s="224"/>
      <c r="AZ74" s="224">
        <f t="shared" si="126"/>
        <v>0</v>
      </c>
      <c r="BA74" s="142">
        <v>0</v>
      </c>
      <c r="BB74" s="224">
        <f t="shared" si="127"/>
        <v>0</v>
      </c>
      <c r="BC74" s="142">
        <v>5</v>
      </c>
      <c r="BD74" s="224">
        <f t="shared" si="128"/>
        <v>1087500</v>
      </c>
      <c r="BE74" s="142">
        <v>0</v>
      </c>
      <c r="BF74" s="224">
        <f t="shared" si="129"/>
        <v>0</v>
      </c>
      <c r="BG74" s="142">
        <v>0</v>
      </c>
      <c r="BH74" s="224">
        <f t="shared" si="130"/>
        <v>0</v>
      </c>
      <c r="BI74" s="142"/>
      <c r="BJ74" s="224">
        <f t="shared" si="131"/>
        <v>0</v>
      </c>
      <c r="BK74" s="142">
        <f t="shared" si="132"/>
        <v>5</v>
      </c>
      <c r="BL74" s="142">
        <f t="shared" si="142"/>
        <v>1087500</v>
      </c>
      <c r="BM74" s="227" t="s">
        <v>418</v>
      </c>
      <c r="BN74" s="273"/>
      <c r="BO74" s="123"/>
      <c r="BP74" s="98"/>
      <c r="BQ74" s="123">
        <f t="shared" si="147"/>
        <v>1087500</v>
      </c>
      <c r="BR74" s="98"/>
      <c r="BS74" s="98">
        <f t="shared" si="149"/>
        <v>1087500</v>
      </c>
      <c r="BT74" s="98"/>
      <c r="BU74" s="98"/>
      <c r="BV74" s="98"/>
      <c r="BW74" s="99">
        <f t="shared" si="148"/>
        <v>1087500</v>
      </c>
    </row>
    <row r="75" spans="1:75" s="90" customFormat="1">
      <c r="A75" s="596"/>
      <c r="B75" s="121"/>
      <c r="C75" s="93"/>
      <c r="D75" s="93" t="s">
        <v>333</v>
      </c>
      <c r="E75" s="93" t="s">
        <v>76</v>
      </c>
      <c r="F75" s="118">
        <v>236000</v>
      </c>
      <c r="G75" s="221">
        <f t="shared" si="133"/>
        <v>15</v>
      </c>
      <c r="H75" s="123">
        <f t="shared" si="134"/>
        <v>3540000</v>
      </c>
      <c r="I75" s="123"/>
      <c r="J75" s="123"/>
      <c r="K75" s="123"/>
      <c r="L75" s="123"/>
      <c r="M75" s="123"/>
      <c r="N75" s="117">
        <f t="shared" si="146"/>
        <v>3540000</v>
      </c>
      <c r="O75" s="123"/>
      <c r="P75" s="123"/>
      <c r="Q75" s="123"/>
      <c r="R75" s="123"/>
      <c r="S75" s="222">
        <f>G75*0.15</f>
        <v>2.25</v>
      </c>
      <c r="T75" s="222">
        <f>G75*0.7</f>
        <v>10.5</v>
      </c>
      <c r="U75" s="222">
        <f>G75:G75*0.15</f>
        <v>2.25</v>
      </c>
      <c r="V75" s="222"/>
      <c r="W75" s="223">
        <f t="shared" si="138"/>
        <v>531000</v>
      </c>
      <c r="X75" s="223">
        <f t="shared" si="139"/>
        <v>2478000</v>
      </c>
      <c r="Y75" s="223">
        <f t="shared" si="140"/>
        <v>531000</v>
      </c>
      <c r="Z75" s="223">
        <f t="shared" si="141"/>
        <v>0</v>
      </c>
      <c r="AA75" s="142">
        <v>0</v>
      </c>
      <c r="AB75" s="224">
        <f t="shared" si="114"/>
        <v>0</v>
      </c>
      <c r="AC75" s="142"/>
      <c r="AD75" s="224">
        <f t="shared" si="115"/>
        <v>0</v>
      </c>
      <c r="AE75" s="142"/>
      <c r="AF75" s="224">
        <f t="shared" si="116"/>
        <v>0</v>
      </c>
      <c r="AG75" s="142">
        <v>11</v>
      </c>
      <c r="AH75" s="224">
        <f t="shared" si="117"/>
        <v>2596000</v>
      </c>
      <c r="AI75" s="142">
        <v>2</v>
      </c>
      <c r="AJ75" s="224">
        <f t="shared" si="118"/>
        <v>472000</v>
      </c>
      <c r="AK75" s="142">
        <v>0</v>
      </c>
      <c r="AL75" s="224">
        <f t="shared" si="119"/>
        <v>0</v>
      </c>
      <c r="AM75" s="142">
        <v>0</v>
      </c>
      <c r="AN75" s="224">
        <f t="shared" si="120"/>
        <v>0</v>
      </c>
      <c r="AO75" s="142"/>
      <c r="AP75" s="224">
        <f t="shared" si="121"/>
        <v>0</v>
      </c>
      <c r="AQ75" s="142">
        <v>0</v>
      </c>
      <c r="AR75" s="224">
        <f t="shared" si="122"/>
        <v>0</v>
      </c>
      <c r="AS75" s="142">
        <v>2</v>
      </c>
      <c r="AT75" s="224">
        <f t="shared" si="123"/>
        <v>472000</v>
      </c>
      <c r="AU75" s="142"/>
      <c r="AV75" s="224">
        <f t="shared" si="124"/>
        <v>0</v>
      </c>
      <c r="AW75" s="142"/>
      <c r="AX75" s="224">
        <f t="shared" si="125"/>
        <v>0</v>
      </c>
      <c r="AY75" s="224"/>
      <c r="AZ75" s="224">
        <f t="shared" si="126"/>
        <v>0</v>
      </c>
      <c r="BA75" s="142"/>
      <c r="BB75" s="224">
        <f t="shared" si="127"/>
        <v>0</v>
      </c>
      <c r="BC75" s="142"/>
      <c r="BD75" s="224">
        <f t="shared" si="128"/>
        <v>0</v>
      </c>
      <c r="BE75" s="142"/>
      <c r="BF75" s="224">
        <f t="shared" si="129"/>
        <v>0</v>
      </c>
      <c r="BG75" s="142">
        <v>0</v>
      </c>
      <c r="BH75" s="224">
        <f t="shared" si="130"/>
        <v>0</v>
      </c>
      <c r="BI75" s="142"/>
      <c r="BJ75" s="224">
        <f t="shared" si="131"/>
        <v>0</v>
      </c>
      <c r="BK75" s="142">
        <f t="shared" si="132"/>
        <v>15</v>
      </c>
      <c r="BL75" s="142">
        <f t="shared" si="142"/>
        <v>3540000</v>
      </c>
      <c r="BM75" s="227" t="s">
        <v>418</v>
      </c>
      <c r="BN75" s="273"/>
      <c r="BO75" s="123"/>
      <c r="BP75" s="98"/>
      <c r="BQ75" s="123">
        <f t="shared" si="147"/>
        <v>3540000</v>
      </c>
      <c r="BR75" s="98"/>
      <c r="BS75" s="98">
        <f t="shared" si="149"/>
        <v>3540000</v>
      </c>
      <c r="BT75" s="98"/>
      <c r="BU75" s="98"/>
      <c r="BV75" s="98"/>
      <c r="BW75" s="99">
        <f t="shared" si="148"/>
        <v>3540000</v>
      </c>
    </row>
    <row r="76" spans="1:75" s="90" customFormat="1">
      <c r="A76" s="596"/>
      <c r="B76" s="121"/>
      <c r="C76" s="93"/>
      <c r="D76" s="93" t="s">
        <v>334</v>
      </c>
      <c r="E76" s="93" t="s">
        <v>76</v>
      </c>
      <c r="F76" s="118">
        <v>228000</v>
      </c>
      <c r="G76" s="221">
        <f t="shared" si="133"/>
        <v>3</v>
      </c>
      <c r="H76" s="123">
        <f t="shared" si="134"/>
        <v>684000</v>
      </c>
      <c r="I76" s="123"/>
      <c r="J76" s="123"/>
      <c r="K76" s="123"/>
      <c r="L76" s="123"/>
      <c r="M76" s="123"/>
      <c r="N76" s="117">
        <f t="shared" si="146"/>
        <v>684000</v>
      </c>
      <c r="O76" s="123"/>
      <c r="P76" s="123"/>
      <c r="Q76" s="123"/>
      <c r="R76" s="123"/>
      <c r="S76" s="222">
        <f>G76*0.35</f>
        <v>1.0499999999999998</v>
      </c>
      <c r="T76" s="222">
        <f>G76*0.65</f>
        <v>1.9500000000000002</v>
      </c>
      <c r="U76" s="222"/>
      <c r="V76" s="222"/>
      <c r="W76" s="223">
        <f t="shared" si="138"/>
        <v>239399.99999999997</v>
      </c>
      <c r="X76" s="223">
        <f t="shared" si="139"/>
        <v>444600.00000000006</v>
      </c>
      <c r="Y76" s="223">
        <f t="shared" si="140"/>
        <v>0</v>
      </c>
      <c r="Z76" s="223">
        <f t="shared" si="141"/>
        <v>0</v>
      </c>
      <c r="AA76" s="142"/>
      <c r="AB76" s="224">
        <f t="shared" si="114"/>
        <v>0</v>
      </c>
      <c r="AC76" s="142">
        <v>0</v>
      </c>
      <c r="AD76" s="224">
        <f t="shared" si="115"/>
        <v>0</v>
      </c>
      <c r="AE76" s="142">
        <v>1</v>
      </c>
      <c r="AF76" s="224">
        <f t="shared" si="116"/>
        <v>228000</v>
      </c>
      <c r="AG76" s="142">
        <v>1</v>
      </c>
      <c r="AH76" s="224">
        <f t="shared" si="117"/>
        <v>228000</v>
      </c>
      <c r="AI76" s="142">
        <v>0</v>
      </c>
      <c r="AJ76" s="224">
        <f t="shared" si="118"/>
        <v>0</v>
      </c>
      <c r="AK76" s="142">
        <v>0</v>
      </c>
      <c r="AL76" s="224">
        <f t="shared" si="119"/>
        <v>0</v>
      </c>
      <c r="AM76" s="142"/>
      <c r="AN76" s="224">
        <f t="shared" si="120"/>
        <v>0</v>
      </c>
      <c r="AO76" s="142">
        <v>1</v>
      </c>
      <c r="AP76" s="224">
        <f t="shared" si="121"/>
        <v>228000</v>
      </c>
      <c r="AQ76" s="142"/>
      <c r="AR76" s="224">
        <f t="shared" si="122"/>
        <v>0</v>
      </c>
      <c r="AS76" s="142">
        <v>0</v>
      </c>
      <c r="AT76" s="224">
        <f t="shared" si="123"/>
        <v>0</v>
      </c>
      <c r="AU76" s="142"/>
      <c r="AV76" s="224">
        <f t="shared" si="124"/>
        <v>0</v>
      </c>
      <c r="AW76" s="142">
        <v>0</v>
      </c>
      <c r="AX76" s="224">
        <f t="shared" si="125"/>
        <v>0</v>
      </c>
      <c r="AY76" s="224"/>
      <c r="AZ76" s="224">
        <f t="shared" si="126"/>
        <v>0</v>
      </c>
      <c r="BA76" s="142"/>
      <c r="BB76" s="224">
        <f t="shared" si="127"/>
        <v>0</v>
      </c>
      <c r="BC76" s="142">
        <v>0</v>
      </c>
      <c r="BD76" s="224">
        <f t="shared" si="128"/>
        <v>0</v>
      </c>
      <c r="BE76" s="142"/>
      <c r="BF76" s="224">
        <f t="shared" si="129"/>
        <v>0</v>
      </c>
      <c r="BG76" s="142">
        <v>0</v>
      </c>
      <c r="BH76" s="224">
        <f t="shared" si="130"/>
        <v>0</v>
      </c>
      <c r="BI76" s="142"/>
      <c r="BJ76" s="224">
        <f t="shared" si="131"/>
        <v>0</v>
      </c>
      <c r="BK76" s="142">
        <f t="shared" si="132"/>
        <v>3</v>
      </c>
      <c r="BL76" s="142">
        <f t="shared" si="142"/>
        <v>684000</v>
      </c>
      <c r="BM76" s="227" t="s">
        <v>418</v>
      </c>
      <c r="BN76" s="273"/>
      <c r="BO76" s="123"/>
      <c r="BP76" s="98"/>
      <c r="BQ76" s="123">
        <f t="shared" si="147"/>
        <v>684000</v>
      </c>
      <c r="BR76" s="98"/>
      <c r="BS76" s="98">
        <f t="shared" si="149"/>
        <v>684000</v>
      </c>
      <c r="BT76" s="98"/>
      <c r="BU76" s="98"/>
      <c r="BV76" s="98"/>
      <c r="BW76" s="99">
        <f t="shared" si="148"/>
        <v>684000</v>
      </c>
    </row>
    <row r="77" spans="1:75" s="90" customFormat="1">
      <c r="A77" s="596"/>
      <c r="B77" s="121"/>
      <c r="C77" s="93"/>
      <c r="D77" s="93" t="s">
        <v>335</v>
      </c>
      <c r="E77" s="93" t="s">
        <v>76</v>
      </c>
      <c r="F77" s="118">
        <v>300000</v>
      </c>
      <c r="G77" s="221">
        <f t="shared" si="133"/>
        <v>59</v>
      </c>
      <c r="H77" s="123">
        <f t="shared" si="134"/>
        <v>17700000</v>
      </c>
      <c r="I77" s="123">
        <f t="shared" ref="I77:I82" si="150">H77*0.2</f>
        <v>3540000</v>
      </c>
      <c r="J77" s="123">
        <f t="shared" ref="J77:J82" si="151">H77*0.8</f>
        <v>14160000</v>
      </c>
      <c r="K77" s="123"/>
      <c r="L77" s="123"/>
      <c r="M77" s="123"/>
      <c r="N77" s="123"/>
      <c r="O77" s="123"/>
      <c r="P77" s="123"/>
      <c r="Q77" s="123"/>
      <c r="R77" s="123"/>
      <c r="S77" s="222">
        <f t="shared" ref="S77:S82" si="152">G77*0.15</f>
        <v>8.85</v>
      </c>
      <c r="T77" s="222">
        <f>G77*0.7</f>
        <v>41.3</v>
      </c>
      <c r="U77" s="222">
        <f>G77:G77*0.15</f>
        <v>8.85</v>
      </c>
      <c r="V77" s="222"/>
      <c r="W77" s="223">
        <f t="shared" si="138"/>
        <v>2655000</v>
      </c>
      <c r="X77" s="223">
        <f t="shared" si="139"/>
        <v>12390000</v>
      </c>
      <c r="Y77" s="223">
        <f t="shared" si="140"/>
        <v>2655000</v>
      </c>
      <c r="Z77" s="223">
        <f t="shared" si="141"/>
        <v>0</v>
      </c>
      <c r="AA77" s="142">
        <v>10</v>
      </c>
      <c r="AB77" s="224">
        <f t="shared" si="114"/>
        <v>3000000</v>
      </c>
      <c r="AC77" s="142">
        <v>3</v>
      </c>
      <c r="AD77" s="224">
        <f t="shared" si="115"/>
        <v>900000</v>
      </c>
      <c r="AE77" s="142">
        <v>8</v>
      </c>
      <c r="AF77" s="224">
        <f t="shared" si="116"/>
        <v>2400000</v>
      </c>
      <c r="AG77" s="142">
        <v>20</v>
      </c>
      <c r="AH77" s="224">
        <f t="shared" si="117"/>
        <v>6000000</v>
      </c>
      <c r="AI77" s="142">
        <v>5</v>
      </c>
      <c r="AJ77" s="224">
        <f t="shared" si="118"/>
        <v>1500000</v>
      </c>
      <c r="AK77" s="142">
        <v>3</v>
      </c>
      <c r="AL77" s="224">
        <f t="shared" si="119"/>
        <v>900000</v>
      </c>
      <c r="AM77" s="142">
        <v>5</v>
      </c>
      <c r="AN77" s="224">
        <f t="shared" si="120"/>
        <v>1500000</v>
      </c>
      <c r="AO77" s="142">
        <v>0</v>
      </c>
      <c r="AP77" s="224">
        <f t="shared" si="121"/>
        <v>0</v>
      </c>
      <c r="AQ77" s="142">
        <v>0</v>
      </c>
      <c r="AR77" s="224">
        <f t="shared" si="122"/>
        <v>0</v>
      </c>
      <c r="AS77" s="142">
        <v>2</v>
      </c>
      <c r="AT77" s="224">
        <f t="shared" si="123"/>
        <v>600000</v>
      </c>
      <c r="AU77" s="142">
        <v>0</v>
      </c>
      <c r="AV77" s="224">
        <f t="shared" si="124"/>
        <v>0</v>
      </c>
      <c r="AW77" s="142">
        <v>0</v>
      </c>
      <c r="AX77" s="224">
        <f t="shared" si="125"/>
        <v>0</v>
      </c>
      <c r="AY77" s="224">
        <v>0</v>
      </c>
      <c r="AZ77" s="224">
        <f t="shared" si="126"/>
        <v>0</v>
      </c>
      <c r="BA77" s="142">
        <v>1</v>
      </c>
      <c r="BB77" s="224">
        <f t="shared" si="127"/>
        <v>300000</v>
      </c>
      <c r="BC77" s="142">
        <v>2</v>
      </c>
      <c r="BD77" s="224">
        <f t="shared" si="128"/>
        <v>600000</v>
      </c>
      <c r="BE77" s="142">
        <v>0</v>
      </c>
      <c r="BF77" s="224">
        <f t="shared" si="129"/>
        <v>0</v>
      </c>
      <c r="BG77" s="142">
        <v>0</v>
      </c>
      <c r="BH77" s="224">
        <f t="shared" si="130"/>
        <v>0</v>
      </c>
      <c r="BI77" s="142"/>
      <c r="BJ77" s="224">
        <f t="shared" si="131"/>
        <v>0</v>
      </c>
      <c r="BK77" s="142">
        <f t="shared" si="132"/>
        <v>59</v>
      </c>
      <c r="BL77" s="142">
        <f t="shared" si="142"/>
        <v>17700000</v>
      </c>
      <c r="BM77" s="227" t="s">
        <v>702</v>
      </c>
      <c r="BN77" s="273"/>
      <c r="BO77" s="123"/>
      <c r="BP77" s="98"/>
      <c r="BQ77" s="123">
        <f t="shared" si="147"/>
        <v>17700000</v>
      </c>
      <c r="BR77" s="98"/>
      <c r="BS77" s="98">
        <f t="shared" si="149"/>
        <v>17700000</v>
      </c>
      <c r="BT77" s="98"/>
      <c r="BU77" s="98"/>
      <c r="BV77" s="98"/>
      <c r="BW77" s="99">
        <f t="shared" si="148"/>
        <v>17700000</v>
      </c>
    </row>
    <row r="78" spans="1:75" s="90" customFormat="1">
      <c r="A78" s="596"/>
      <c r="B78" s="121"/>
      <c r="C78" s="93"/>
      <c r="D78" s="93" t="s">
        <v>336</v>
      </c>
      <c r="E78" s="93" t="s">
        <v>76</v>
      </c>
      <c r="F78" s="118">
        <v>85000</v>
      </c>
      <c r="G78" s="221">
        <f t="shared" si="133"/>
        <v>158</v>
      </c>
      <c r="H78" s="123">
        <f t="shared" si="134"/>
        <v>13430000</v>
      </c>
      <c r="I78" s="123">
        <f t="shared" si="150"/>
        <v>2686000</v>
      </c>
      <c r="J78" s="123">
        <f t="shared" si="151"/>
        <v>10744000</v>
      </c>
      <c r="K78" s="123"/>
      <c r="L78" s="123"/>
      <c r="M78" s="123"/>
      <c r="N78" s="123"/>
      <c r="O78" s="123"/>
      <c r="P78" s="123"/>
      <c r="Q78" s="123"/>
      <c r="R78" s="123"/>
      <c r="S78" s="222">
        <f t="shared" si="152"/>
        <v>23.7</v>
      </c>
      <c r="T78" s="222">
        <f>G78*0.7</f>
        <v>110.6</v>
      </c>
      <c r="U78" s="222">
        <f>G78:G78*0.15</f>
        <v>23.7</v>
      </c>
      <c r="V78" s="222"/>
      <c r="W78" s="223">
        <f t="shared" si="138"/>
        <v>2014500</v>
      </c>
      <c r="X78" s="223">
        <f t="shared" si="139"/>
        <v>9401000</v>
      </c>
      <c r="Y78" s="223">
        <f t="shared" si="140"/>
        <v>2014500</v>
      </c>
      <c r="Z78" s="223">
        <f t="shared" si="141"/>
        <v>0</v>
      </c>
      <c r="AA78" s="142">
        <v>50</v>
      </c>
      <c r="AB78" s="224">
        <f t="shared" si="114"/>
        <v>4250000</v>
      </c>
      <c r="AC78" s="142">
        <v>2</v>
      </c>
      <c r="AD78" s="224">
        <f t="shared" si="115"/>
        <v>170000</v>
      </c>
      <c r="AE78" s="142">
        <v>8</v>
      </c>
      <c r="AF78" s="224">
        <f t="shared" si="116"/>
        <v>680000</v>
      </c>
      <c r="AG78" s="142">
        <v>10</v>
      </c>
      <c r="AH78" s="224">
        <f t="shared" si="117"/>
        <v>850000</v>
      </c>
      <c r="AI78" s="142">
        <v>10</v>
      </c>
      <c r="AJ78" s="224">
        <f t="shared" si="118"/>
        <v>850000</v>
      </c>
      <c r="AK78" s="142">
        <v>5</v>
      </c>
      <c r="AL78" s="224">
        <f t="shared" si="119"/>
        <v>425000</v>
      </c>
      <c r="AM78" s="142">
        <v>5</v>
      </c>
      <c r="AN78" s="224">
        <f t="shared" si="120"/>
        <v>425000</v>
      </c>
      <c r="AO78" s="142">
        <v>2</v>
      </c>
      <c r="AP78" s="224">
        <f t="shared" si="121"/>
        <v>170000</v>
      </c>
      <c r="AQ78" s="142">
        <v>5</v>
      </c>
      <c r="AR78" s="224">
        <f t="shared" si="122"/>
        <v>425000</v>
      </c>
      <c r="AS78" s="142">
        <v>15</v>
      </c>
      <c r="AT78" s="224">
        <f t="shared" si="123"/>
        <v>1275000</v>
      </c>
      <c r="AU78" s="142">
        <v>20</v>
      </c>
      <c r="AV78" s="224">
        <f t="shared" si="124"/>
        <v>1700000</v>
      </c>
      <c r="AW78" s="142">
        <v>4</v>
      </c>
      <c r="AX78" s="224">
        <f t="shared" si="125"/>
        <v>340000</v>
      </c>
      <c r="AY78" s="224">
        <v>8</v>
      </c>
      <c r="AZ78" s="224">
        <f t="shared" si="126"/>
        <v>680000</v>
      </c>
      <c r="BA78" s="142">
        <v>2</v>
      </c>
      <c r="BB78" s="224">
        <f t="shared" si="127"/>
        <v>170000</v>
      </c>
      <c r="BC78" s="142">
        <v>10</v>
      </c>
      <c r="BD78" s="224">
        <f t="shared" si="128"/>
        <v>850000</v>
      </c>
      <c r="BE78" s="142">
        <v>2</v>
      </c>
      <c r="BF78" s="224">
        <f t="shared" si="129"/>
        <v>170000</v>
      </c>
      <c r="BG78" s="142">
        <v>0</v>
      </c>
      <c r="BH78" s="224">
        <f t="shared" si="130"/>
        <v>0</v>
      </c>
      <c r="BI78" s="142"/>
      <c r="BJ78" s="224">
        <f t="shared" si="131"/>
        <v>0</v>
      </c>
      <c r="BK78" s="142">
        <f t="shared" si="132"/>
        <v>158</v>
      </c>
      <c r="BL78" s="142">
        <f t="shared" si="142"/>
        <v>13430000</v>
      </c>
      <c r="BM78" s="227" t="s">
        <v>702</v>
      </c>
      <c r="BN78" s="273"/>
      <c r="BO78" s="123"/>
      <c r="BP78" s="98"/>
      <c r="BQ78" s="123">
        <f t="shared" si="147"/>
        <v>13430000</v>
      </c>
      <c r="BR78" s="98"/>
      <c r="BS78" s="98">
        <f t="shared" si="149"/>
        <v>13430000</v>
      </c>
      <c r="BT78" s="98"/>
      <c r="BU78" s="98"/>
      <c r="BV78" s="98"/>
      <c r="BW78" s="99">
        <f t="shared" si="148"/>
        <v>13430000</v>
      </c>
    </row>
    <row r="79" spans="1:75" s="90" customFormat="1">
      <c r="A79" s="596"/>
      <c r="B79" s="121"/>
      <c r="C79" s="93"/>
      <c r="D79" s="93" t="s">
        <v>337</v>
      </c>
      <c r="E79" s="93" t="s">
        <v>76</v>
      </c>
      <c r="F79" s="118">
        <v>41800</v>
      </c>
      <c r="G79" s="221">
        <f t="shared" si="133"/>
        <v>7</v>
      </c>
      <c r="H79" s="123">
        <f t="shared" si="134"/>
        <v>292600</v>
      </c>
      <c r="I79" s="123">
        <f t="shared" si="150"/>
        <v>58520</v>
      </c>
      <c r="J79" s="123">
        <f t="shared" si="151"/>
        <v>234080</v>
      </c>
      <c r="K79" s="123"/>
      <c r="L79" s="123"/>
      <c r="M79" s="123"/>
      <c r="N79" s="123"/>
      <c r="O79" s="123"/>
      <c r="P79" s="123"/>
      <c r="Q79" s="123"/>
      <c r="R79" s="123"/>
      <c r="S79" s="222">
        <f t="shared" si="152"/>
        <v>1.05</v>
      </c>
      <c r="T79" s="222">
        <f>G79*0.85</f>
        <v>5.95</v>
      </c>
      <c r="U79" s="222">
        <v>0</v>
      </c>
      <c r="V79" s="222"/>
      <c r="W79" s="223">
        <f t="shared" si="138"/>
        <v>43890</v>
      </c>
      <c r="X79" s="223">
        <f t="shared" si="139"/>
        <v>248710</v>
      </c>
      <c r="Y79" s="223">
        <f t="shared" si="140"/>
        <v>0</v>
      </c>
      <c r="Z79" s="223">
        <f t="shared" si="141"/>
        <v>0</v>
      </c>
      <c r="AA79" s="142">
        <v>2</v>
      </c>
      <c r="AB79" s="224">
        <f t="shared" si="114"/>
        <v>83600</v>
      </c>
      <c r="AC79" s="142">
        <v>0</v>
      </c>
      <c r="AD79" s="224">
        <f t="shared" si="115"/>
        <v>0</v>
      </c>
      <c r="AE79" s="142">
        <v>2</v>
      </c>
      <c r="AF79" s="224">
        <f t="shared" si="116"/>
        <v>83600</v>
      </c>
      <c r="AG79" s="142">
        <v>2</v>
      </c>
      <c r="AH79" s="224">
        <f t="shared" si="117"/>
        <v>83600</v>
      </c>
      <c r="AI79" s="142">
        <v>0</v>
      </c>
      <c r="AJ79" s="224">
        <f t="shared" si="118"/>
        <v>0</v>
      </c>
      <c r="AK79" s="142">
        <v>0</v>
      </c>
      <c r="AL79" s="224">
        <f t="shared" si="119"/>
        <v>0</v>
      </c>
      <c r="AM79" s="142">
        <v>0</v>
      </c>
      <c r="AN79" s="224">
        <f t="shared" si="120"/>
        <v>0</v>
      </c>
      <c r="AO79" s="142">
        <v>0</v>
      </c>
      <c r="AP79" s="224">
        <f t="shared" si="121"/>
        <v>0</v>
      </c>
      <c r="AQ79" s="142">
        <v>0</v>
      </c>
      <c r="AR79" s="224">
        <f t="shared" si="122"/>
        <v>0</v>
      </c>
      <c r="AS79" s="142">
        <v>1</v>
      </c>
      <c r="AT79" s="224">
        <f t="shared" si="123"/>
        <v>41800</v>
      </c>
      <c r="AU79" s="142">
        <v>0</v>
      </c>
      <c r="AV79" s="224">
        <f t="shared" si="124"/>
        <v>0</v>
      </c>
      <c r="AW79" s="142">
        <v>0</v>
      </c>
      <c r="AX79" s="224">
        <f t="shared" si="125"/>
        <v>0</v>
      </c>
      <c r="AY79" s="224">
        <v>0</v>
      </c>
      <c r="AZ79" s="224">
        <f t="shared" si="126"/>
        <v>0</v>
      </c>
      <c r="BA79" s="142">
        <v>0</v>
      </c>
      <c r="BB79" s="224">
        <f t="shared" si="127"/>
        <v>0</v>
      </c>
      <c r="BC79" s="142">
        <v>0</v>
      </c>
      <c r="BD79" s="224">
        <f t="shared" si="128"/>
        <v>0</v>
      </c>
      <c r="BE79" s="142">
        <v>0</v>
      </c>
      <c r="BF79" s="224">
        <f t="shared" si="129"/>
        <v>0</v>
      </c>
      <c r="BG79" s="142">
        <v>0</v>
      </c>
      <c r="BH79" s="224">
        <f t="shared" si="130"/>
        <v>0</v>
      </c>
      <c r="BI79" s="142"/>
      <c r="BJ79" s="224">
        <f t="shared" si="131"/>
        <v>0</v>
      </c>
      <c r="BK79" s="142">
        <f t="shared" si="132"/>
        <v>7</v>
      </c>
      <c r="BL79" s="142">
        <f t="shared" si="142"/>
        <v>292600</v>
      </c>
      <c r="BM79" s="227" t="s">
        <v>702</v>
      </c>
      <c r="BN79" s="273"/>
      <c r="BO79" s="123"/>
      <c r="BP79" s="98"/>
      <c r="BQ79" s="123">
        <f t="shared" si="147"/>
        <v>292600</v>
      </c>
      <c r="BR79" s="98"/>
      <c r="BS79" s="98">
        <f t="shared" si="149"/>
        <v>292600</v>
      </c>
      <c r="BT79" s="98"/>
      <c r="BU79" s="98"/>
      <c r="BV79" s="98"/>
      <c r="BW79" s="99">
        <f t="shared" si="148"/>
        <v>292600</v>
      </c>
    </row>
    <row r="80" spans="1:75">
      <c r="A80" s="596"/>
      <c r="B80" s="109"/>
      <c r="C80" s="30"/>
      <c r="D80" s="30" t="s">
        <v>686</v>
      </c>
      <c r="E80" s="30" t="s">
        <v>76</v>
      </c>
      <c r="F80" s="116">
        <v>90000</v>
      </c>
      <c r="G80" s="111">
        <f t="shared" si="133"/>
        <v>50</v>
      </c>
      <c r="H80" s="123">
        <f t="shared" si="134"/>
        <v>4500000</v>
      </c>
      <c r="I80" s="117">
        <f t="shared" si="150"/>
        <v>900000</v>
      </c>
      <c r="J80" s="117">
        <f t="shared" si="151"/>
        <v>3600000</v>
      </c>
      <c r="K80" s="117"/>
      <c r="L80" s="117"/>
      <c r="M80" s="117"/>
      <c r="N80" s="117"/>
      <c r="O80" s="117"/>
      <c r="P80" s="117"/>
      <c r="Q80" s="117"/>
      <c r="R80" s="117"/>
      <c r="S80" s="113">
        <f t="shared" si="152"/>
        <v>7.5</v>
      </c>
      <c r="T80" s="113">
        <f>G80*0.7</f>
        <v>35</v>
      </c>
      <c r="U80" s="113">
        <f>G80:G80*0.15</f>
        <v>7.5</v>
      </c>
      <c r="V80" s="113"/>
      <c r="W80" s="110">
        <f>S80*F80</f>
        <v>675000</v>
      </c>
      <c r="X80" s="110">
        <f>T80*F80</f>
        <v>3150000</v>
      </c>
      <c r="Y80" s="110">
        <f>U80*F80</f>
        <v>675000</v>
      </c>
      <c r="Z80" s="110">
        <f>V80*F80</f>
        <v>0</v>
      </c>
      <c r="AA80" s="112"/>
      <c r="AB80" s="224">
        <f t="shared" si="114"/>
        <v>0</v>
      </c>
      <c r="AC80" s="112"/>
      <c r="AD80" s="224">
        <f t="shared" si="115"/>
        <v>0</v>
      </c>
      <c r="AE80" s="112"/>
      <c r="AF80" s="224">
        <f t="shared" si="116"/>
        <v>0</v>
      </c>
      <c r="AG80" s="112"/>
      <c r="AH80" s="224">
        <f t="shared" si="117"/>
        <v>0</v>
      </c>
      <c r="AI80" s="112"/>
      <c r="AJ80" s="224">
        <f t="shared" si="118"/>
        <v>0</v>
      </c>
      <c r="AK80" s="112"/>
      <c r="AL80" s="224">
        <f t="shared" si="119"/>
        <v>0</v>
      </c>
      <c r="AM80" s="112"/>
      <c r="AN80" s="224">
        <f t="shared" si="120"/>
        <v>0</v>
      </c>
      <c r="AO80" s="112">
        <v>50</v>
      </c>
      <c r="AP80" s="224">
        <f t="shared" si="121"/>
        <v>4500000</v>
      </c>
      <c r="AQ80" s="112"/>
      <c r="AR80" s="224">
        <f t="shared" si="122"/>
        <v>0</v>
      </c>
      <c r="AS80" s="112"/>
      <c r="AT80" s="224">
        <f t="shared" si="123"/>
        <v>0</v>
      </c>
      <c r="AU80" s="112"/>
      <c r="AV80" s="224">
        <f t="shared" si="124"/>
        <v>0</v>
      </c>
      <c r="AW80" s="112"/>
      <c r="AX80" s="224">
        <f t="shared" si="125"/>
        <v>0</v>
      </c>
      <c r="AY80" s="43"/>
      <c r="AZ80" s="224">
        <f t="shared" si="126"/>
        <v>0</v>
      </c>
      <c r="BA80" s="112"/>
      <c r="BB80" s="224">
        <f t="shared" si="127"/>
        <v>0</v>
      </c>
      <c r="BC80" s="112"/>
      <c r="BD80" s="224">
        <f t="shared" si="128"/>
        <v>0</v>
      </c>
      <c r="BE80" s="112"/>
      <c r="BF80" s="224">
        <f t="shared" si="129"/>
        <v>0</v>
      </c>
      <c r="BG80" s="112"/>
      <c r="BH80" s="224">
        <f t="shared" si="130"/>
        <v>0</v>
      </c>
      <c r="BI80" s="112"/>
      <c r="BJ80" s="224">
        <f t="shared" si="131"/>
        <v>0</v>
      </c>
      <c r="BK80" s="142">
        <f t="shared" si="132"/>
        <v>50</v>
      </c>
      <c r="BL80" s="142">
        <f t="shared" si="142"/>
        <v>4500000</v>
      </c>
      <c r="BM80" s="227" t="s">
        <v>702</v>
      </c>
      <c r="BN80" s="273"/>
      <c r="BO80" s="117"/>
      <c r="BP80" s="70"/>
      <c r="BQ80" s="123">
        <f t="shared" si="147"/>
        <v>4500000</v>
      </c>
      <c r="BR80" s="70"/>
      <c r="BS80" s="98">
        <f t="shared" si="149"/>
        <v>4500000</v>
      </c>
      <c r="BT80" s="70"/>
      <c r="BU80" s="70"/>
      <c r="BV80" s="70"/>
      <c r="BW80" s="99">
        <f t="shared" si="148"/>
        <v>4500000</v>
      </c>
    </row>
    <row r="81" spans="1:83">
      <c r="A81" s="596"/>
      <c r="B81" s="109"/>
      <c r="C81" s="30"/>
      <c r="D81" s="30" t="s">
        <v>689</v>
      </c>
      <c r="E81" s="30" t="s">
        <v>76</v>
      </c>
      <c r="F81" s="116">
        <v>80000</v>
      </c>
      <c r="G81" s="111">
        <f t="shared" si="133"/>
        <v>10</v>
      </c>
      <c r="H81" s="123">
        <f t="shared" si="134"/>
        <v>800000</v>
      </c>
      <c r="I81" s="117">
        <f t="shared" si="150"/>
        <v>160000</v>
      </c>
      <c r="J81" s="117">
        <f t="shared" si="151"/>
        <v>640000</v>
      </c>
      <c r="K81" s="117"/>
      <c r="L81" s="117"/>
      <c r="M81" s="117"/>
      <c r="N81" s="117"/>
      <c r="O81" s="117"/>
      <c r="P81" s="117"/>
      <c r="Q81" s="117"/>
      <c r="R81" s="117"/>
      <c r="S81" s="113">
        <f t="shared" si="152"/>
        <v>1.5</v>
      </c>
      <c r="T81" s="113">
        <f>G81*0.7</f>
        <v>7</v>
      </c>
      <c r="U81" s="113">
        <f>G81:G81*0.15</f>
        <v>1.5</v>
      </c>
      <c r="V81" s="113"/>
      <c r="W81" s="110">
        <f>S81*F81</f>
        <v>120000</v>
      </c>
      <c r="X81" s="110">
        <f>T81*F81</f>
        <v>560000</v>
      </c>
      <c r="Y81" s="110">
        <f>U81*F81</f>
        <v>120000</v>
      </c>
      <c r="Z81" s="110">
        <f>V81*F81</f>
        <v>0</v>
      </c>
      <c r="AA81" s="112">
        <v>5</v>
      </c>
      <c r="AB81" s="224">
        <f t="shared" si="114"/>
        <v>400000</v>
      </c>
      <c r="AC81" s="112"/>
      <c r="AD81" s="224">
        <f t="shared" si="115"/>
        <v>0</v>
      </c>
      <c r="AE81" s="112"/>
      <c r="AF81" s="224">
        <f t="shared" si="116"/>
        <v>0</v>
      </c>
      <c r="AG81" s="112"/>
      <c r="AH81" s="224">
        <f t="shared" si="117"/>
        <v>0</v>
      </c>
      <c r="AI81" s="112"/>
      <c r="AJ81" s="224">
        <f t="shared" si="118"/>
        <v>0</v>
      </c>
      <c r="AK81" s="112"/>
      <c r="AL81" s="224">
        <f t="shared" si="119"/>
        <v>0</v>
      </c>
      <c r="AM81" s="112"/>
      <c r="AN81" s="224">
        <f t="shared" si="120"/>
        <v>0</v>
      </c>
      <c r="AO81" s="112"/>
      <c r="AP81" s="224">
        <f t="shared" si="121"/>
        <v>0</v>
      </c>
      <c r="AQ81" s="112"/>
      <c r="AR81" s="224">
        <f t="shared" si="122"/>
        <v>0</v>
      </c>
      <c r="AS81" s="112"/>
      <c r="AT81" s="224">
        <f t="shared" si="123"/>
        <v>0</v>
      </c>
      <c r="AU81" s="112"/>
      <c r="AV81" s="224">
        <f t="shared" si="124"/>
        <v>0</v>
      </c>
      <c r="AW81" s="112"/>
      <c r="AX81" s="224">
        <f t="shared" si="125"/>
        <v>0</v>
      </c>
      <c r="AY81" s="43"/>
      <c r="AZ81" s="224">
        <f t="shared" si="126"/>
        <v>0</v>
      </c>
      <c r="BA81" s="112"/>
      <c r="BB81" s="224">
        <f t="shared" si="127"/>
        <v>0</v>
      </c>
      <c r="BC81" s="112">
        <v>5</v>
      </c>
      <c r="BD81" s="224">
        <f t="shared" si="128"/>
        <v>400000</v>
      </c>
      <c r="BE81" s="112"/>
      <c r="BF81" s="224">
        <f t="shared" si="129"/>
        <v>0</v>
      </c>
      <c r="BG81" s="112"/>
      <c r="BH81" s="224">
        <f t="shared" si="130"/>
        <v>0</v>
      </c>
      <c r="BI81" s="112"/>
      <c r="BJ81" s="224">
        <f t="shared" si="131"/>
        <v>0</v>
      </c>
      <c r="BK81" s="142">
        <f t="shared" si="132"/>
        <v>10</v>
      </c>
      <c r="BL81" s="142">
        <f t="shared" si="142"/>
        <v>800000</v>
      </c>
      <c r="BM81" s="227" t="s">
        <v>702</v>
      </c>
      <c r="BN81" s="273"/>
      <c r="BO81" s="117"/>
      <c r="BP81" s="70"/>
      <c r="BQ81" s="123">
        <f t="shared" si="147"/>
        <v>800000</v>
      </c>
      <c r="BR81" s="70"/>
      <c r="BS81" s="98">
        <f t="shared" si="149"/>
        <v>800000</v>
      </c>
      <c r="BT81" s="70"/>
      <c r="BU81" s="70"/>
      <c r="BV81" s="70"/>
      <c r="BW81" s="99">
        <f t="shared" si="148"/>
        <v>800000</v>
      </c>
    </row>
    <row r="82" spans="1:83">
      <c r="A82" s="596"/>
      <c r="B82" s="109"/>
      <c r="C82" s="30"/>
      <c r="D82" s="30" t="s">
        <v>687</v>
      </c>
      <c r="E82" s="30" t="s">
        <v>76</v>
      </c>
      <c r="F82" s="116">
        <v>50000</v>
      </c>
      <c r="G82" s="111">
        <f t="shared" si="133"/>
        <v>10.5</v>
      </c>
      <c r="H82" s="123">
        <f t="shared" si="134"/>
        <v>525000</v>
      </c>
      <c r="I82" s="117">
        <f t="shared" si="150"/>
        <v>105000</v>
      </c>
      <c r="J82" s="117">
        <f t="shared" si="151"/>
        <v>420000</v>
      </c>
      <c r="K82" s="117"/>
      <c r="L82" s="117"/>
      <c r="M82" s="117"/>
      <c r="N82" s="117"/>
      <c r="O82" s="117"/>
      <c r="P82" s="117"/>
      <c r="Q82" s="117"/>
      <c r="R82" s="117"/>
      <c r="S82" s="113">
        <f t="shared" si="152"/>
        <v>1.575</v>
      </c>
      <c r="T82" s="113">
        <f>G82*0.7</f>
        <v>7.35</v>
      </c>
      <c r="U82" s="113">
        <f>G82:G82*0.15</f>
        <v>1.575</v>
      </c>
      <c r="V82" s="113"/>
      <c r="W82" s="110">
        <f>S82*F82</f>
        <v>78750</v>
      </c>
      <c r="X82" s="110">
        <f>T82*F82</f>
        <v>367500</v>
      </c>
      <c r="Y82" s="110">
        <f>U82*F82</f>
        <v>78750</v>
      </c>
      <c r="Z82" s="110">
        <f>V82*F82</f>
        <v>0</v>
      </c>
      <c r="AA82" s="112">
        <v>0.5</v>
      </c>
      <c r="AB82" s="224">
        <f t="shared" si="114"/>
        <v>25000</v>
      </c>
      <c r="AC82" s="112"/>
      <c r="AD82" s="224">
        <f t="shared" si="115"/>
        <v>0</v>
      </c>
      <c r="AE82" s="112"/>
      <c r="AF82" s="224">
        <f t="shared" si="116"/>
        <v>0</v>
      </c>
      <c r="AG82" s="112"/>
      <c r="AH82" s="224">
        <f t="shared" si="117"/>
        <v>0</v>
      </c>
      <c r="AI82" s="112"/>
      <c r="AJ82" s="224">
        <f t="shared" si="118"/>
        <v>0</v>
      </c>
      <c r="AK82" s="112"/>
      <c r="AL82" s="224">
        <f t="shared" si="119"/>
        <v>0</v>
      </c>
      <c r="AM82" s="112"/>
      <c r="AN82" s="224">
        <f t="shared" si="120"/>
        <v>0</v>
      </c>
      <c r="AO82" s="112"/>
      <c r="AP82" s="224">
        <f t="shared" si="121"/>
        <v>0</v>
      </c>
      <c r="AQ82" s="112"/>
      <c r="AR82" s="224">
        <f t="shared" si="122"/>
        <v>0</v>
      </c>
      <c r="AS82" s="112"/>
      <c r="AT82" s="224">
        <f t="shared" si="123"/>
        <v>0</v>
      </c>
      <c r="AU82" s="112">
        <v>10</v>
      </c>
      <c r="AV82" s="224">
        <f t="shared" si="124"/>
        <v>500000</v>
      </c>
      <c r="AW82" s="112"/>
      <c r="AX82" s="224">
        <f t="shared" si="125"/>
        <v>0</v>
      </c>
      <c r="AY82" s="43"/>
      <c r="AZ82" s="224">
        <f t="shared" si="126"/>
        <v>0</v>
      </c>
      <c r="BA82" s="112"/>
      <c r="BB82" s="224">
        <f t="shared" si="127"/>
        <v>0</v>
      </c>
      <c r="BC82" s="112"/>
      <c r="BD82" s="224">
        <f t="shared" si="128"/>
        <v>0</v>
      </c>
      <c r="BE82" s="112"/>
      <c r="BF82" s="224">
        <f t="shared" si="129"/>
        <v>0</v>
      </c>
      <c r="BG82" s="112"/>
      <c r="BH82" s="224">
        <f t="shared" si="130"/>
        <v>0</v>
      </c>
      <c r="BI82" s="112"/>
      <c r="BJ82" s="224">
        <f t="shared" si="131"/>
        <v>0</v>
      </c>
      <c r="BK82" s="142">
        <f t="shared" si="132"/>
        <v>10.5</v>
      </c>
      <c r="BL82" s="142">
        <f t="shared" si="142"/>
        <v>525000</v>
      </c>
      <c r="BM82" s="227" t="s">
        <v>702</v>
      </c>
      <c r="BN82" s="273"/>
      <c r="BO82" s="117"/>
      <c r="BP82" s="70"/>
      <c r="BQ82" s="123">
        <f t="shared" si="147"/>
        <v>525000</v>
      </c>
      <c r="BR82" s="70"/>
      <c r="BS82" s="98">
        <f t="shared" si="149"/>
        <v>525000</v>
      </c>
      <c r="BT82" s="70"/>
      <c r="BU82" s="70"/>
      <c r="BV82" s="70"/>
      <c r="BW82" s="99">
        <f t="shared" si="148"/>
        <v>525000</v>
      </c>
    </row>
    <row r="83" spans="1:83">
      <c r="A83" s="596"/>
      <c r="B83" s="141"/>
      <c r="C83" s="126"/>
      <c r="D83" s="120" t="s">
        <v>3</v>
      </c>
      <c r="E83" s="126"/>
      <c r="F83" s="126"/>
      <c r="G83" s="128">
        <f t="shared" ref="G83:AL83" si="153">SUM(G65:G82)</f>
        <v>881.5</v>
      </c>
      <c r="H83" s="128">
        <f t="shared" si="153"/>
        <v>158800100</v>
      </c>
      <c r="I83" s="128">
        <f t="shared" si="153"/>
        <v>7449520</v>
      </c>
      <c r="J83" s="128">
        <f t="shared" si="153"/>
        <v>29798080</v>
      </c>
      <c r="K83" s="128">
        <f t="shared" si="153"/>
        <v>0</v>
      </c>
      <c r="L83" s="128">
        <f t="shared" si="153"/>
        <v>0</v>
      </c>
      <c r="M83" s="128">
        <f t="shared" si="153"/>
        <v>0</v>
      </c>
      <c r="N83" s="128">
        <f t="shared" si="153"/>
        <v>121552500</v>
      </c>
      <c r="O83" s="128">
        <f t="shared" si="153"/>
        <v>0</v>
      </c>
      <c r="P83" s="128">
        <f t="shared" si="153"/>
        <v>0</v>
      </c>
      <c r="Q83" s="128">
        <f t="shared" si="153"/>
        <v>0</v>
      </c>
      <c r="R83" s="128">
        <f t="shared" si="153"/>
        <v>0</v>
      </c>
      <c r="S83" s="128">
        <f t="shared" si="153"/>
        <v>245.625</v>
      </c>
      <c r="T83" s="128">
        <f t="shared" si="153"/>
        <v>589.75000000000011</v>
      </c>
      <c r="U83" s="128">
        <f t="shared" si="153"/>
        <v>46.125</v>
      </c>
      <c r="V83" s="128">
        <f t="shared" si="153"/>
        <v>0</v>
      </c>
      <c r="W83" s="128">
        <f t="shared" si="153"/>
        <v>47205015</v>
      </c>
      <c r="X83" s="128">
        <f t="shared" si="153"/>
        <v>105357710</v>
      </c>
      <c r="Y83" s="128">
        <f t="shared" si="153"/>
        <v>6237375</v>
      </c>
      <c r="Z83" s="128">
        <f t="shared" si="153"/>
        <v>0</v>
      </c>
      <c r="AA83" s="128">
        <f t="shared" si="153"/>
        <v>92.5</v>
      </c>
      <c r="AB83" s="128">
        <f t="shared" si="153"/>
        <v>12897600</v>
      </c>
      <c r="AC83" s="128">
        <f t="shared" si="153"/>
        <v>15</v>
      </c>
      <c r="AD83" s="128">
        <f t="shared" si="153"/>
        <v>2943000</v>
      </c>
      <c r="AE83" s="128">
        <f t="shared" si="153"/>
        <v>64</v>
      </c>
      <c r="AF83" s="128">
        <f t="shared" si="153"/>
        <v>13109600</v>
      </c>
      <c r="AG83" s="128">
        <f t="shared" si="153"/>
        <v>106</v>
      </c>
      <c r="AH83" s="128">
        <f t="shared" si="153"/>
        <v>24303100</v>
      </c>
      <c r="AI83" s="128">
        <f t="shared" si="153"/>
        <v>32</v>
      </c>
      <c r="AJ83" s="128">
        <f t="shared" si="153"/>
        <v>6008000</v>
      </c>
      <c r="AK83" s="128">
        <f t="shared" si="153"/>
        <v>38</v>
      </c>
      <c r="AL83" s="128">
        <f t="shared" si="153"/>
        <v>8227500</v>
      </c>
      <c r="AM83" s="128">
        <f t="shared" ref="AM83:BR83" si="154">SUM(AM65:AM82)</f>
        <v>53</v>
      </c>
      <c r="AN83" s="128">
        <f t="shared" si="154"/>
        <v>12893800</v>
      </c>
      <c r="AO83" s="128">
        <f t="shared" si="154"/>
        <v>83</v>
      </c>
      <c r="AP83" s="128">
        <f t="shared" si="154"/>
        <v>12787500</v>
      </c>
      <c r="AQ83" s="128">
        <f t="shared" si="154"/>
        <v>12</v>
      </c>
      <c r="AR83" s="128">
        <f t="shared" si="154"/>
        <v>1767500</v>
      </c>
      <c r="AS83" s="128">
        <f t="shared" si="154"/>
        <v>40</v>
      </c>
      <c r="AT83" s="128">
        <f t="shared" si="154"/>
        <v>6511300</v>
      </c>
      <c r="AU83" s="128">
        <f t="shared" si="154"/>
        <v>50</v>
      </c>
      <c r="AV83" s="128">
        <f t="shared" si="154"/>
        <v>4805000</v>
      </c>
      <c r="AW83" s="128">
        <f t="shared" si="154"/>
        <v>16</v>
      </c>
      <c r="AX83" s="128">
        <f t="shared" si="154"/>
        <v>3532000</v>
      </c>
      <c r="AY83" s="128">
        <f t="shared" si="154"/>
        <v>23</v>
      </c>
      <c r="AZ83" s="128">
        <f t="shared" si="154"/>
        <v>2919000</v>
      </c>
      <c r="BA83" s="128">
        <f t="shared" si="154"/>
        <v>38</v>
      </c>
      <c r="BB83" s="128">
        <f t="shared" si="154"/>
        <v>6029000</v>
      </c>
      <c r="BC83" s="128">
        <f t="shared" si="154"/>
        <v>54</v>
      </c>
      <c r="BD83" s="128">
        <f t="shared" si="154"/>
        <v>9339000</v>
      </c>
      <c r="BE83" s="128">
        <f t="shared" si="154"/>
        <v>36</v>
      </c>
      <c r="BF83" s="128">
        <f t="shared" si="154"/>
        <v>8717400</v>
      </c>
      <c r="BG83" s="128">
        <f t="shared" si="154"/>
        <v>129</v>
      </c>
      <c r="BH83" s="128">
        <f t="shared" si="154"/>
        <v>22009800</v>
      </c>
      <c r="BI83" s="128">
        <f t="shared" si="154"/>
        <v>0</v>
      </c>
      <c r="BJ83" s="128">
        <f t="shared" si="154"/>
        <v>0</v>
      </c>
      <c r="BK83" s="128">
        <f t="shared" si="154"/>
        <v>881.5</v>
      </c>
      <c r="BL83" s="128">
        <f t="shared" si="154"/>
        <v>158800100</v>
      </c>
      <c r="BM83" s="128">
        <f t="shared" si="154"/>
        <v>0</v>
      </c>
      <c r="BN83" s="128">
        <f t="shared" si="154"/>
        <v>0</v>
      </c>
      <c r="BO83" s="128">
        <f t="shared" si="154"/>
        <v>0</v>
      </c>
      <c r="BP83" s="128">
        <f t="shared" si="154"/>
        <v>0</v>
      </c>
      <c r="BQ83" s="128">
        <f t="shared" si="154"/>
        <v>158800100</v>
      </c>
      <c r="BR83" s="128">
        <f t="shared" si="154"/>
        <v>0</v>
      </c>
      <c r="BS83" s="128">
        <f>SUM(BS65:BS82)</f>
        <v>158800100</v>
      </c>
      <c r="BT83" s="128">
        <f>SUM(BT65:BT82)</f>
        <v>0</v>
      </c>
      <c r="BU83" s="128">
        <f>SUM(BU65:BU82)</f>
        <v>0</v>
      </c>
      <c r="BV83" s="128">
        <f>SUM(BV65:BV82)</f>
        <v>0</v>
      </c>
      <c r="BW83" s="128">
        <f>SUM(BW65:BW82)</f>
        <v>158800100</v>
      </c>
    </row>
    <row r="84" spans="1:83" s="340" customFormat="1">
      <c r="A84" s="596"/>
      <c r="B84" s="409"/>
      <c r="C84" s="335"/>
      <c r="D84" s="336" t="s">
        <v>698</v>
      </c>
      <c r="E84" s="364"/>
      <c r="F84" s="337"/>
      <c r="G84" s="469">
        <f t="shared" ref="G84:AL84" si="155">G83+G63+G42+G35+G31</f>
        <v>15037.5</v>
      </c>
      <c r="H84" s="469">
        <f t="shared" si="155"/>
        <v>610734192</v>
      </c>
      <c r="I84" s="469">
        <f t="shared" si="155"/>
        <v>13959520</v>
      </c>
      <c r="J84" s="469">
        <f t="shared" si="155"/>
        <v>62348080</v>
      </c>
      <c r="K84" s="469">
        <f t="shared" si="155"/>
        <v>60000000</v>
      </c>
      <c r="L84" s="469">
        <f t="shared" si="155"/>
        <v>0</v>
      </c>
      <c r="M84" s="469">
        <f t="shared" si="155"/>
        <v>71750000</v>
      </c>
      <c r="N84" s="469">
        <f t="shared" si="155"/>
        <v>358328592</v>
      </c>
      <c r="O84" s="469">
        <f t="shared" si="155"/>
        <v>0</v>
      </c>
      <c r="P84" s="469">
        <f t="shared" si="155"/>
        <v>0</v>
      </c>
      <c r="Q84" s="469">
        <f t="shared" si="155"/>
        <v>4340000</v>
      </c>
      <c r="R84" s="469">
        <f t="shared" si="155"/>
        <v>40008000</v>
      </c>
      <c r="S84" s="469">
        <f t="shared" si="155"/>
        <v>5193.2250000000004</v>
      </c>
      <c r="T84" s="469">
        <f t="shared" si="155"/>
        <v>2030.1000000000001</v>
      </c>
      <c r="U84" s="469">
        <f t="shared" si="155"/>
        <v>2162.7750000000001</v>
      </c>
      <c r="V84" s="469">
        <f t="shared" si="155"/>
        <v>5644.4</v>
      </c>
      <c r="W84" s="469">
        <f t="shared" si="155"/>
        <v>186456947.19999999</v>
      </c>
      <c r="X84" s="469">
        <f t="shared" si="155"/>
        <v>153141119.19999999</v>
      </c>
      <c r="Y84" s="469">
        <f t="shared" si="155"/>
        <v>73232488.799999997</v>
      </c>
      <c r="Z84" s="469">
        <f t="shared" si="155"/>
        <v>178653636.80000001</v>
      </c>
      <c r="AA84" s="469">
        <f t="shared" si="155"/>
        <v>552.5</v>
      </c>
      <c r="AB84" s="469">
        <f t="shared" si="155"/>
        <v>40075100</v>
      </c>
      <c r="AC84" s="469">
        <f t="shared" si="155"/>
        <v>341</v>
      </c>
      <c r="AD84" s="469">
        <f t="shared" si="155"/>
        <v>20786000</v>
      </c>
      <c r="AE84" s="469">
        <f t="shared" si="155"/>
        <v>1237</v>
      </c>
      <c r="AF84" s="469">
        <f t="shared" si="155"/>
        <v>40909800</v>
      </c>
      <c r="AG84" s="469">
        <f t="shared" si="155"/>
        <v>1439</v>
      </c>
      <c r="AH84" s="469">
        <f t="shared" si="155"/>
        <v>52452100</v>
      </c>
      <c r="AI84" s="469">
        <f t="shared" si="155"/>
        <v>1350</v>
      </c>
      <c r="AJ84" s="469">
        <f t="shared" si="155"/>
        <v>32216710</v>
      </c>
      <c r="AK84" s="469">
        <f t="shared" si="155"/>
        <v>732</v>
      </c>
      <c r="AL84" s="469">
        <f t="shared" si="155"/>
        <v>33457500</v>
      </c>
      <c r="AM84" s="469">
        <f t="shared" ref="AM84:BR84" si="156">AM83+AM63+AM42+AM35+AM31</f>
        <v>571</v>
      </c>
      <c r="AN84" s="469">
        <f t="shared" si="156"/>
        <v>38486800</v>
      </c>
      <c r="AO84" s="469">
        <f t="shared" si="156"/>
        <v>583</v>
      </c>
      <c r="AP84" s="469">
        <f t="shared" si="156"/>
        <v>41405500</v>
      </c>
      <c r="AQ84" s="469">
        <f t="shared" si="156"/>
        <v>398</v>
      </c>
      <c r="AR84" s="469">
        <f t="shared" si="156"/>
        <v>12281500</v>
      </c>
      <c r="AS84" s="469">
        <f t="shared" si="156"/>
        <v>625</v>
      </c>
      <c r="AT84" s="469">
        <f t="shared" si="156"/>
        <v>34357300</v>
      </c>
      <c r="AU84" s="469">
        <f t="shared" si="156"/>
        <v>618</v>
      </c>
      <c r="AV84" s="469">
        <f t="shared" si="156"/>
        <v>27778000</v>
      </c>
      <c r="AW84" s="469">
        <f t="shared" si="156"/>
        <v>1501</v>
      </c>
      <c r="AX84" s="469">
        <f t="shared" si="156"/>
        <v>23893000</v>
      </c>
      <c r="AY84" s="469">
        <f t="shared" si="156"/>
        <v>584</v>
      </c>
      <c r="AZ84" s="469">
        <f t="shared" si="156"/>
        <v>38622500</v>
      </c>
      <c r="BA84" s="469">
        <f t="shared" si="156"/>
        <v>1119</v>
      </c>
      <c r="BB84" s="469">
        <f t="shared" si="156"/>
        <v>33117682</v>
      </c>
      <c r="BC84" s="469">
        <f t="shared" si="156"/>
        <v>1327</v>
      </c>
      <c r="BD84" s="469">
        <f t="shared" si="156"/>
        <v>39611000</v>
      </c>
      <c r="BE84" s="469">
        <f t="shared" si="156"/>
        <v>1229</v>
      </c>
      <c r="BF84" s="469">
        <f t="shared" si="156"/>
        <v>53208900</v>
      </c>
      <c r="BG84" s="469">
        <f t="shared" si="156"/>
        <v>831</v>
      </c>
      <c r="BH84" s="469">
        <f t="shared" si="156"/>
        <v>48074800</v>
      </c>
      <c r="BI84" s="469">
        <f t="shared" si="156"/>
        <v>0</v>
      </c>
      <c r="BJ84" s="469">
        <f t="shared" si="156"/>
        <v>0</v>
      </c>
      <c r="BK84" s="469">
        <f t="shared" si="156"/>
        <v>15037.5</v>
      </c>
      <c r="BL84" s="469">
        <f t="shared" si="156"/>
        <v>610734192</v>
      </c>
      <c r="BM84" s="469">
        <f t="shared" si="156"/>
        <v>0</v>
      </c>
      <c r="BN84" s="469">
        <f t="shared" si="156"/>
        <v>0</v>
      </c>
      <c r="BO84" s="469">
        <f t="shared" si="156"/>
        <v>437884092</v>
      </c>
      <c r="BP84" s="469">
        <f t="shared" si="156"/>
        <v>0</v>
      </c>
      <c r="BQ84" s="469">
        <f t="shared" si="156"/>
        <v>172850100</v>
      </c>
      <c r="BR84" s="469">
        <f t="shared" si="156"/>
        <v>0</v>
      </c>
      <c r="BS84" s="469">
        <f t="shared" ref="BS84:BW84" si="157">BS83+BS63+BS42+BS35+BS31</f>
        <v>610734192</v>
      </c>
      <c r="BT84" s="469">
        <f t="shared" si="157"/>
        <v>0</v>
      </c>
      <c r="BU84" s="469">
        <f t="shared" si="157"/>
        <v>0</v>
      </c>
      <c r="BV84" s="469">
        <f t="shared" si="157"/>
        <v>0</v>
      </c>
      <c r="BW84" s="469">
        <f t="shared" si="157"/>
        <v>610734192</v>
      </c>
    </row>
    <row r="85" spans="1:83" s="189" customFormat="1">
      <c r="A85" s="596"/>
      <c r="B85" s="410"/>
      <c r="C85" s="381"/>
      <c r="D85" s="411" t="s">
        <v>470</v>
      </c>
      <c r="E85" s="652"/>
      <c r="F85" s="652"/>
      <c r="G85" s="472">
        <f t="shared" ref="G85:AL85" si="158">G84+G21+G15</f>
        <v>21958.5</v>
      </c>
      <c r="H85" s="472">
        <f t="shared" si="158"/>
        <v>618595192</v>
      </c>
      <c r="I85" s="472">
        <f t="shared" si="158"/>
        <v>15531720</v>
      </c>
      <c r="J85" s="472">
        <f t="shared" si="158"/>
        <v>68636880</v>
      </c>
      <c r="K85" s="472">
        <f t="shared" si="158"/>
        <v>60000000</v>
      </c>
      <c r="L85" s="472">
        <f t="shared" si="158"/>
        <v>0</v>
      </c>
      <c r="M85" s="472">
        <f t="shared" si="158"/>
        <v>71750000</v>
      </c>
      <c r="N85" s="472">
        <f t="shared" si="158"/>
        <v>358328592</v>
      </c>
      <c r="O85" s="472">
        <f t="shared" si="158"/>
        <v>0</v>
      </c>
      <c r="P85" s="472">
        <f t="shared" si="158"/>
        <v>0</v>
      </c>
      <c r="Q85" s="472">
        <f t="shared" si="158"/>
        <v>4340000</v>
      </c>
      <c r="R85" s="472">
        <f t="shared" si="158"/>
        <v>40008000</v>
      </c>
      <c r="S85" s="472">
        <f t="shared" si="158"/>
        <v>6923.4750000000004</v>
      </c>
      <c r="T85" s="472">
        <f t="shared" si="158"/>
        <v>3760.3500000000004</v>
      </c>
      <c r="U85" s="472">
        <f t="shared" si="158"/>
        <v>3893.0250000000001</v>
      </c>
      <c r="V85" s="472">
        <f t="shared" si="158"/>
        <v>7374.65</v>
      </c>
      <c r="W85" s="472">
        <f t="shared" si="158"/>
        <v>188422197.19999999</v>
      </c>
      <c r="X85" s="472">
        <f t="shared" si="158"/>
        <v>155106369.19999999</v>
      </c>
      <c r="Y85" s="472">
        <f t="shared" si="158"/>
        <v>75197738.799999997</v>
      </c>
      <c r="Z85" s="472">
        <f t="shared" si="158"/>
        <v>180618886.80000001</v>
      </c>
      <c r="AA85" s="472">
        <f t="shared" si="158"/>
        <v>976.5</v>
      </c>
      <c r="AB85" s="472">
        <f t="shared" si="158"/>
        <v>40403100</v>
      </c>
      <c r="AC85" s="472">
        <f t="shared" si="158"/>
        <v>725</v>
      </c>
      <c r="AD85" s="472">
        <f t="shared" si="158"/>
        <v>21110000</v>
      </c>
      <c r="AE85" s="472">
        <f t="shared" si="158"/>
        <v>1661</v>
      </c>
      <c r="AF85" s="472">
        <f t="shared" si="158"/>
        <v>41237800</v>
      </c>
      <c r="AG85" s="472">
        <f t="shared" si="158"/>
        <v>1913</v>
      </c>
      <c r="AH85" s="472">
        <f t="shared" si="158"/>
        <v>52785100</v>
      </c>
      <c r="AI85" s="472">
        <f t="shared" si="158"/>
        <v>1734</v>
      </c>
      <c r="AJ85" s="472">
        <f t="shared" si="158"/>
        <v>32540710</v>
      </c>
      <c r="AK85" s="472">
        <f t="shared" si="158"/>
        <v>1156</v>
      </c>
      <c r="AL85" s="472">
        <f t="shared" si="158"/>
        <v>33785500</v>
      </c>
      <c r="AM85" s="472">
        <f t="shared" ref="AM85:BL85" si="159">AM84+AM21+AM15</f>
        <v>995</v>
      </c>
      <c r="AN85" s="472">
        <f t="shared" si="159"/>
        <v>38814800</v>
      </c>
      <c r="AO85" s="472">
        <f t="shared" si="159"/>
        <v>1019</v>
      </c>
      <c r="AP85" s="472">
        <f t="shared" si="159"/>
        <v>41877500</v>
      </c>
      <c r="AQ85" s="472">
        <f t="shared" si="159"/>
        <v>682</v>
      </c>
      <c r="AR85" s="472">
        <f t="shared" si="159"/>
        <v>12595500</v>
      </c>
      <c r="AS85" s="472">
        <f t="shared" si="159"/>
        <v>1009</v>
      </c>
      <c r="AT85" s="472">
        <f t="shared" si="159"/>
        <v>34681300</v>
      </c>
      <c r="AU85" s="472">
        <f t="shared" si="159"/>
        <v>1002</v>
      </c>
      <c r="AV85" s="472">
        <f t="shared" si="159"/>
        <v>28102000</v>
      </c>
      <c r="AW85" s="472">
        <f t="shared" si="159"/>
        <v>1897</v>
      </c>
      <c r="AX85" s="472">
        <f t="shared" si="159"/>
        <v>24361000</v>
      </c>
      <c r="AY85" s="472">
        <f t="shared" si="159"/>
        <v>968</v>
      </c>
      <c r="AZ85" s="472">
        <f t="shared" si="159"/>
        <v>38946500</v>
      </c>
      <c r="BA85" s="472">
        <f t="shared" si="159"/>
        <v>1543</v>
      </c>
      <c r="BB85" s="472">
        <f t="shared" si="159"/>
        <v>33445682</v>
      </c>
      <c r="BC85" s="472">
        <f t="shared" si="159"/>
        <v>1731</v>
      </c>
      <c r="BD85" s="472">
        <f t="shared" si="159"/>
        <v>39937000</v>
      </c>
      <c r="BE85" s="472">
        <f t="shared" si="159"/>
        <v>1665</v>
      </c>
      <c r="BF85" s="472">
        <f t="shared" si="159"/>
        <v>53680900</v>
      </c>
      <c r="BG85" s="472">
        <f t="shared" si="159"/>
        <v>1279</v>
      </c>
      <c r="BH85" s="472">
        <f t="shared" si="159"/>
        <v>48690800</v>
      </c>
      <c r="BI85" s="472">
        <f t="shared" si="159"/>
        <v>3</v>
      </c>
      <c r="BJ85" s="472">
        <f t="shared" si="159"/>
        <v>1600000</v>
      </c>
      <c r="BK85" s="472">
        <f t="shared" si="159"/>
        <v>21958.5</v>
      </c>
      <c r="BL85" s="472">
        <f t="shared" si="159"/>
        <v>618595192</v>
      </c>
      <c r="BM85" s="472"/>
      <c r="BN85" s="472">
        <f t="shared" ref="BN85:BW85" si="160">BN84+BN21+BN15</f>
        <v>0</v>
      </c>
      <c r="BO85" s="472">
        <f t="shared" si="160"/>
        <v>437884092</v>
      </c>
      <c r="BP85" s="472">
        <f t="shared" si="160"/>
        <v>7861000</v>
      </c>
      <c r="BQ85" s="472">
        <f t="shared" si="160"/>
        <v>172850100</v>
      </c>
      <c r="BR85" s="472">
        <f t="shared" si="160"/>
        <v>0</v>
      </c>
      <c r="BS85" s="472">
        <f t="shared" si="160"/>
        <v>618595192</v>
      </c>
      <c r="BT85" s="472">
        <f t="shared" si="160"/>
        <v>0</v>
      </c>
      <c r="BU85" s="472">
        <f t="shared" si="160"/>
        <v>0</v>
      </c>
      <c r="BV85" s="472">
        <f t="shared" si="160"/>
        <v>0</v>
      </c>
      <c r="BW85" s="472">
        <f t="shared" si="160"/>
        <v>618595192</v>
      </c>
    </row>
    <row r="86" spans="1:83">
      <c r="D86" s="31" t="s">
        <v>245</v>
      </c>
      <c r="G86" s="31"/>
      <c r="H86" s="31"/>
      <c r="N86" s="190"/>
      <c r="BL86" s="190"/>
    </row>
    <row r="87" spans="1:83">
      <c r="D87" s="31" t="s">
        <v>275</v>
      </c>
      <c r="G87" s="31"/>
      <c r="H87" s="31"/>
    </row>
    <row r="88" spans="1:83">
      <c r="D88" s="31" t="s">
        <v>276</v>
      </c>
      <c r="G88" s="31"/>
      <c r="H88" s="31"/>
    </row>
    <row r="89" spans="1:83">
      <c r="D89" s="31" t="s">
        <v>277</v>
      </c>
      <c r="G89" s="31"/>
      <c r="H89" s="31"/>
      <c r="K89" s="654"/>
    </row>
    <row r="90" spans="1:83">
      <c r="D90" s="31" t="s">
        <v>278</v>
      </c>
      <c r="G90" s="31"/>
      <c r="H90" s="31"/>
    </row>
    <row r="91" spans="1:83">
      <c r="D91" s="31" t="s">
        <v>279</v>
      </c>
      <c r="G91" s="31"/>
      <c r="H91" s="31"/>
    </row>
    <row r="92" spans="1:83">
      <c r="D92" s="31" t="s">
        <v>280</v>
      </c>
      <c r="G92" s="31"/>
      <c r="H92" s="31"/>
    </row>
    <row r="93" spans="1:83">
      <c r="D93" s="31" t="s">
        <v>281</v>
      </c>
      <c r="G93" s="31"/>
      <c r="H93" s="31"/>
    </row>
    <row r="94" spans="1:83">
      <c r="D94" s="31" t="s">
        <v>282</v>
      </c>
      <c r="G94" s="31"/>
      <c r="H94" s="31"/>
    </row>
    <row r="95" spans="1:83" s="166" customFormat="1">
      <c r="A95" s="31"/>
      <c r="B95" s="31"/>
      <c r="C95" s="31"/>
      <c r="D95" s="31" t="s">
        <v>283</v>
      </c>
      <c r="E95" s="31"/>
      <c r="F95" s="31"/>
      <c r="G95" s="31"/>
      <c r="H95" s="31"/>
      <c r="S95" s="638"/>
      <c r="T95" s="638"/>
      <c r="U95" s="638"/>
      <c r="V95" s="638"/>
      <c r="W95" s="639"/>
      <c r="X95" s="639"/>
      <c r="Y95" s="639"/>
      <c r="Z95" s="639"/>
      <c r="AY95" s="653"/>
      <c r="BE95" s="653"/>
      <c r="BM95" s="609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</row>
    <row r="96" spans="1:83" s="166" customFormat="1">
      <c r="A96" s="31"/>
      <c r="B96" s="31"/>
      <c r="C96" s="31"/>
      <c r="D96" s="31"/>
      <c r="E96" s="31"/>
      <c r="F96" s="31"/>
      <c r="G96" s="31"/>
      <c r="H96" s="31"/>
      <c r="S96" s="638"/>
      <c r="T96" s="638"/>
      <c r="U96" s="638"/>
      <c r="V96" s="638"/>
      <c r="W96" s="639"/>
      <c r="X96" s="639"/>
      <c r="Y96" s="639"/>
      <c r="Z96" s="639"/>
      <c r="AY96" s="653"/>
      <c r="BE96" s="653"/>
      <c r="BM96" s="609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</row>
  </sheetData>
  <mergeCells count="44">
    <mergeCell ref="A4:C4"/>
    <mergeCell ref="D4:R4"/>
    <mergeCell ref="A1:R1"/>
    <mergeCell ref="A2:C2"/>
    <mergeCell ref="D2:R2"/>
    <mergeCell ref="A3:C3"/>
    <mergeCell ref="D3:R3"/>
    <mergeCell ref="AG7:AH8"/>
    <mergeCell ref="A5:C5"/>
    <mergeCell ref="D5:R5"/>
    <mergeCell ref="A6:C6"/>
    <mergeCell ref="D6:R6"/>
    <mergeCell ref="A7:E7"/>
    <mergeCell ref="G7:H7"/>
    <mergeCell ref="I7:R7"/>
    <mergeCell ref="S7:V8"/>
    <mergeCell ref="W7:Z8"/>
    <mergeCell ref="AA7:AB8"/>
    <mergeCell ref="AC7:AD8"/>
    <mergeCell ref="AE7:AF8"/>
    <mergeCell ref="D8:D9"/>
    <mergeCell ref="E8:E9"/>
    <mergeCell ref="F8:F9"/>
    <mergeCell ref="AU7:AV8"/>
    <mergeCell ref="AW7:AX8"/>
    <mergeCell ref="AY7:AZ8"/>
    <mergeCell ref="BA7:BB8"/>
    <mergeCell ref="BC7:BD8"/>
    <mergeCell ref="G8:G9"/>
    <mergeCell ref="H8:H9"/>
    <mergeCell ref="BO8:BS8"/>
    <mergeCell ref="BT8:BV8"/>
    <mergeCell ref="BW8:BW9"/>
    <mergeCell ref="BG7:BH8"/>
    <mergeCell ref="BI7:BJ8"/>
    <mergeCell ref="BK7:BL8"/>
    <mergeCell ref="BN7:BN9"/>
    <mergeCell ref="BE7:BF8"/>
    <mergeCell ref="AI7:AJ8"/>
    <mergeCell ref="AK7:AL8"/>
    <mergeCell ref="AM7:AN8"/>
    <mergeCell ref="AO7:AP8"/>
    <mergeCell ref="AQ7:AR8"/>
    <mergeCell ref="AS7:AT8"/>
  </mergeCells>
  <pageMargins left="0.7" right="0.7" top="0.75" bottom="0.75" header="0.3" footer="0.3"/>
  <pageSetup paperSize="9" scale="1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A1:CE99"/>
  <sheetViews>
    <sheetView zoomScale="70" zoomScaleNormal="70" workbookViewId="0">
      <pane xSplit="7" ySplit="9" topLeftCell="BN73" activePane="bottomRight" state="frozen"/>
      <selection pane="topRight" activeCell="H1" sqref="H1"/>
      <selection pane="bottomLeft" activeCell="A10" sqref="A10"/>
      <selection pane="bottomRight" activeCell="K94" sqref="K94"/>
    </sheetView>
  </sheetViews>
  <sheetFormatPr defaultColWidth="9.140625" defaultRowHeight="15.75"/>
  <cols>
    <col min="1" max="1" width="11.28515625" style="64" hidden="1" customWidth="1"/>
    <col min="2" max="2" width="7.7109375" style="64" hidden="1" customWidth="1"/>
    <col min="3" max="3" width="36.140625" style="64" customWidth="1"/>
    <col min="4" max="4" width="13.140625" style="64" customWidth="1"/>
    <col min="5" max="5" width="12.42578125" style="194" customWidth="1"/>
    <col min="6" max="6" width="9.7109375" style="194" customWidth="1"/>
    <col min="7" max="7" width="17.5703125" style="194" customWidth="1"/>
    <col min="8" max="9" width="14.5703125" style="194" customWidth="1"/>
    <col min="10" max="10" width="15.28515625" style="194" customWidth="1"/>
    <col min="11" max="11" width="14" style="194" customWidth="1"/>
    <col min="12" max="12" width="14.7109375" style="194" bestFit="1" customWidth="1"/>
    <col min="13" max="13" width="15.140625" style="194" customWidth="1"/>
    <col min="14" max="14" width="5.5703125" style="194" customWidth="1"/>
    <col min="15" max="15" width="7.140625" style="194" customWidth="1"/>
    <col min="16" max="16" width="15.5703125" style="194" customWidth="1"/>
    <col min="17" max="17" width="8.28515625" style="194" bestFit="1" customWidth="1"/>
    <col min="18" max="18" width="8.7109375" style="220" customWidth="1"/>
    <col min="19" max="19" width="7.42578125" style="220" customWidth="1"/>
    <col min="20" max="20" width="7" style="220" customWidth="1"/>
    <col min="21" max="21" width="9.28515625" style="220" customWidth="1"/>
    <col min="22" max="22" width="13.42578125" style="195" customWidth="1"/>
    <col min="23" max="23" width="16.28515625" style="195" customWidth="1"/>
    <col min="24" max="24" width="15.28515625" style="195" customWidth="1"/>
    <col min="25" max="25" width="14.28515625" style="195" customWidth="1"/>
    <col min="26" max="26" width="8.140625" style="194" customWidth="1"/>
    <col min="27" max="27" width="13.140625" style="195" customWidth="1"/>
    <col min="28" max="28" width="8.42578125" style="194" customWidth="1"/>
    <col min="29" max="29" width="13.85546875" style="195" customWidth="1"/>
    <col min="30" max="30" width="6.28515625" style="194" customWidth="1"/>
    <col min="31" max="31" width="13.140625" style="195" customWidth="1"/>
    <col min="32" max="32" width="6.7109375" style="194" customWidth="1"/>
    <col min="33" max="33" width="13.140625" style="195" customWidth="1"/>
    <col min="34" max="34" width="6.7109375" style="194" customWidth="1"/>
    <col min="35" max="35" width="12.85546875" style="195" customWidth="1"/>
    <col min="36" max="36" width="8.5703125" style="194" customWidth="1"/>
    <col min="37" max="37" width="13.140625" style="195" customWidth="1"/>
    <col min="38" max="38" width="6.7109375" style="194" customWidth="1"/>
    <col min="39" max="39" width="15" style="195" customWidth="1"/>
    <col min="40" max="40" width="6" style="194" customWidth="1"/>
    <col min="41" max="41" width="15.42578125" style="195" customWidth="1"/>
    <col min="42" max="42" width="5.7109375" style="194" customWidth="1"/>
    <col min="43" max="43" width="13" style="195" customWidth="1"/>
    <col min="44" max="44" width="7" style="194" customWidth="1"/>
    <col min="45" max="45" width="13.5703125" style="195" customWidth="1"/>
    <col min="46" max="46" width="6" style="194" customWidth="1"/>
    <col min="47" max="47" width="14.140625" style="195" customWidth="1"/>
    <col min="48" max="48" width="6.5703125" style="194" customWidth="1"/>
    <col min="49" max="49" width="11.28515625" style="195" customWidth="1"/>
    <col min="50" max="50" width="7" style="194" customWidth="1"/>
    <col min="51" max="51" width="13.140625" style="195" customWidth="1"/>
    <col min="52" max="52" width="6.42578125" style="194" customWidth="1"/>
    <col min="53" max="53" width="13.140625" style="195" customWidth="1"/>
    <col min="54" max="54" width="5.140625" style="194" customWidth="1"/>
    <col min="55" max="55" width="13.140625" style="195" customWidth="1"/>
    <col min="56" max="56" width="7.7109375" style="194" customWidth="1"/>
    <col min="57" max="57" width="13.140625" style="195" customWidth="1"/>
    <col min="58" max="58" width="7.42578125" style="194" customWidth="1"/>
    <col min="59" max="59" width="15.7109375" style="195" customWidth="1"/>
    <col min="60" max="60" width="10.140625" style="194" customWidth="1"/>
    <col min="61" max="61" width="15" style="195" customWidth="1"/>
    <col min="62" max="62" width="11.140625" style="194" customWidth="1"/>
    <col min="63" max="63" width="17.42578125" style="195" customWidth="1"/>
    <col min="64" max="64" width="26.28515625" style="64" customWidth="1"/>
    <col min="65" max="65" width="5.28515625" style="64" customWidth="1"/>
    <col min="66" max="66" width="14.85546875" style="64" bestFit="1" customWidth="1"/>
    <col min="67" max="67" width="16.5703125" style="64" bestFit="1" customWidth="1"/>
    <col min="68" max="68" width="15.85546875" style="64" bestFit="1" customWidth="1"/>
    <col min="69" max="69" width="7.140625" style="64" customWidth="1"/>
    <col min="70" max="70" width="17.42578125" style="64" customWidth="1"/>
    <col min="71" max="71" width="14.7109375" style="64" bestFit="1" customWidth="1"/>
    <col min="72" max="73" width="15.85546875" style="64" bestFit="1" customWidth="1"/>
    <col min="74" max="74" width="17.28515625" style="64" customWidth="1"/>
    <col min="75" max="84" width="9.140625" style="64" customWidth="1"/>
    <col min="85" max="16384" width="9.140625" style="64"/>
  </cols>
  <sheetData>
    <row r="1" spans="1:74" ht="21.75" hidden="1" customHeight="1">
      <c r="A1" s="811" t="s">
        <v>169</v>
      </c>
      <c r="B1" s="811"/>
      <c r="C1" s="812" t="s">
        <v>163</v>
      </c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204"/>
      <c r="S1" s="204"/>
      <c r="T1" s="204"/>
      <c r="U1" s="204"/>
      <c r="V1" s="205"/>
      <c r="W1" s="205"/>
      <c r="X1" s="205"/>
      <c r="Y1" s="205"/>
    </row>
    <row r="2" spans="1:74" ht="18" hidden="1" customHeight="1">
      <c r="A2" s="811" t="s">
        <v>165</v>
      </c>
      <c r="B2" s="811"/>
      <c r="C2" s="812" t="s">
        <v>164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204"/>
      <c r="S2" s="204"/>
      <c r="T2" s="204"/>
      <c r="U2" s="204"/>
      <c r="V2" s="205"/>
      <c r="W2" s="205"/>
      <c r="X2" s="205"/>
      <c r="Y2" s="205"/>
      <c r="Z2" s="166" t="s">
        <v>398</v>
      </c>
      <c r="AA2" s="166">
        <v>8.34</v>
      </c>
      <c r="AB2" s="166"/>
      <c r="AC2" s="166">
        <v>2.85</v>
      </c>
      <c r="AD2" s="166"/>
      <c r="AE2" s="166">
        <v>8.3800000000000008</v>
      </c>
      <c r="AF2" s="166"/>
      <c r="AG2" s="166">
        <v>7.49</v>
      </c>
      <c r="AH2" s="166"/>
      <c r="AI2" s="166">
        <v>3.33</v>
      </c>
      <c r="AJ2" s="166"/>
      <c r="AK2" s="166">
        <v>6.64</v>
      </c>
      <c r="AL2" s="166"/>
      <c r="AM2" s="166">
        <v>3.67</v>
      </c>
      <c r="AN2" s="166"/>
      <c r="AO2" s="166">
        <v>5.0599999999999996</v>
      </c>
      <c r="AP2" s="166"/>
      <c r="AQ2" s="166">
        <v>5.94</v>
      </c>
      <c r="AR2" s="166"/>
      <c r="AS2" s="166">
        <v>6.85</v>
      </c>
      <c r="AT2" s="166"/>
      <c r="AU2" s="166">
        <v>7.45</v>
      </c>
      <c r="AV2" s="166"/>
      <c r="AW2" s="166">
        <v>5.13</v>
      </c>
      <c r="AX2" s="166"/>
      <c r="AY2" s="166">
        <v>4.8600000000000003</v>
      </c>
      <c r="AZ2" s="166"/>
      <c r="BA2" s="166">
        <v>5.79</v>
      </c>
      <c r="BB2" s="166"/>
      <c r="BC2" s="166">
        <v>5.3</v>
      </c>
      <c r="BD2" s="166"/>
      <c r="BE2" s="166">
        <v>3.47</v>
      </c>
      <c r="BF2" s="166"/>
      <c r="BG2" s="166">
        <v>9.42</v>
      </c>
      <c r="BH2" s="166"/>
      <c r="BI2" s="166"/>
      <c r="BJ2" s="166"/>
      <c r="BK2" s="166"/>
    </row>
    <row r="3" spans="1:74" ht="18.75" hidden="1" customHeight="1">
      <c r="A3" s="811" t="s">
        <v>166</v>
      </c>
      <c r="B3" s="811"/>
      <c r="C3" s="812" t="s">
        <v>386</v>
      </c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204"/>
      <c r="S3" s="204"/>
      <c r="T3" s="204"/>
      <c r="U3" s="204"/>
      <c r="V3" s="205"/>
      <c r="W3" s="205"/>
      <c r="X3" s="205"/>
      <c r="Y3" s="205"/>
      <c r="Z3" s="166" t="s">
        <v>396</v>
      </c>
      <c r="AA3" s="166">
        <v>48</v>
      </c>
      <c r="AB3" s="166"/>
      <c r="AC3" s="166">
        <v>23</v>
      </c>
      <c r="AD3" s="166"/>
      <c r="AE3" s="166">
        <v>80</v>
      </c>
      <c r="AF3" s="166"/>
      <c r="AG3" s="166">
        <v>105</v>
      </c>
      <c r="AH3" s="166"/>
      <c r="AI3" s="166">
        <v>43</v>
      </c>
      <c r="AJ3" s="166"/>
      <c r="AK3" s="166">
        <v>75</v>
      </c>
      <c r="AL3" s="166"/>
      <c r="AM3" s="166">
        <v>41</v>
      </c>
      <c r="AN3" s="166"/>
      <c r="AO3" s="166">
        <v>101</v>
      </c>
      <c r="AP3" s="166"/>
      <c r="AQ3" s="166">
        <v>8</v>
      </c>
      <c r="AR3" s="166"/>
      <c r="AS3" s="166">
        <v>33</v>
      </c>
      <c r="AT3" s="166"/>
      <c r="AU3" s="166">
        <v>53</v>
      </c>
      <c r="AV3" s="166"/>
      <c r="AW3" s="166">
        <v>52</v>
      </c>
      <c r="AX3" s="166"/>
      <c r="AY3" s="166">
        <v>76</v>
      </c>
      <c r="AZ3" s="166"/>
      <c r="BA3" s="166">
        <v>82</v>
      </c>
      <c r="BB3" s="166"/>
      <c r="BC3" s="166">
        <v>104</v>
      </c>
      <c r="BD3" s="166"/>
      <c r="BE3" s="166">
        <v>147</v>
      </c>
      <c r="BF3" s="166"/>
      <c r="BG3" s="166">
        <v>54</v>
      </c>
      <c r="BH3" s="166"/>
      <c r="BI3" s="166"/>
      <c r="BJ3" s="166"/>
      <c r="BK3" s="166"/>
    </row>
    <row r="4" spans="1:74" ht="16.5" customHeight="1">
      <c r="A4" s="811" t="s">
        <v>184</v>
      </c>
      <c r="B4" s="811"/>
      <c r="C4" s="812" t="s">
        <v>93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204"/>
      <c r="S4" s="204"/>
      <c r="T4" s="204"/>
      <c r="U4" s="204"/>
      <c r="V4" s="205"/>
      <c r="W4" s="205"/>
      <c r="X4" s="205"/>
      <c r="Y4" s="205"/>
      <c r="Z4" s="166" t="s">
        <v>397</v>
      </c>
      <c r="AA4" s="190">
        <f>AA3/1125*100</f>
        <v>4.2666666666666666</v>
      </c>
      <c r="AB4" s="190">
        <f t="shared" ref="AB4:BG4" si="0">AB3/1125*100</f>
        <v>0</v>
      </c>
      <c r="AC4" s="190">
        <f t="shared" si="0"/>
        <v>2.0444444444444447</v>
      </c>
      <c r="AD4" s="190">
        <f t="shared" si="0"/>
        <v>0</v>
      </c>
      <c r="AE4" s="190">
        <f t="shared" si="0"/>
        <v>7.1111111111111107</v>
      </c>
      <c r="AF4" s="190">
        <f t="shared" si="0"/>
        <v>0</v>
      </c>
      <c r="AG4" s="190">
        <f t="shared" si="0"/>
        <v>9.3333333333333339</v>
      </c>
      <c r="AH4" s="190">
        <f t="shared" si="0"/>
        <v>0</v>
      </c>
      <c r="AI4" s="190">
        <f t="shared" si="0"/>
        <v>3.822222222222222</v>
      </c>
      <c r="AJ4" s="190">
        <f t="shared" si="0"/>
        <v>0</v>
      </c>
      <c r="AK4" s="190">
        <f t="shared" si="0"/>
        <v>6.666666666666667</v>
      </c>
      <c r="AL4" s="190">
        <f t="shared" si="0"/>
        <v>0</v>
      </c>
      <c r="AM4" s="190">
        <f t="shared" si="0"/>
        <v>3.6444444444444448</v>
      </c>
      <c r="AN4" s="190">
        <f t="shared" si="0"/>
        <v>0</v>
      </c>
      <c r="AO4" s="190">
        <f t="shared" si="0"/>
        <v>8.9777777777777779</v>
      </c>
      <c r="AP4" s="190">
        <f t="shared" si="0"/>
        <v>0</v>
      </c>
      <c r="AQ4" s="190">
        <f t="shared" si="0"/>
        <v>0.71111111111111114</v>
      </c>
      <c r="AR4" s="190">
        <f t="shared" si="0"/>
        <v>0</v>
      </c>
      <c r="AS4" s="190">
        <f t="shared" si="0"/>
        <v>2.9333333333333331</v>
      </c>
      <c r="AT4" s="190">
        <f t="shared" si="0"/>
        <v>0</v>
      </c>
      <c r="AU4" s="190">
        <f t="shared" si="0"/>
        <v>4.7111111111111112</v>
      </c>
      <c r="AV4" s="190">
        <f t="shared" si="0"/>
        <v>0</v>
      </c>
      <c r="AW4" s="190">
        <f t="shared" si="0"/>
        <v>4.6222222222222218</v>
      </c>
      <c r="AX4" s="190">
        <f t="shared" si="0"/>
        <v>0</v>
      </c>
      <c r="AY4" s="190">
        <f t="shared" si="0"/>
        <v>6.7555555555555546</v>
      </c>
      <c r="AZ4" s="190">
        <f t="shared" si="0"/>
        <v>0</v>
      </c>
      <c r="BA4" s="190">
        <f t="shared" si="0"/>
        <v>7.2888888888888896</v>
      </c>
      <c r="BB4" s="190">
        <f t="shared" si="0"/>
        <v>0</v>
      </c>
      <c r="BC4" s="190">
        <f t="shared" si="0"/>
        <v>9.2444444444444436</v>
      </c>
      <c r="BD4" s="190">
        <f t="shared" si="0"/>
        <v>0</v>
      </c>
      <c r="BE4" s="190">
        <f t="shared" si="0"/>
        <v>13.066666666666665</v>
      </c>
      <c r="BF4" s="190">
        <f t="shared" si="0"/>
        <v>0</v>
      </c>
      <c r="BG4" s="190">
        <f t="shared" si="0"/>
        <v>4.8</v>
      </c>
      <c r="BH4" s="166"/>
      <c r="BI4" s="166"/>
      <c r="BJ4" s="166"/>
      <c r="BK4" s="166"/>
    </row>
    <row r="5" spans="1:74" ht="18.600000000000001" customHeight="1">
      <c r="A5" s="811" t="s">
        <v>185</v>
      </c>
      <c r="B5" s="811"/>
      <c r="C5" s="812" t="s">
        <v>186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204"/>
      <c r="S5" s="204"/>
      <c r="T5" s="204"/>
      <c r="U5" s="204"/>
      <c r="V5" s="205"/>
      <c r="W5" s="205"/>
      <c r="X5" s="205"/>
      <c r="Y5" s="205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</row>
    <row r="6" spans="1:74" ht="24" customHeight="1">
      <c r="A6" s="799"/>
      <c r="B6" s="799"/>
      <c r="C6" s="799"/>
      <c r="D6" s="799"/>
      <c r="E6" s="813" t="s">
        <v>21</v>
      </c>
      <c r="F6" s="813"/>
      <c r="G6" s="813"/>
      <c r="H6" s="790" t="s">
        <v>162</v>
      </c>
      <c r="I6" s="791"/>
      <c r="J6" s="791"/>
      <c r="K6" s="791"/>
      <c r="L6" s="791"/>
      <c r="M6" s="791"/>
      <c r="N6" s="791"/>
      <c r="O6" s="791"/>
      <c r="P6" s="791"/>
      <c r="Q6" s="792"/>
      <c r="R6" s="801" t="s">
        <v>60</v>
      </c>
      <c r="S6" s="802"/>
      <c r="T6" s="802"/>
      <c r="U6" s="803"/>
      <c r="V6" s="807" t="s">
        <v>38</v>
      </c>
      <c r="W6" s="808"/>
      <c r="X6" s="808"/>
      <c r="Y6" s="808"/>
      <c r="Z6" s="798" t="s">
        <v>192</v>
      </c>
      <c r="AA6" s="798"/>
      <c r="AB6" s="798" t="s">
        <v>193</v>
      </c>
      <c r="AC6" s="798"/>
      <c r="AD6" s="798" t="s">
        <v>194</v>
      </c>
      <c r="AE6" s="798"/>
      <c r="AF6" s="798" t="s">
        <v>195</v>
      </c>
      <c r="AG6" s="798"/>
      <c r="AH6" s="798" t="s">
        <v>196</v>
      </c>
      <c r="AI6" s="798"/>
      <c r="AJ6" s="798" t="s">
        <v>197</v>
      </c>
      <c r="AK6" s="798"/>
      <c r="AL6" s="798" t="s">
        <v>198</v>
      </c>
      <c r="AM6" s="798"/>
      <c r="AN6" s="798" t="s">
        <v>199</v>
      </c>
      <c r="AO6" s="798"/>
      <c r="AP6" s="798" t="s">
        <v>200</v>
      </c>
      <c r="AQ6" s="798"/>
      <c r="AR6" s="798" t="s">
        <v>201</v>
      </c>
      <c r="AS6" s="798"/>
      <c r="AT6" s="798" t="s">
        <v>202</v>
      </c>
      <c r="AU6" s="798"/>
      <c r="AV6" s="798" t="s">
        <v>203</v>
      </c>
      <c r="AW6" s="798"/>
      <c r="AX6" s="798" t="s">
        <v>204</v>
      </c>
      <c r="AY6" s="798"/>
      <c r="AZ6" s="798" t="s">
        <v>205</v>
      </c>
      <c r="BA6" s="798"/>
      <c r="BB6" s="798" t="s">
        <v>206</v>
      </c>
      <c r="BC6" s="798"/>
      <c r="BD6" s="798" t="s">
        <v>207</v>
      </c>
      <c r="BE6" s="798"/>
      <c r="BF6" s="798" t="s">
        <v>208</v>
      </c>
      <c r="BG6" s="798"/>
      <c r="BH6" s="798" t="s">
        <v>209</v>
      </c>
      <c r="BI6" s="798"/>
      <c r="BJ6" s="798" t="s">
        <v>17</v>
      </c>
      <c r="BK6" s="798"/>
      <c r="BL6" s="756" t="s">
        <v>244</v>
      </c>
    </row>
    <row r="7" spans="1:74" ht="15" customHeight="1">
      <c r="A7" s="185" t="s">
        <v>13</v>
      </c>
      <c r="B7" s="185" t="s">
        <v>1</v>
      </c>
      <c r="C7" s="799" t="s">
        <v>12</v>
      </c>
      <c r="D7" s="566" t="s">
        <v>14</v>
      </c>
      <c r="E7" s="568"/>
      <c r="F7" s="568"/>
      <c r="G7" s="800" t="s">
        <v>191</v>
      </c>
      <c r="H7" s="48" t="s">
        <v>212</v>
      </c>
      <c r="I7" s="48" t="s">
        <v>213</v>
      </c>
      <c r="J7" s="48" t="s">
        <v>214</v>
      </c>
      <c r="K7" s="48" t="s">
        <v>215</v>
      </c>
      <c r="L7" s="48" t="s">
        <v>216</v>
      </c>
      <c r="M7" s="48" t="s">
        <v>217</v>
      </c>
      <c r="N7" s="48" t="s">
        <v>218</v>
      </c>
      <c r="O7" s="48" t="s">
        <v>219</v>
      </c>
      <c r="P7" s="48" t="s">
        <v>220</v>
      </c>
      <c r="Q7" s="48" t="s">
        <v>221</v>
      </c>
      <c r="R7" s="804"/>
      <c r="S7" s="805"/>
      <c r="T7" s="805"/>
      <c r="U7" s="806"/>
      <c r="V7" s="809"/>
      <c r="W7" s="810"/>
      <c r="X7" s="810"/>
      <c r="Y7" s="810"/>
      <c r="Z7" s="798"/>
      <c r="AA7" s="798"/>
      <c r="AB7" s="798" t="s">
        <v>43</v>
      </c>
      <c r="AC7" s="798"/>
      <c r="AD7" s="798" t="s">
        <v>44</v>
      </c>
      <c r="AE7" s="798"/>
      <c r="AF7" s="798" t="s">
        <v>45</v>
      </c>
      <c r="AG7" s="798"/>
      <c r="AH7" s="798" t="s">
        <v>46</v>
      </c>
      <c r="AI7" s="798"/>
      <c r="AJ7" s="798" t="s">
        <v>47</v>
      </c>
      <c r="AK7" s="798"/>
      <c r="AL7" s="798" t="s">
        <v>48</v>
      </c>
      <c r="AM7" s="798"/>
      <c r="AN7" s="798" t="s">
        <v>49</v>
      </c>
      <c r="AO7" s="798"/>
      <c r="AP7" s="798" t="s">
        <v>50</v>
      </c>
      <c r="AQ7" s="798"/>
      <c r="AR7" s="798" t="s">
        <v>51</v>
      </c>
      <c r="AS7" s="798"/>
      <c r="AT7" s="798" t="s">
        <v>52</v>
      </c>
      <c r="AU7" s="798"/>
      <c r="AV7" s="798" t="s">
        <v>53</v>
      </c>
      <c r="AW7" s="798"/>
      <c r="AX7" s="798" t="s">
        <v>54</v>
      </c>
      <c r="AY7" s="798"/>
      <c r="AZ7" s="798" t="s">
        <v>55</v>
      </c>
      <c r="BA7" s="798"/>
      <c r="BB7" s="798" t="s">
        <v>40</v>
      </c>
      <c r="BC7" s="798"/>
      <c r="BD7" s="798" t="s">
        <v>37</v>
      </c>
      <c r="BE7" s="798"/>
      <c r="BF7" s="798"/>
      <c r="BG7" s="798"/>
      <c r="BH7" s="798"/>
      <c r="BI7" s="798"/>
      <c r="BJ7" s="798"/>
      <c r="BK7" s="798"/>
      <c r="BL7" s="756"/>
      <c r="BN7" s="755" t="s">
        <v>242</v>
      </c>
      <c r="BO7" s="755"/>
      <c r="BP7" s="755"/>
      <c r="BQ7" s="755"/>
      <c r="BR7" s="755"/>
      <c r="BS7" s="755" t="s">
        <v>243</v>
      </c>
      <c r="BT7" s="755"/>
      <c r="BU7" s="755"/>
      <c r="BV7" s="756" t="s">
        <v>17</v>
      </c>
    </row>
    <row r="8" spans="1:74" ht="42" customHeight="1">
      <c r="A8" s="185"/>
      <c r="B8" s="185" t="s">
        <v>2</v>
      </c>
      <c r="C8" s="799"/>
      <c r="D8" s="566"/>
      <c r="E8" s="567" t="s">
        <v>35</v>
      </c>
      <c r="F8" s="567" t="s">
        <v>23</v>
      </c>
      <c r="G8" s="800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206" t="s">
        <v>7</v>
      </c>
      <c r="S8" s="206" t="s">
        <v>8</v>
      </c>
      <c r="T8" s="206" t="s">
        <v>9</v>
      </c>
      <c r="U8" s="206" t="s">
        <v>10</v>
      </c>
      <c r="V8" s="207" t="s">
        <v>7</v>
      </c>
      <c r="W8" s="207" t="s">
        <v>8</v>
      </c>
      <c r="X8" s="207" t="s">
        <v>9</v>
      </c>
      <c r="Y8" s="208" t="s">
        <v>10</v>
      </c>
      <c r="Z8" s="200" t="s">
        <v>14</v>
      </c>
      <c r="AA8" s="209" t="s">
        <v>15</v>
      </c>
      <c r="AB8" s="200" t="s">
        <v>14</v>
      </c>
      <c r="AC8" s="209" t="s">
        <v>15</v>
      </c>
      <c r="AD8" s="200" t="s">
        <v>14</v>
      </c>
      <c r="AE8" s="209" t="s">
        <v>15</v>
      </c>
      <c r="AF8" s="200" t="s">
        <v>14</v>
      </c>
      <c r="AG8" s="209" t="s">
        <v>15</v>
      </c>
      <c r="AH8" s="200" t="s">
        <v>14</v>
      </c>
      <c r="AI8" s="209" t="s">
        <v>15</v>
      </c>
      <c r="AJ8" s="200" t="s">
        <v>14</v>
      </c>
      <c r="AK8" s="209" t="s">
        <v>15</v>
      </c>
      <c r="AL8" s="200" t="s">
        <v>14</v>
      </c>
      <c r="AM8" s="209" t="s">
        <v>15</v>
      </c>
      <c r="AN8" s="200" t="s">
        <v>14</v>
      </c>
      <c r="AO8" s="209" t="s">
        <v>15</v>
      </c>
      <c r="AP8" s="200" t="s">
        <v>14</v>
      </c>
      <c r="AQ8" s="209" t="s">
        <v>15</v>
      </c>
      <c r="AR8" s="200" t="s">
        <v>14</v>
      </c>
      <c r="AS8" s="209" t="s">
        <v>15</v>
      </c>
      <c r="AT8" s="200" t="s">
        <v>14</v>
      </c>
      <c r="AU8" s="209" t="s">
        <v>15</v>
      </c>
      <c r="AV8" s="200" t="s">
        <v>14</v>
      </c>
      <c r="AW8" s="209" t="s">
        <v>15</v>
      </c>
      <c r="AX8" s="200" t="s">
        <v>14</v>
      </c>
      <c r="AY8" s="209" t="s">
        <v>15</v>
      </c>
      <c r="AZ8" s="200" t="s">
        <v>14</v>
      </c>
      <c r="BA8" s="209" t="s">
        <v>15</v>
      </c>
      <c r="BB8" s="200" t="s">
        <v>14</v>
      </c>
      <c r="BC8" s="209" t="s">
        <v>15</v>
      </c>
      <c r="BD8" s="200" t="s">
        <v>14</v>
      </c>
      <c r="BE8" s="209" t="s">
        <v>15</v>
      </c>
      <c r="BF8" s="200" t="s">
        <v>14</v>
      </c>
      <c r="BG8" s="209" t="s">
        <v>15</v>
      </c>
      <c r="BH8" s="200" t="s">
        <v>14</v>
      </c>
      <c r="BI8" s="209" t="s">
        <v>15</v>
      </c>
      <c r="BJ8" s="200" t="s">
        <v>14</v>
      </c>
      <c r="BK8" s="209" t="s">
        <v>15</v>
      </c>
      <c r="BL8" s="756"/>
      <c r="BN8" s="210" t="s">
        <v>233</v>
      </c>
      <c r="BO8" s="211" t="s">
        <v>234</v>
      </c>
      <c r="BP8" s="211" t="s">
        <v>235</v>
      </c>
      <c r="BQ8" s="565" t="s">
        <v>236</v>
      </c>
      <c r="BR8" s="212" t="s">
        <v>237</v>
      </c>
      <c r="BS8" s="211" t="s">
        <v>238</v>
      </c>
      <c r="BT8" s="211" t="s">
        <v>239</v>
      </c>
      <c r="BU8" s="212" t="s">
        <v>240</v>
      </c>
      <c r="BV8" s="756"/>
    </row>
    <row r="9" spans="1:74" s="59" customFormat="1">
      <c r="A9" s="432"/>
      <c r="B9" s="93"/>
      <c r="C9" s="309" t="s">
        <v>451</v>
      </c>
      <c r="D9" s="184"/>
      <c r="E9" s="362"/>
      <c r="F9" s="308"/>
      <c r="G9" s="308" t="s">
        <v>36</v>
      </c>
      <c r="H9" s="362"/>
      <c r="I9" s="567"/>
      <c r="J9" s="567"/>
      <c r="K9" s="567"/>
      <c r="L9" s="567"/>
      <c r="M9" s="567"/>
      <c r="N9" s="567"/>
      <c r="O9" s="568"/>
      <c r="P9" s="568"/>
      <c r="Q9" s="568"/>
      <c r="R9" s="206"/>
      <c r="S9" s="206"/>
      <c r="T9" s="206"/>
      <c r="U9" s="206"/>
      <c r="V9" s="207"/>
      <c r="W9" s="207"/>
      <c r="X9" s="207"/>
      <c r="Y9" s="207"/>
      <c r="Z9" s="568"/>
      <c r="AA9" s="207"/>
      <c r="AB9" s="568"/>
      <c r="AC9" s="207"/>
      <c r="AD9" s="568"/>
      <c r="AE9" s="207"/>
      <c r="AF9" s="568"/>
      <c r="AG9" s="207"/>
      <c r="AH9" s="568"/>
      <c r="AI9" s="207"/>
      <c r="AJ9" s="568"/>
      <c r="AK9" s="207"/>
      <c r="AL9" s="568"/>
      <c r="AM9" s="207"/>
      <c r="AN9" s="568"/>
      <c r="AO9" s="207"/>
      <c r="AP9" s="568"/>
      <c r="AQ9" s="207"/>
      <c r="AR9" s="568"/>
      <c r="AS9" s="207"/>
      <c r="AT9" s="568"/>
      <c r="AU9" s="207"/>
      <c r="AV9" s="568"/>
      <c r="AW9" s="207"/>
      <c r="AX9" s="568"/>
      <c r="AY9" s="207"/>
      <c r="AZ9" s="568"/>
      <c r="BA9" s="207"/>
      <c r="BB9" s="568"/>
      <c r="BC9" s="207"/>
      <c r="BD9" s="568"/>
      <c r="BE9" s="207"/>
      <c r="BF9" s="568"/>
      <c r="BG9" s="207"/>
      <c r="BH9" s="568"/>
      <c r="BI9" s="207"/>
      <c r="BJ9" s="568"/>
      <c r="BK9" s="207"/>
      <c r="BL9" s="362"/>
      <c r="BN9" s="69"/>
      <c r="BO9" s="69"/>
      <c r="BP9" s="69"/>
      <c r="BQ9" s="69"/>
      <c r="BR9" s="69"/>
      <c r="BS9" s="69"/>
      <c r="BT9" s="69"/>
      <c r="BU9" s="69"/>
      <c r="BV9" s="108">
        <f t="shared" ref="BV9:BV17" si="1">BR9+BU9</f>
        <v>0</v>
      </c>
    </row>
    <row r="10" spans="1:74" s="59" customFormat="1">
      <c r="A10" s="433"/>
      <c r="B10" s="93"/>
      <c r="C10" s="309" t="s">
        <v>580</v>
      </c>
      <c r="D10" s="362"/>
      <c r="E10" s="362"/>
      <c r="F10" s="308"/>
      <c r="G10" s="308" t="s">
        <v>36</v>
      </c>
      <c r="H10" s="184"/>
      <c r="I10" s="214"/>
      <c r="J10" s="214"/>
      <c r="K10" s="214"/>
      <c r="L10" s="214"/>
      <c r="M10" s="214"/>
      <c r="N10" s="214"/>
      <c r="O10" s="203"/>
      <c r="P10" s="203"/>
      <c r="Q10" s="203"/>
      <c r="R10" s="148"/>
      <c r="S10" s="148"/>
      <c r="T10" s="148"/>
      <c r="U10" s="148"/>
      <c r="V10" s="150"/>
      <c r="W10" s="150"/>
      <c r="X10" s="150"/>
      <c r="Y10" s="150"/>
      <c r="Z10" s="203"/>
      <c r="AA10" s="150"/>
      <c r="AB10" s="203"/>
      <c r="AC10" s="150"/>
      <c r="AD10" s="203"/>
      <c r="AE10" s="150"/>
      <c r="AF10" s="203"/>
      <c r="AG10" s="150"/>
      <c r="AH10" s="203"/>
      <c r="AI10" s="150"/>
      <c r="AJ10" s="203"/>
      <c r="AK10" s="150"/>
      <c r="AL10" s="203"/>
      <c r="AM10" s="150"/>
      <c r="AN10" s="203"/>
      <c r="AO10" s="150"/>
      <c r="AP10" s="203"/>
      <c r="AQ10" s="150"/>
      <c r="AR10" s="203"/>
      <c r="AS10" s="150"/>
      <c r="AT10" s="203"/>
      <c r="AU10" s="150"/>
      <c r="AV10" s="203"/>
      <c r="AW10" s="150"/>
      <c r="AX10" s="203"/>
      <c r="AY10" s="150"/>
      <c r="AZ10" s="203"/>
      <c r="BA10" s="150"/>
      <c r="BB10" s="203"/>
      <c r="BC10" s="150"/>
      <c r="BD10" s="203"/>
      <c r="BE10" s="150"/>
      <c r="BF10" s="203"/>
      <c r="BG10" s="150"/>
      <c r="BH10" s="203"/>
      <c r="BI10" s="150"/>
      <c r="BJ10" s="224"/>
      <c r="BK10" s="224"/>
      <c r="BL10" s="362"/>
      <c r="BN10" s="69"/>
      <c r="BO10" s="69"/>
      <c r="BP10" s="69"/>
      <c r="BQ10" s="69"/>
      <c r="BR10" s="69">
        <f>BN10+BO10+BP10+BQ10</f>
        <v>0</v>
      </c>
      <c r="BS10" s="69"/>
      <c r="BT10" s="69"/>
      <c r="BU10" s="69">
        <f>BS10+BT10</f>
        <v>0</v>
      </c>
      <c r="BV10" s="108">
        <f t="shared" si="1"/>
        <v>0</v>
      </c>
    </row>
    <row r="11" spans="1:74" s="59" customFormat="1">
      <c r="A11" s="433"/>
      <c r="B11" s="93"/>
      <c r="C11" s="309" t="s">
        <v>581</v>
      </c>
      <c r="D11" s="362"/>
      <c r="E11" s="362"/>
      <c r="F11" s="308"/>
      <c r="G11" s="308" t="s">
        <v>36</v>
      </c>
      <c r="H11" s="184"/>
      <c r="I11" s="215"/>
      <c r="J11" s="215"/>
      <c r="K11" s="215"/>
      <c r="L11" s="215"/>
      <c r="M11" s="215"/>
      <c r="N11" s="215"/>
      <c r="O11" s="215"/>
      <c r="P11" s="215"/>
      <c r="Q11" s="215"/>
      <c r="R11" s="148"/>
      <c r="S11" s="148"/>
      <c r="T11" s="148"/>
      <c r="U11" s="148"/>
      <c r="V11" s="150"/>
      <c r="W11" s="150"/>
      <c r="X11" s="150"/>
      <c r="Y11" s="150"/>
      <c r="Z11" s="203"/>
      <c r="AA11" s="150"/>
      <c r="AB11" s="203"/>
      <c r="AC11" s="150"/>
      <c r="AD11" s="203"/>
      <c r="AE11" s="150"/>
      <c r="AF11" s="203"/>
      <c r="AG11" s="150"/>
      <c r="AH11" s="203"/>
      <c r="AI11" s="150"/>
      <c r="AJ11" s="203"/>
      <c r="AK11" s="150"/>
      <c r="AL11" s="203"/>
      <c r="AM11" s="150"/>
      <c r="AN11" s="203"/>
      <c r="AO11" s="150"/>
      <c r="AP11" s="203"/>
      <c r="AQ11" s="150"/>
      <c r="AR11" s="203"/>
      <c r="AS11" s="150"/>
      <c r="AT11" s="203"/>
      <c r="AU11" s="150"/>
      <c r="AV11" s="203"/>
      <c r="AW11" s="150"/>
      <c r="AX11" s="203"/>
      <c r="AY11" s="150"/>
      <c r="AZ11" s="203"/>
      <c r="BA11" s="150"/>
      <c r="BB11" s="203"/>
      <c r="BC11" s="150"/>
      <c r="BD11" s="203"/>
      <c r="BE11" s="150"/>
      <c r="BF11" s="203"/>
      <c r="BG11" s="150"/>
      <c r="BH11" s="203"/>
      <c r="BI11" s="150"/>
      <c r="BJ11" s="224"/>
      <c r="BK11" s="224"/>
      <c r="BL11" s="362"/>
      <c r="BN11" s="69"/>
      <c r="BO11" s="69" t="str">
        <f>G11</f>
        <v/>
      </c>
      <c r="BP11" s="69"/>
      <c r="BQ11" s="69"/>
      <c r="BR11" s="69"/>
      <c r="BS11" s="69"/>
      <c r="BT11" s="69"/>
      <c r="BU11" s="69">
        <f>BS11+BT11</f>
        <v>0</v>
      </c>
      <c r="BV11" s="108">
        <f t="shared" si="1"/>
        <v>0</v>
      </c>
    </row>
    <row r="12" spans="1:74" s="59" customFormat="1">
      <c r="A12" s="433"/>
      <c r="B12" s="93"/>
      <c r="C12" s="307" t="s">
        <v>582</v>
      </c>
      <c r="D12" s="362" t="s">
        <v>71</v>
      </c>
      <c r="E12" s="312" t="s">
        <v>542</v>
      </c>
      <c r="F12" s="96">
        <f>BJ12</f>
        <v>0</v>
      </c>
      <c r="G12" s="308">
        <f>F12*E12</f>
        <v>0</v>
      </c>
      <c r="H12" s="184">
        <f>0.2*G12</f>
        <v>0</v>
      </c>
      <c r="I12" s="215">
        <f>0.8*G12</f>
        <v>0</v>
      </c>
      <c r="J12" s="118"/>
      <c r="K12" s="118" t="s">
        <v>706</v>
      </c>
      <c r="L12" s="215"/>
      <c r="M12" s="118"/>
      <c r="N12" s="118"/>
      <c r="O12" s="215"/>
      <c r="P12" s="215"/>
      <c r="Q12" s="215"/>
      <c r="R12" s="148">
        <f>F12*0.5</f>
        <v>0</v>
      </c>
      <c r="S12" s="148"/>
      <c r="T12" s="148">
        <f>F12*0.5</f>
        <v>0</v>
      </c>
      <c r="U12" s="148"/>
      <c r="V12" s="150">
        <f>R12*E12</f>
        <v>0</v>
      </c>
      <c r="W12" s="150">
        <f>S12*E12</f>
        <v>0</v>
      </c>
      <c r="X12" s="150">
        <f>T12*E12</f>
        <v>0</v>
      </c>
      <c r="Y12" s="150">
        <f>U12*E12</f>
        <v>0</v>
      </c>
      <c r="Z12" s="203">
        <v>0</v>
      </c>
      <c r="AA12" s="150">
        <f>Z12*E12</f>
        <v>0</v>
      </c>
      <c r="AB12" s="203">
        <v>0</v>
      </c>
      <c r="AC12" s="150">
        <f>AB12*E12</f>
        <v>0</v>
      </c>
      <c r="AD12" s="203">
        <v>0</v>
      </c>
      <c r="AE12" s="150">
        <f>AD12*E12</f>
        <v>0</v>
      </c>
      <c r="AF12" s="203">
        <v>0</v>
      </c>
      <c r="AG12" s="150">
        <f>AF12*E12</f>
        <v>0</v>
      </c>
      <c r="AH12" s="203">
        <v>0</v>
      </c>
      <c r="AI12" s="150">
        <f>AH12*E12</f>
        <v>0</v>
      </c>
      <c r="AJ12" s="203">
        <v>0</v>
      </c>
      <c r="AK12" s="150">
        <f>AJ12*E12</f>
        <v>0</v>
      </c>
      <c r="AL12" s="214">
        <v>0</v>
      </c>
      <c r="AM12" s="150">
        <f>AL12*E12</f>
        <v>0</v>
      </c>
      <c r="AN12" s="203">
        <v>0</v>
      </c>
      <c r="AO12" s="150">
        <f>AN12*E12</f>
        <v>0</v>
      </c>
      <c r="AP12" s="203">
        <v>0</v>
      </c>
      <c r="AQ12" s="150">
        <f>AP12*E12</f>
        <v>0</v>
      </c>
      <c r="AR12" s="203">
        <v>0</v>
      </c>
      <c r="AS12" s="150">
        <f>AR12*E12</f>
        <v>0</v>
      </c>
      <c r="AT12" s="203">
        <v>0</v>
      </c>
      <c r="AU12" s="150">
        <f>AT12*E12</f>
        <v>0</v>
      </c>
      <c r="AV12" s="203">
        <v>0</v>
      </c>
      <c r="AW12" s="150">
        <f>AV12*E12</f>
        <v>0</v>
      </c>
      <c r="AX12" s="203">
        <v>0</v>
      </c>
      <c r="AY12" s="150">
        <f>AX12*E12</f>
        <v>0</v>
      </c>
      <c r="AZ12" s="203">
        <v>0</v>
      </c>
      <c r="BA12" s="150">
        <f>AZ12*E12</f>
        <v>0</v>
      </c>
      <c r="BB12" s="203">
        <v>0</v>
      </c>
      <c r="BC12" s="150">
        <f>BB12*E12</f>
        <v>0</v>
      </c>
      <c r="BD12" s="203">
        <v>0</v>
      </c>
      <c r="BE12" s="150">
        <f>BD12*E12</f>
        <v>0</v>
      </c>
      <c r="BF12" s="203">
        <v>0</v>
      </c>
      <c r="BG12" s="150">
        <f>BF12*E12</f>
        <v>0</v>
      </c>
      <c r="BH12" s="214"/>
      <c r="BI12" s="150">
        <f>BH12*E12</f>
        <v>0</v>
      </c>
      <c r="BJ12" s="224">
        <f t="shared" ref="BJ12:BK14" si="2">Z12+AB12+AD12+AF12+AH12+AJ12+AL12+AN12+AP12+AR12+AT12+AV12+AX12+AZ12+BB12+BD12+BF12+BH12</f>
        <v>0</v>
      </c>
      <c r="BK12" s="224">
        <f t="shared" si="2"/>
        <v>0</v>
      </c>
      <c r="BL12" s="362" t="s">
        <v>224</v>
      </c>
      <c r="BN12" s="69"/>
      <c r="BO12" s="69">
        <f>BK12</f>
        <v>0</v>
      </c>
      <c r="BP12" s="69">
        <f>G12</f>
        <v>0</v>
      </c>
      <c r="BQ12" s="69"/>
      <c r="BR12" s="69">
        <f>BN12+BO12+BP12+BQ12</f>
        <v>0</v>
      </c>
      <c r="BS12" s="69"/>
      <c r="BT12" s="69"/>
      <c r="BU12" s="69">
        <f>BS12+BT12</f>
        <v>0</v>
      </c>
      <c r="BV12" s="108">
        <f t="shared" si="1"/>
        <v>0</v>
      </c>
    </row>
    <row r="13" spans="1:74" s="59" customFormat="1">
      <c r="A13" s="433"/>
      <c r="B13" s="93"/>
      <c r="C13" s="307" t="s">
        <v>583</v>
      </c>
      <c r="D13" s="362" t="s">
        <v>32</v>
      </c>
      <c r="E13" s="312" t="s">
        <v>441</v>
      </c>
      <c r="F13" s="96">
        <f>BJ13</f>
        <v>85</v>
      </c>
      <c r="G13" s="308">
        <f>F13*E13</f>
        <v>850000</v>
      </c>
      <c r="H13" s="184">
        <f>0.2*G13</f>
        <v>170000</v>
      </c>
      <c r="I13" s="215">
        <f>0.8*G13</f>
        <v>680000</v>
      </c>
      <c r="J13" s="118"/>
      <c r="K13" s="118"/>
      <c r="L13" s="215"/>
      <c r="M13" s="118"/>
      <c r="N13" s="118"/>
      <c r="O13" s="215"/>
      <c r="P13" s="215"/>
      <c r="Q13" s="215"/>
      <c r="R13" s="148">
        <f>F13</f>
        <v>85</v>
      </c>
      <c r="S13" s="148"/>
      <c r="T13" s="148">
        <f>F13*0</f>
        <v>0</v>
      </c>
      <c r="U13" s="148"/>
      <c r="V13" s="150">
        <f>R13*E13</f>
        <v>850000</v>
      </c>
      <c r="W13" s="150">
        <f>S13*E13</f>
        <v>0</v>
      </c>
      <c r="X13" s="150">
        <f>T13*E13</f>
        <v>0</v>
      </c>
      <c r="Y13" s="150">
        <f>U13*E13</f>
        <v>0</v>
      </c>
      <c r="Z13" s="203">
        <v>5</v>
      </c>
      <c r="AA13" s="150">
        <f>Z13*E13</f>
        <v>50000</v>
      </c>
      <c r="AB13" s="203">
        <v>5</v>
      </c>
      <c r="AC13" s="150">
        <f>AB13*E13</f>
        <v>50000</v>
      </c>
      <c r="AD13" s="203">
        <v>5</v>
      </c>
      <c r="AE13" s="150">
        <f>AD13*E13</f>
        <v>50000</v>
      </c>
      <c r="AF13" s="203">
        <v>5</v>
      </c>
      <c r="AG13" s="150">
        <f>AF13*E13</f>
        <v>50000</v>
      </c>
      <c r="AH13" s="203">
        <v>5</v>
      </c>
      <c r="AI13" s="150">
        <f>AH13*E13</f>
        <v>50000</v>
      </c>
      <c r="AJ13" s="203">
        <v>5</v>
      </c>
      <c r="AK13" s="150">
        <f>AJ13*E13</f>
        <v>50000</v>
      </c>
      <c r="AL13" s="203">
        <v>5</v>
      </c>
      <c r="AM13" s="150">
        <f>AL13*E13</f>
        <v>50000</v>
      </c>
      <c r="AN13" s="203">
        <v>5</v>
      </c>
      <c r="AO13" s="150">
        <f>AN13*E13</f>
        <v>50000</v>
      </c>
      <c r="AP13" s="203">
        <v>5</v>
      </c>
      <c r="AQ13" s="150">
        <f>AP13*E13</f>
        <v>50000</v>
      </c>
      <c r="AR13" s="203">
        <v>5</v>
      </c>
      <c r="AS13" s="150">
        <f>AR13*E13</f>
        <v>50000</v>
      </c>
      <c r="AT13" s="203">
        <v>5</v>
      </c>
      <c r="AU13" s="150">
        <f>AT13*E13</f>
        <v>50000</v>
      </c>
      <c r="AV13" s="203">
        <v>5</v>
      </c>
      <c r="AW13" s="150">
        <f>AV13*E13</f>
        <v>50000</v>
      </c>
      <c r="AX13" s="203">
        <v>5</v>
      </c>
      <c r="AY13" s="150">
        <f>AX13*E13</f>
        <v>50000</v>
      </c>
      <c r="AZ13" s="203">
        <v>5</v>
      </c>
      <c r="BA13" s="150">
        <f>AZ13*E13</f>
        <v>50000</v>
      </c>
      <c r="BB13" s="203">
        <v>5</v>
      </c>
      <c r="BC13" s="150">
        <f>BB13*E13</f>
        <v>50000</v>
      </c>
      <c r="BD13" s="203">
        <v>5</v>
      </c>
      <c r="BE13" s="150">
        <f>BD13*E13</f>
        <v>50000</v>
      </c>
      <c r="BF13" s="203">
        <v>5</v>
      </c>
      <c r="BG13" s="150">
        <f>BF13*E13</f>
        <v>50000</v>
      </c>
      <c r="BH13" s="203"/>
      <c r="BI13" s="150">
        <f>BH13*E13</f>
        <v>0</v>
      </c>
      <c r="BJ13" s="224">
        <f t="shared" si="2"/>
        <v>85</v>
      </c>
      <c r="BK13" s="224">
        <f t="shared" si="2"/>
        <v>850000</v>
      </c>
      <c r="BL13" s="362" t="s">
        <v>224</v>
      </c>
      <c r="BN13" s="69"/>
      <c r="BO13" s="69"/>
      <c r="BP13" s="69">
        <f>G13</f>
        <v>850000</v>
      </c>
      <c r="BQ13" s="69"/>
      <c r="BR13" s="69">
        <f>BN13+BO13+BP13+BQ13</f>
        <v>850000</v>
      </c>
      <c r="BS13" s="69"/>
      <c r="BT13" s="69"/>
      <c r="BU13" s="69">
        <f>BS13+BT13</f>
        <v>0</v>
      </c>
      <c r="BV13" s="108">
        <f t="shared" si="1"/>
        <v>850000</v>
      </c>
    </row>
    <row r="14" spans="1:74" s="59" customFormat="1">
      <c r="A14" s="433"/>
      <c r="B14" s="93"/>
      <c r="C14" s="307" t="s">
        <v>405</v>
      </c>
      <c r="D14" s="362" t="s">
        <v>69</v>
      </c>
      <c r="E14" s="312" t="s">
        <v>478</v>
      </c>
      <c r="F14" s="96">
        <f>BJ14</f>
        <v>85</v>
      </c>
      <c r="G14" s="308">
        <f>F14*E14</f>
        <v>1700000</v>
      </c>
      <c r="H14" s="184"/>
      <c r="I14" s="215"/>
      <c r="J14" s="118"/>
      <c r="K14" s="118"/>
      <c r="L14" s="215"/>
      <c r="M14" s="118">
        <f>G14</f>
        <v>1700000</v>
      </c>
      <c r="N14" s="118"/>
      <c r="O14" s="215"/>
      <c r="P14" s="215"/>
      <c r="Q14" s="215"/>
      <c r="R14" s="148">
        <f>F14*0.25</f>
        <v>21.25</v>
      </c>
      <c r="S14" s="148">
        <f>F14*0.25</f>
        <v>21.25</v>
      </c>
      <c r="T14" s="148">
        <f>F14*0.25</f>
        <v>21.25</v>
      </c>
      <c r="U14" s="148">
        <f>F14*0.25</f>
        <v>21.25</v>
      </c>
      <c r="V14" s="150">
        <f>R14*E14</f>
        <v>425000</v>
      </c>
      <c r="W14" s="150">
        <f>S14*E14</f>
        <v>425000</v>
      </c>
      <c r="X14" s="150">
        <f>T14*E14</f>
        <v>425000</v>
      </c>
      <c r="Y14" s="150">
        <f>U14*E14</f>
        <v>425000</v>
      </c>
      <c r="Z14" s="203">
        <v>5</v>
      </c>
      <c r="AA14" s="150">
        <f>Z14*E14</f>
        <v>100000</v>
      </c>
      <c r="AB14" s="203">
        <v>5</v>
      </c>
      <c r="AC14" s="150">
        <f>AB14*E14</f>
        <v>100000</v>
      </c>
      <c r="AD14" s="203">
        <v>5</v>
      </c>
      <c r="AE14" s="150">
        <f>AD14*E14</f>
        <v>100000</v>
      </c>
      <c r="AF14" s="203">
        <v>5</v>
      </c>
      <c r="AG14" s="150">
        <f>AF14*E14</f>
        <v>100000</v>
      </c>
      <c r="AH14" s="203">
        <v>5</v>
      </c>
      <c r="AI14" s="150">
        <f>AH14*E14</f>
        <v>100000</v>
      </c>
      <c r="AJ14" s="203">
        <v>5</v>
      </c>
      <c r="AK14" s="150">
        <f>AJ14*E14</f>
        <v>100000</v>
      </c>
      <c r="AL14" s="203">
        <v>5</v>
      </c>
      <c r="AM14" s="150">
        <f>AL14*E14</f>
        <v>100000</v>
      </c>
      <c r="AN14" s="203">
        <v>5</v>
      </c>
      <c r="AO14" s="150">
        <f>AN14*E14</f>
        <v>100000</v>
      </c>
      <c r="AP14" s="203">
        <v>5</v>
      </c>
      <c r="AQ14" s="150">
        <f>AP14*E14</f>
        <v>100000</v>
      </c>
      <c r="AR14" s="203">
        <v>5</v>
      </c>
      <c r="AS14" s="150">
        <f>AR14*E14</f>
        <v>100000</v>
      </c>
      <c r="AT14" s="203">
        <v>5</v>
      </c>
      <c r="AU14" s="150">
        <f>AT14*E14</f>
        <v>100000</v>
      </c>
      <c r="AV14" s="203">
        <v>5</v>
      </c>
      <c r="AW14" s="150">
        <f>AV14*E14</f>
        <v>100000</v>
      </c>
      <c r="AX14" s="203">
        <v>5</v>
      </c>
      <c r="AY14" s="150">
        <f>AX14*E14</f>
        <v>100000</v>
      </c>
      <c r="AZ14" s="203">
        <v>5</v>
      </c>
      <c r="BA14" s="150">
        <f>AZ14*E14</f>
        <v>100000</v>
      </c>
      <c r="BB14" s="203">
        <v>5</v>
      </c>
      <c r="BC14" s="150">
        <f>BB14*E14</f>
        <v>100000</v>
      </c>
      <c r="BD14" s="203">
        <v>5</v>
      </c>
      <c r="BE14" s="150">
        <f>BD14*E14</f>
        <v>100000</v>
      </c>
      <c r="BF14" s="203">
        <v>5</v>
      </c>
      <c r="BG14" s="150">
        <f>BF14*E14</f>
        <v>100000</v>
      </c>
      <c r="BH14" s="203"/>
      <c r="BI14" s="150">
        <f>BH14*E14</f>
        <v>0</v>
      </c>
      <c r="BJ14" s="224">
        <f t="shared" si="2"/>
        <v>85</v>
      </c>
      <c r="BK14" s="224">
        <f t="shared" si="2"/>
        <v>1700000</v>
      </c>
      <c r="BL14" s="362" t="s">
        <v>794</v>
      </c>
      <c r="BN14" s="69"/>
      <c r="BO14" s="69"/>
      <c r="BP14" s="69">
        <f>G14</f>
        <v>1700000</v>
      </c>
      <c r="BQ14" s="69"/>
      <c r="BR14" s="69">
        <f>BN14+BO14+BP14+BQ14</f>
        <v>1700000</v>
      </c>
      <c r="BS14" s="69"/>
      <c r="BT14" s="69"/>
      <c r="BU14" s="69"/>
      <c r="BV14" s="108">
        <f t="shared" si="1"/>
        <v>1700000</v>
      </c>
    </row>
    <row r="15" spans="1:74" s="149" customFormat="1">
      <c r="A15" s="435"/>
      <c r="B15" s="185"/>
      <c r="C15" s="332" t="s">
        <v>585</v>
      </c>
      <c r="D15" s="436" t="s">
        <v>121</v>
      </c>
      <c r="E15" s="437" t="s">
        <v>121</v>
      </c>
      <c r="F15" s="438">
        <f t="shared" ref="F15:AK15" si="3">SUM(F12:F14)</f>
        <v>170</v>
      </c>
      <c r="G15" s="438">
        <f t="shared" si="3"/>
        <v>2550000</v>
      </c>
      <c r="H15" s="438">
        <f t="shared" si="3"/>
        <v>170000</v>
      </c>
      <c r="I15" s="438">
        <f t="shared" si="3"/>
        <v>680000</v>
      </c>
      <c r="J15" s="438">
        <f t="shared" si="3"/>
        <v>0</v>
      </c>
      <c r="K15" s="438">
        <f t="shared" si="3"/>
        <v>0</v>
      </c>
      <c r="L15" s="438">
        <f t="shared" si="3"/>
        <v>0</v>
      </c>
      <c r="M15" s="438">
        <f t="shared" si="3"/>
        <v>1700000</v>
      </c>
      <c r="N15" s="438">
        <f t="shared" si="3"/>
        <v>0</v>
      </c>
      <c r="O15" s="438">
        <f t="shared" si="3"/>
        <v>0</v>
      </c>
      <c r="P15" s="438">
        <f t="shared" si="3"/>
        <v>0</v>
      </c>
      <c r="Q15" s="438">
        <f t="shared" si="3"/>
        <v>0</v>
      </c>
      <c r="R15" s="438">
        <f t="shared" si="3"/>
        <v>106.25</v>
      </c>
      <c r="S15" s="438">
        <f t="shared" si="3"/>
        <v>21.25</v>
      </c>
      <c r="T15" s="438">
        <f t="shared" si="3"/>
        <v>21.25</v>
      </c>
      <c r="U15" s="438">
        <f t="shared" si="3"/>
        <v>21.25</v>
      </c>
      <c r="V15" s="438">
        <f t="shared" si="3"/>
        <v>1275000</v>
      </c>
      <c r="W15" s="438">
        <f t="shared" si="3"/>
        <v>425000</v>
      </c>
      <c r="X15" s="438">
        <f t="shared" si="3"/>
        <v>425000</v>
      </c>
      <c r="Y15" s="438">
        <f t="shared" si="3"/>
        <v>425000</v>
      </c>
      <c r="Z15" s="438">
        <f t="shared" si="3"/>
        <v>10</v>
      </c>
      <c r="AA15" s="438">
        <f t="shared" si="3"/>
        <v>150000</v>
      </c>
      <c r="AB15" s="438">
        <f t="shared" si="3"/>
        <v>10</v>
      </c>
      <c r="AC15" s="438">
        <f t="shared" si="3"/>
        <v>150000</v>
      </c>
      <c r="AD15" s="438">
        <f t="shared" si="3"/>
        <v>10</v>
      </c>
      <c r="AE15" s="438">
        <f t="shared" si="3"/>
        <v>150000</v>
      </c>
      <c r="AF15" s="438">
        <f t="shared" si="3"/>
        <v>10</v>
      </c>
      <c r="AG15" s="438">
        <f t="shared" si="3"/>
        <v>150000</v>
      </c>
      <c r="AH15" s="438">
        <f t="shared" si="3"/>
        <v>10</v>
      </c>
      <c r="AI15" s="438">
        <f t="shared" si="3"/>
        <v>150000</v>
      </c>
      <c r="AJ15" s="438">
        <f t="shared" si="3"/>
        <v>10</v>
      </c>
      <c r="AK15" s="438">
        <f t="shared" si="3"/>
        <v>150000</v>
      </c>
      <c r="AL15" s="438">
        <f t="shared" ref="AL15:BK15" si="4">SUM(AL12:AL14)</f>
        <v>10</v>
      </c>
      <c r="AM15" s="438">
        <f t="shared" si="4"/>
        <v>150000</v>
      </c>
      <c r="AN15" s="438">
        <f t="shared" si="4"/>
        <v>10</v>
      </c>
      <c r="AO15" s="438">
        <f t="shared" si="4"/>
        <v>150000</v>
      </c>
      <c r="AP15" s="438">
        <f t="shared" si="4"/>
        <v>10</v>
      </c>
      <c r="AQ15" s="438">
        <f t="shared" si="4"/>
        <v>150000</v>
      </c>
      <c r="AR15" s="438">
        <f t="shared" si="4"/>
        <v>10</v>
      </c>
      <c r="AS15" s="438">
        <f t="shared" si="4"/>
        <v>150000</v>
      </c>
      <c r="AT15" s="438">
        <f t="shared" si="4"/>
        <v>10</v>
      </c>
      <c r="AU15" s="438">
        <f t="shared" si="4"/>
        <v>150000</v>
      </c>
      <c r="AV15" s="438">
        <f t="shared" si="4"/>
        <v>10</v>
      </c>
      <c r="AW15" s="438">
        <f t="shared" si="4"/>
        <v>150000</v>
      </c>
      <c r="AX15" s="438">
        <f t="shared" si="4"/>
        <v>10</v>
      </c>
      <c r="AY15" s="438">
        <f t="shared" si="4"/>
        <v>150000</v>
      </c>
      <c r="AZ15" s="438">
        <f t="shared" si="4"/>
        <v>10</v>
      </c>
      <c r="BA15" s="438">
        <f t="shared" si="4"/>
        <v>150000</v>
      </c>
      <c r="BB15" s="438">
        <f t="shared" si="4"/>
        <v>10</v>
      </c>
      <c r="BC15" s="438">
        <f t="shared" si="4"/>
        <v>150000</v>
      </c>
      <c r="BD15" s="438">
        <f t="shared" si="4"/>
        <v>10</v>
      </c>
      <c r="BE15" s="438">
        <f t="shared" si="4"/>
        <v>150000</v>
      </c>
      <c r="BF15" s="438">
        <f t="shared" si="4"/>
        <v>10</v>
      </c>
      <c r="BG15" s="438">
        <f t="shared" si="4"/>
        <v>150000</v>
      </c>
      <c r="BH15" s="438">
        <f t="shared" si="4"/>
        <v>0</v>
      </c>
      <c r="BI15" s="438">
        <f t="shared" si="4"/>
        <v>0</v>
      </c>
      <c r="BJ15" s="438">
        <f t="shared" si="4"/>
        <v>170</v>
      </c>
      <c r="BK15" s="438">
        <f t="shared" si="4"/>
        <v>2550000</v>
      </c>
      <c r="BL15" s="436" t="s">
        <v>121</v>
      </c>
      <c r="BN15" s="398">
        <f>SUM(BN10:BN14)</f>
        <v>0</v>
      </c>
      <c r="BO15" s="398">
        <f>SUM(BO11:BO13)</f>
        <v>0</v>
      </c>
      <c r="BP15" s="398">
        <f>SUM(BP11:BP14)</f>
        <v>2550000</v>
      </c>
      <c r="BQ15" s="398">
        <f>SUM(BQ11:BQ13)</f>
        <v>0</v>
      </c>
      <c r="BR15" s="398">
        <f>SUM(BR10:BR14)</f>
        <v>2550000</v>
      </c>
      <c r="BS15" s="398">
        <f>SUM(BS11:BS13)</f>
        <v>0</v>
      </c>
      <c r="BT15" s="398">
        <f>SUM(BT11:BT13)</f>
        <v>0</v>
      </c>
      <c r="BU15" s="398">
        <f>SUM(BU11:BU13)</f>
        <v>0</v>
      </c>
      <c r="BV15" s="389">
        <f t="shared" si="1"/>
        <v>2550000</v>
      </c>
    </row>
    <row r="16" spans="1:74" s="59" customFormat="1" ht="15" customHeight="1">
      <c r="A16" s="433"/>
      <c r="B16" s="93"/>
      <c r="C16" s="309" t="s">
        <v>586</v>
      </c>
      <c r="D16" s="362"/>
      <c r="E16" s="362"/>
      <c r="F16" s="308"/>
      <c r="G16" s="308" t="s">
        <v>36</v>
      </c>
      <c r="H16" s="184"/>
      <c r="I16" s="217"/>
      <c r="J16" s="217"/>
      <c r="K16" s="217"/>
      <c r="L16" s="217"/>
      <c r="M16" s="217"/>
      <c r="N16" s="217"/>
      <c r="O16" s="217"/>
      <c r="P16" s="217"/>
      <c r="Q16" s="217"/>
      <c r="R16" s="218"/>
      <c r="S16" s="218"/>
      <c r="T16" s="218"/>
      <c r="U16" s="218"/>
      <c r="V16" s="219"/>
      <c r="W16" s="219"/>
      <c r="X16" s="219"/>
      <c r="Y16" s="219"/>
      <c r="Z16" s="203"/>
      <c r="AA16" s="150">
        <f>Z16*E16</f>
        <v>0</v>
      </c>
      <c r="AB16" s="203"/>
      <c r="AC16" s="150">
        <f>AB16*E16</f>
        <v>0</v>
      </c>
      <c r="AD16" s="203"/>
      <c r="AE16" s="150">
        <f>AD16*E16</f>
        <v>0</v>
      </c>
      <c r="AF16" s="203"/>
      <c r="AG16" s="150">
        <f>AF16*E16</f>
        <v>0</v>
      </c>
      <c r="AH16" s="203"/>
      <c r="AI16" s="150">
        <f>AH16*E16</f>
        <v>0</v>
      </c>
      <c r="AJ16" s="203"/>
      <c r="AK16" s="150">
        <f>AJ16*E16</f>
        <v>0</v>
      </c>
      <c r="AL16" s="203"/>
      <c r="AM16" s="150">
        <f>AL16*E16</f>
        <v>0</v>
      </c>
      <c r="AN16" s="203"/>
      <c r="AO16" s="150">
        <f>AN16*E16</f>
        <v>0</v>
      </c>
      <c r="AP16" s="203"/>
      <c r="AQ16" s="150">
        <f>AP16*E16</f>
        <v>0</v>
      </c>
      <c r="AR16" s="203"/>
      <c r="AS16" s="150">
        <f>AR16*E16</f>
        <v>0</v>
      </c>
      <c r="AT16" s="203"/>
      <c r="AU16" s="150">
        <f>AT16*E16</f>
        <v>0</v>
      </c>
      <c r="AV16" s="203"/>
      <c r="AW16" s="150">
        <f>AV16*E16</f>
        <v>0</v>
      </c>
      <c r="AX16" s="203"/>
      <c r="AY16" s="150">
        <f>AX16*E16</f>
        <v>0</v>
      </c>
      <c r="AZ16" s="203"/>
      <c r="BA16" s="150">
        <f>AZ16*E16</f>
        <v>0</v>
      </c>
      <c r="BB16" s="203"/>
      <c r="BC16" s="150">
        <f>BB16*E16</f>
        <v>0</v>
      </c>
      <c r="BD16" s="203"/>
      <c r="BE16" s="150">
        <f>BD16*E16</f>
        <v>0</v>
      </c>
      <c r="BF16" s="203"/>
      <c r="BG16" s="150">
        <f>BF16*E16</f>
        <v>0</v>
      </c>
      <c r="BH16" s="203"/>
      <c r="BI16" s="150">
        <f>BH16*E16</f>
        <v>0</v>
      </c>
      <c r="BJ16" s="224">
        <f>Z16+AB16+AD16+AF16+AH16+AJ16+AL16+AN16+AP16+AR16+AT16+AV16+AX16+AZ16+BB16+BD16+BF16+BH16</f>
        <v>0</v>
      </c>
      <c r="BK16" s="224">
        <f>AA16+AC16+AE16+AG16+AI16+AK16+AM16+AO16+AQ16+AS16+AU16+AW16+AY16+BA16+BC16+BE16+BG16+BI16</f>
        <v>0</v>
      </c>
      <c r="BL16" s="362"/>
      <c r="BN16" s="69"/>
      <c r="BO16" s="69"/>
      <c r="BP16" s="69"/>
      <c r="BQ16" s="69"/>
      <c r="BR16" s="69"/>
      <c r="BS16" s="69"/>
      <c r="BT16" s="69"/>
      <c r="BU16" s="69"/>
      <c r="BV16" s="108">
        <f t="shared" si="1"/>
        <v>0</v>
      </c>
    </row>
    <row r="17" spans="1:74" s="59" customFormat="1">
      <c r="A17" s="433"/>
      <c r="B17" s="203"/>
      <c r="C17" s="307" t="s">
        <v>587</v>
      </c>
      <c r="D17" s="362" t="s">
        <v>79</v>
      </c>
      <c r="E17" s="312" t="s">
        <v>441</v>
      </c>
      <c r="F17" s="96">
        <f>BJ17</f>
        <v>85</v>
      </c>
      <c r="G17" s="308">
        <f>F17*E17</f>
        <v>850000</v>
      </c>
      <c r="H17" s="184"/>
      <c r="I17" s="215">
        <f>0.8*G17</f>
        <v>680000</v>
      </c>
      <c r="J17" s="118"/>
      <c r="K17" s="118"/>
      <c r="L17" s="118"/>
      <c r="M17" s="118"/>
      <c r="N17" s="118"/>
      <c r="O17" s="215"/>
      <c r="P17" s="215">
        <f>G17*0.2</f>
        <v>170000</v>
      </c>
      <c r="Q17" s="215"/>
      <c r="R17" s="148"/>
      <c r="S17" s="148"/>
      <c r="T17" s="148"/>
      <c r="U17" s="148"/>
      <c r="V17" s="150">
        <f>R17*E17</f>
        <v>0</v>
      </c>
      <c r="W17" s="150">
        <f>S17*E17</f>
        <v>0</v>
      </c>
      <c r="X17" s="150">
        <f>T17*E17</f>
        <v>0</v>
      </c>
      <c r="Y17" s="150">
        <f>U17*E17</f>
        <v>0</v>
      </c>
      <c r="Z17" s="203">
        <v>5</v>
      </c>
      <c r="AA17" s="150">
        <f>Z17*E17</f>
        <v>50000</v>
      </c>
      <c r="AB17" s="203">
        <v>5</v>
      </c>
      <c r="AC17" s="150">
        <f>AB17*E17</f>
        <v>50000</v>
      </c>
      <c r="AD17" s="203">
        <v>5</v>
      </c>
      <c r="AE17" s="150">
        <f>AD17*E17</f>
        <v>50000</v>
      </c>
      <c r="AF17" s="203">
        <v>5</v>
      </c>
      <c r="AG17" s="150">
        <f>AF17*E17</f>
        <v>50000</v>
      </c>
      <c r="AH17" s="203">
        <v>5</v>
      </c>
      <c r="AI17" s="150">
        <f>AH17*E17</f>
        <v>50000</v>
      </c>
      <c r="AJ17" s="203">
        <v>5</v>
      </c>
      <c r="AK17" s="150">
        <f>AJ17*E17</f>
        <v>50000</v>
      </c>
      <c r="AL17" s="203">
        <v>5</v>
      </c>
      <c r="AM17" s="150">
        <f>AL17*E17</f>
        <v>50000</v>
      </c>
      <c r="AN17" s="203">
        <v>5</v>
      </c>
      <c r="AO17" s="150">
        <f>AN17*E17</f>
        <v>50000</v>
      </c>
      <c r="AP17" s="203">
        <v>5</v>
      </c>
      <c r="AQ17" s="150">
        <f>AP17*E17</f>
        <v>50000</v>
      </c>
      <c r="AR17" s="203">
        <v>5</v>
      </c>
      <c r="AS17" s="150">
        <f>AR17*E17</f>
        <v>50000</v>
      </c>
      <c r="AT17" s="203">
        <v>5</v>
      </c>
      <c r="AU17" s="150">
        <f>AT17*E17</f>
        <v>50000</v>
      </c>
      <c r="AV17" s="203">
        <v>5</v>
      </c>
      <c r="AW17" s="150">
        <f>AV17*E17</f>
        <v>50000</v>
      </c>
      <c r="AX17" s="203">
        <v>5</v>
      </c>
      <c r="AY17" s="150">
        <f>AX17*E17</f>
        <v>50000</v>
      </c>
      <c r="AZ17" s="203">
        <v>5</v>
      </c>
      <c r="BA17" s="150">
        <f>AZ17*E17</f>
        <v>50000</v>
      </c>
      <c r="BB17" s="203">
        <v>5</v>
      </c>
      <c r="BC17" s="150">
        <f>BB17*E17</f>
        <v>50000</v>
      </c>
      <c r="BD17" s="203">
        <v>5</v>
      </c>
      <c r="BE17" s="150">
        <f>BD17*E17</f>
        <v>50000</v>
      </c>
      <c r="BF17" s="203">
        <v>5</v>
      </c>
      <c r="BG17" s="150">
        <f>BF17*E17</f>
        <v>50000</v>
      </c>
      <c r="BH17" s="203"/>
      <c r="BI17" s="150">
        <f>BH17*E17</f>
        <v>0</v>
      </c>
      <c r="BJ17" s="224">
        <f>Z17+AB17+AD17+AF17+AH17+AJ17+AL17+AN17+AP17+AR17+AT17+AV17+AX17+AZ17+BB17+BD17+BF17+BH17</f>
        <v>85</v>
      </c>
      <c r="BK17" s="224">
        <f>AA17+AC17+AE17+AG17+AI17+AK17+AM17+AO17+AQ17+AS17+AU17+AW17+AY17+BA17+BC17+BE17+BG17+BI17</f>
        <v>850000</v>
      </c>
      <c r="BL17" s="362" t="s">
        <v>228</v>
      </c>
      <c r="BN17" s="69"/>
      <c r="BO17" s="69">
        <f>G17</f>
        <v>850000</v>
      </c>
      <c r="BP17" s="69"/>
      <c r="BQ17" s="69"/>
      <c r="BR17" s="69">
        <f>BN17+BO17+BP17+BQ17</f>
        <v>850000</v>
      </c>
      <c r="BS17" s="69"/>
      <c r="BT17" s="69"/>
      <c r="BU17" s="69">
        <f>BS17+BT17</f>
        <v>0</v>
      </c>
      <c r="BV17" s="108">
        <f t="shared" si="1"/>
        <v>850000</v>
      </c>
    </row>
    <row r="18" spans="1:74" s="595" customFormat="1">
      <c r="A18" s="592"/>
      <c r="B18" s="593"/>
      <c r="C18" s="334" t="s">
        <v>588</v>
      </c>
      <c r="D18" s="487" t="s">
        <v>121</v>
      </c>
      <c r="E18" s="483"/>
      <c r="F18" s="594">
        <f>F17+F15</f>
        <v>255</v>
      </c>
      <c r="G18" s="594">
        <f t="shared" ref="G18:BR18" si="5">G17+G15</f>
        <v>3400000</v>
      </c>
      <c r="H18" s="594">
        <f t="shared" si="5"/>
        <v>170000</v>
      </c>
      <c r="I18" s="594">
        <f t="shared" si="5"/>
        <v>1360000</v>
      </c>
      <c r="J18" s="594">
        <f t="shared" si="5"/>
        <v>0</v>
      </c>
      <c r="K18" s="594">
        <f t="shared" si="5"/>
        <v>0</v>
      </c>
      <c r="L18" s="594">
        <f t="shared" si="5"/>
        <v>0</v>
      </c>
      <c r="M18" s="594">
        <f t="shared" si="5"/>
        <v>1700000</v>
      </c>
      <c r="N18" s="594">
        <f t="shared" si="5"/>
        <v>0</v>
      </c>
      <c r="O18" s="594">
        <f t="shared" si="5"/>
        <v>0</v>
      </c>
      <c r="P18" s="594">
        <f t="shared" si="5"/>
        <v>170000</v>
      </c>
      <c r="Q18" s="594">
        <f t="shared" si="5"/>
        <v>0</v>
      </c>
      <c r="R18" s="594">
        <f t="shared" si="5"/>
        <v>106.25</v>
      </c>
      <c r="S18" s="594">
        <f t="shared" si="5"/>
        <v>21.25</v>
      </c>
      <c r="T18" s="594">
        <f t="shared" si="5"/>
        <v>21.25</v>
      </c>
      <c r="U18" s="594">
        <f t="shared" si="5"/>
        <v>21.25</v>
      </c>
      <c r="V18" s="594">
        <f t="shared" si="5"/>
        <v>1275000</v>
      </c>
      <c r="W18" s="594">
        <f t="shared" si="5"/>
        <v>425000</v>
      </c>
      <c r="X18" s="594">
        <f t="shared" si="5"/>
        <v>425000</v>
      </c>
      <c r="Y18" s="594">
        <f t="shared" si="5"/>
        <v>425000</v>
      </c>
      <c r="Z18" s="594">
        <f t="shared" si="5"/>
        <v>15</v>
      </c>
      <c r="AA18" s="594">
        <f t="shared" si="5"/>
        <v>200000</v>
      </c>
      <c r="AB18" s="594">
        <f t="shared" si="5"/>
        <v>15</v>
      </c>
      <c r="AC18" s="594">
        <f t="shared" si="5"/>
        <v>200000</v>
      </c>
      <c r="AD18" s="594">
        <f t="shared" si="5"/>
        <v>15</v>
      </c>
      <c r="AE18" s="594">
        <f t="shared" si="5"/>
        <v>200000</v>
      </c>
      <c r="AF18" s="594">
        <f t="shared" si="5"/>
        <v>15</v>
      </c>
      <c r="AG18" s="594">
        <f t="shared" si="5"/>
        <v>200000</v>
      </c>
      <c r="AH18" s="594">
        <f t="shared" si="5"/>
        <v>15</v>
      </c>
      <c r="AI18" s="594">
        <f t="shared" si="5"/>
        <v>200000</v>
      </c>
      <c r="AJ18" s="594">
        <f t="shared" si="5"/>
        <v>15</v>
      </c>
      <c r="AK18" s="594">
        <f t="shared" si="5"/>
        <v>200000</v>
      </c>
      <c r="AL18" s="594">
        <f t="shared" si="5"/>
        <v>15</v>
      </c>
      <c r="AM18" s="594">
        <f t="shared" si="5"/>
        <v>200000</v>
      </c>
      <c r="AN18" s="594">
        <f t="shared" si="5"/>
        <v>15</v>
      </c>
      <c r="AO18" s="594">
        <f t="shared" si="5"/>
        <v>200000</v>
      </c>
      <c r="AP18" s="594">
        <f t="shared" si="5"/>
        <v>15</v>
      </c>
      <c r="AQ18" s="594">
        <f t="shared" si="5"/>
        <v>200000</v>
      </c>
      <c r="AR18" s="594">
        <f t="shared" si="5"/>
        <v>15</v>
      </c>
      <c r="AS18" s="594">
        <f t="shared" si="5"/>
        <v>200000</v>
      </c>
      <c r="AT18" s="594">
        <f t="shared" si="5"/>
        <v>15</v>
      </c>
      <c r="AU18" s="594">
        <f t="shared" si="5"/>
        <v>200000</v>
      </c>
      <c r="AV18" s="594">
        <f t="shared" si="5"/>
        <v>15</v>
      </c>
      <c r="AW18" s="594">
        <f t="shared" si="5"/>
        <v>200000</v>
      </c>
      <c r="AX18" s="594">
        <f t="shared" si="5"/>
        <v>15</v>
      </c>
      <c r="AY18" s="594">
        <f t="shared" si="5"/>
        <v>200000</v>
      </c>
      <c r="AZ18" s="594">
        <f t="shared" si="5"/>
        <v>15</v>
      </c>
      <c r="BA18" s="594">
        <f t="shared" si="5"/>
        <v>200000</v>
      </c>
      <c r="BB18" s="594">
        <f t="shared" si="5"/>
        <v>15</v>
      </c>
      <c r="BC18" s="594">
        <f t="shared" si="5"/>
        <v>200000</v>
      </c>
      <c r="BD18" s="594">
        <f t="shared" si="5"/>
        <v>15</v>
      </c>
      <c r="BE18" s="594">
        <f t="shared" si="5"/>
        <v>200000</v>
      </c>
      <c r="BF18" s="594">
        <f t="shared" si="5"/>
        <v>15</v>
      </c>
      <c r="BG18" s="594">
        <f t="shared" si="5"/>
        <v>200000</v>
      </c>
      <c r="BH18" s="594">
        <f t="shared" si="5"/>
        <v>0</v>
      </c>
      <c r="BI18" s="594">
        <f t="shared" si="5"/>
        <v>0</v>
      </c>
      <c r="BJ18" s="594">
        <f t="shared" si="5"/>
        <v>255</v>
      </c>
      <c r="BK18" s="594">
        <f t="shared" si="5"/>
        <v>3400000</v>
      </c>
      <c r="BL18" s="594"/>
      <c r="BM18" s="594"/>
      <c r="BN18" s="594">
        <f t="shared" si="5"/>
        <v>0</v>
      </c>
      <c r="BO18" s="594">
        <f t="shared" si="5"/>
        <v>850000</v>
      </c>
      <c r="BP18" s="594">
        <f t="shared" si="5"/>
        <v>2550000</v>
      </c>
      <c r="BQ18" s="594">
        <f t="shared" si="5"/>
        <v>0</v>
      </c>
      <c r="BR18" s="594">
        <f t="shared" si="5"/>
        <v>3400000</v>
      </c>
      <c r="BS18" s="594">
        <f>BS17+BS15</f>
        <v>0</v>
      </c>
      <c r="BT18" s="594">
        <f>BT17+BT15</f>
        <v>0</v>
      </c>
      <c r="BU18" s="594">
        <f>BU17+BU15</f>
        <v>0</v>
      </c>
      <c r="BV18" s="594">
        <f>BV17+BV15</f>
        <v>3400000</v>
      </c>
    </row>
    <row r="19" spans="1:74" s="59" customFormat="1">
      <c r="A19" s="433"/>
      <c r="B19" s="93"/>
      <c r="C19" s="309" t="s">
        <v>589</v>
      </c>
      <c r="D19" s="362"/>
      <c r="E19" s="362"/>
      <c r="F19" s="308"/>
      <c r="G19" s="308" t="s">
        <v>36</v>
      </c>
      <c r="H19" s="184"/>
      <c r="I19" s="150"/>
      <c r="J19" s="150"/>
      <c r="K19" s="150"/>
      <c r="L19" s="150"/>
      <c r="M19" s="150"/>
      <c r="N19" s="150"/>
      <c r="O19" s="150"/>
      <c r="P19" s="150"/>
      <c r="Q19" s="150"/>
      <c r="R19" s="148"/>
      <c r="S19" s="148"/>
      <c r="T19" s="148"/>
      <c r="U19" s="148"/>
      <c r="V19" s="150"/>
      <c r="W19" s="150"/>
      <c r="X19" s="150"/>
      <c r="Y19" s="150"/>
      <c r="Z19" s="92"/>
      <c r="AA19" s="150">
        <f>Z19*E19</f>
        <v>0</v>
      </c>
      <c r="AB19" s="92"/>
      <c r="AC19" s="150">
        <f>AB19*E19</f>
        <v>0</v>
      </c>
      <c r="AD19" s="92"/>
      <c r="AE19" s="150">
        <f>AD19*E19</f>
        <v>0</v>
      </c>
      <c r="AF19" s="92"/>
      <c r="AG19" s="150">
        <f>AF19*E19</f>
        <v>0</v>
      </c>
      <c r="AH19" s="92"/>
      <c r="AI19" s="150">
        <f>AH19*E19</f>
        <v>0</v>
      </c>
      <c r="AJ19" s="203"/>
      <c r="AK19" s="150">
        <f>AJ19*E19</f>
        <v>0</v>
      </c>
      <c r="AL19" s="92"/>
      <c r="AM19" s="150">
        <f>AL19*E19</f>
        <v>0</v>
      </c>
      <c r="AN19" s="203"/>
      <c r="AO19" s="150">
        <f>AN19*E19</f>
        <v>0</v>
      </c>
      <c r="AP19" s="92"/>
      <c r="AQ19" s="150">
        <f>AP19*E19</f>
        <v>0</v>
      </c>
      <c r="AR19" s="92"/>
      <c r="AS19" s="150">
        <f>AR19*E19</f>
        <v>0</v>
      </c>
      <c r="AT19" s="203"/>
      <c r="AU19" s="150">
        <f>AT19*E19</f>
        <v>0</v>
      </c>
      <c r="AV19" s="203"/>
      <c r="AW19" s="150">
        <f>AV19*E19</f>
        <v>0</v>
      </c>
      <c r="AX19" s="203"/>
      <c r="AY19" s="150">
        <f>AX19*E19</f>
        <v>0</v>
      </c>
      <c r="AZ19" s="92"/>
      <c r="BA19" s="150">
        <f>AZ19*E19</f>
        <v>0</v>
      </c>
      <c r="BB19" s="92"/>
      <c r="BC19" s="150">
        <f>BB19*E19</f>
        <v>0</v>
      </c>
      <c r="BD19" s="92"/>
      <c r="BE19" s="150">
        <f>BD19*E19</f>
        <v>0</v>
      </c>
      <c r="BF19" s="92"/>
      <c r="BG19" s="150">
        <f>BF19*E19</f>
        <v>0</v>
      </c>
      <c r="BH19" s="92"/>
      <c r="BI19" s="150">
        <f>BH19*E19</f>
        <v>0</v>
      </c>
      <c r="BJ19" s="224">
        <f t="shared" ref="BJ19:BK22" si="6">Z19+AB19+AD19+AF19+AH19+AJ19+AL19+AN19+AP19+AR19+AT19+AV19+AX19+AZ19+BB19+BD19+BF19+BH19</f>
        <v>0</v>
      </c>
      <c r="BK19" s="224">
        <f t="shared" si="6"/>
        <v>0</v>
      </c>
      <c r="BL19" s="362"/>
      <c r="BN19" s="69"/>
      <c r="BO19" s="69"/>
      <c r="BP19" s="69"/>
      <c r="BQ19" s="69"/>
      <c r="BR19" s="69"/>
      <c r="BS19" s="69"/>
      <c r="BT19" s="69"/>
      <c r="BU19" s="69"/>
      <c r="BV19" s="108">
        <f>BR19+BU19</f>
        <v>0</v>
      </c>
    </row>
    <row r="20" spans="1:74" s="59" customFormat="1">
      <c r="A20" s="433"/>
      <c r="B20" s="93"/>
      <c r="C20" s="309" t="s">
        <v>590</v>
      </c>
      <c r="D20" s="362"/>
      <c r="E20" s="362"/>
      <c r="F20" s="184"/>
      <c r="G20" s="308" t="s">
        <v>36</v>
      </c>
      <c r="H20" s="184"/>
      <c r="I20" s="150"/>
      <c r="J20" s="150"/>
      <c r="K20" s="150"/>
      <c r="L20" s="150"/>
      <c r="M20" s="150"/>
      <c r="N20" s="150"/>
      <c r="O20" s="150"/>
      <c r="P20" s="150"/>
      <c r="Q20" s="150"/>
      <c r="R20" s="148"/>
      <c r="S20" s="148"/>
      <c r="T20" s="148"/>
      <c r="U20" s="148"/>
      <c r="V20" s="150"/>
      <c r="W20" s="150"/>
      <c r="X20" s="150"/>
      <c r="Y20" s="150"/>
      <c r="Z20" s="92"/>
      <c r="AA20" s="150">
        <f>Z20*E20</f>
        <v>0</v>
      </c>
      <c r="AB20" s="92"/>
      <c r="AC20" s="150">
        <f>AB20*E20</f>
        <v>0</v>
      </c>
      <c r="AD20" s="92"/>
      <c r="AE20" s="150">
        <f>AD20*E20</f>
        <v>0</v>
      </c>
      <c r="AF20" s="92"/>
      <c r="AG20" s="150">
        <f>AF20*E20</f>
        <v>0</v>
      </c>
      <c r="AH20" s="92"/>
      <c r="AI20" s="150">
        <f>AH20*E20</f>
        <v>0</v>
      </c>
      <c r="AJ20" s="203"/>
      <c r="AK20" s="150">
        <f>AJ20*E20</f>
        <v>0</v>
      </c>
      <c r="AL20" s="92"/>
      <c r="AM20" s="150">
        <f>AL20*E20</f>
        <v>0</v>
      </c>
      <c r="AN20" s="203"/>
      <c r="AO20" s="150">
        <f>AN20*E20</f>
        <v>0</v>
      </c>
      <c r="AP20" s="92"/>
      <c r="AQ20" s="150">
        <f>AP20*E20</f>
        <v>0</v>
      </c>
      <c r="AR20" s="92"/>
      <c r="AS20" s="150">
        <f>AR20*E20</f>
        <v>0</v>
      </c>
      <c r="AT20" s="203"/>
      <c r="AU20" s="150">
        <f>AT20*E20</f>
        <v>0</v>
      </c>
      <c r="AV20" s="203"/>
      <c r="AW20" s="150">
        <f>AV20*E20</f>
        <v>0</v>
      </c>
      <c r="AX20" s="203"/>
      <c r="AY20" s="150">
        <f>AX20*E20</f>
        <v>0</v>
      </c>
      <c r="AZ20" s="92"/>
      <c r="BA20" s="150">
        <f>AZ20*E20</f>
        <v>0</v>
      </c>
      <c r="BB20" s="92"/>
      <c r="BC20" s="150">
        <f>BB20*E20</f>
        <v>0</v>
      </c>
      <c r="BD20" s="92"/>
      <c r="BE20" s="150">
        <f>BD20*E20</f>
        <v>0</v>
      </c>
      <c r="BF20" s="92"/>
      <c r="BG20" s="150">
        <f>BF20*E20</f>
        <v>0</v>
      </c>
      <c r="BH20" s="92"/>
      <c r="BI20" s="150">
        <f>BH20*E20</f>
        <v>0</v>
      </c>
      <c r="BJ20" s="224">
        <f t="shared" si="6"/>
        <v>0</v>
      </c>
      <c r="BK20" s="224">
        <f t="shared" si="6"/>
        <v>0</v>
      </c>
      <c r="BL20" s="362"/>
      <c r="BN20" s="69"/>
      <c r="BO20" s="69"/>
      <c r="BP20" s="69"/>
      <c r="BQ20" s="69"/>
      <c r="BR20" s="69"/>
      <c r="BS20" s="69"/>
      <c r="BT20" s="69"/>
      <c r="BU20" s="69"/>
      <c r="BV20" s="108">
        <f>BR20+BU20</f>
        <v>0</v>
      </c>
    </row>
    <row r="21" spans="1:74" s="59" customFormat="1">
      <c r="A21" s="433"/>
      <c r="B21" s="395"/>
      <c r="C21" s="307" t="s">
        <v>81</v>
      </c>
      <c r="D21" s="362" t="s">
        <v>72</v>
      </c>
      <c r="E21" s="636" t="s">
        <v>474</v>
      </c>
      <c r="F21" s="184">
        <f>BJ21</f>
        <v>1</v>
      </c>
      <c r="G21" s="636">
        <f>F21*E21</f>
        <v>500000</v>
      </c>
      <c r="H21" s="184">
        <f>G21*0.2</f>
        <v>100000</v>
      </c>
      <c r="I21" s="118">
        <f>G21*0.8</f>
        <v>400000</v>
      </c>
      <c r="J21" s="118"/>
      <c r="K21" s="118"/>
      <c r="L21" s="118"/>
      <c r="M21" s="118"/>
      <c r="N21" s="118"/>
      <c r="O21" s="215"/>
      <c r="P21" s="215"/>
      <c r="Q21" s="215"/>
      <c r="R21" s="148"/>
      <c r="S21" s="148">
        <f>F21</f>
        <v>1</v>
      </c>
      <c r="T21" s="148"/>
      <c r="U21" s="148"/>
      <c r="V21" s="150">
        <f>R21*E21</f>
        <v>0</v>
      </c>
      <c r="W21" s="150">
        <f>S21*E21</f>
        <v>500000</v>
      </c>
      <c r="X21" s="150">
        <f>T21*E21</f>
        <v>0</v>
      </c>
      <c r="Y21" s="150">
        <f>U21*E21</f>
        <v>0</v>
      </c>
      <c r="Z21" s="214"/>
      <c r="AA21" s="150">
        <f>Z21*E21</f>
        <v>0</v>
      </c>
      <c r="AB21" s="214"/>
      <c r="AC21" s="150">
        <f>AB21*E21</f>
        <v>0</v>
      </c>
      <c r="AD21" s="214"/>
      <c r="AE21" s="150">
        <f>AD21*E21</f>
        <v>0</v>
      </c>
      <c r="AF21" s="214"/>
      <c r="AG21" s="150">
        <f>AF21*E21</f>
        <v>0</v>
      </c>
      <c r="AH21" s="214"/>
      <c r="AI21" s="150">
        <f>AH21*E21</f>
        <v>0</v>
      </c>
      <c r="AJ21" s="203"/>
      <c r="AK21" s="150">
        <f>AJ21*E21</f>
        <v>0</v>
      </c>
      <c r="AL21" s="214"/>
      <c r="AM21" s="150">
        <f>AL21*E21</f>
        <v>0</v>
      </c>
      <c r="AN21" s="203"/>
      <c r="AO21" s="150">
        <f>AN21*E21</f>
        <v>0</v>
      </c>
      <c r="AP21" s="214"/>
      <c r="AQ21" s="150">
        <f>AP21*E21</f>
        <v>0</v>
      </c>
      <c r="AR21" s="214"/>
      <c r="AS21" s="150">
        <f>AR21*E21</f>
        <v>0</v>
      </c>
      <c r="AT21" s="203"/>
      <c r="AU21" s="150">
        <f>AT21*E21</f>
        <v>0</v>
      </c>
      <c r="AV21" s="203"/>
      <c r="AW21" s="150">
        <f>AV21*E21</f>
        <v>0</v>
      </c>
      <c r="AX21" s="203"/>
      <c r="AY21" s="150">
        <f>AX21*E21</f>
        <v>0</v>
      </c>
      <c r="AZ21" s="214"/>
      <c r="BA21" s="150">
        <f>AZ21*E21</f>
        <v>0</v>
      </c>
      <c r="BB21" s="214"/>
      <c r="BC21" s="150">
        <f>BB21*E21</f>
        <v>0</v>
      </c>
      <c r="BD21" s="214"/>
      <c r="BE21" s="150">
        <f>BD21*E21</f>
        <v>0</v>
      </c>
      <c r="BF21" s="214"/>
      <c r="BG21" s="150">
        <f>BF21*E21</f>
        <v>0</v>
      </c>
      <c r="BH21" s="214">
        <v>1</v>
      </c>
      <c r="BI21" s="150">
        <f>BH21*E21</f>
        <v>500000</v>
      </c>
      <c r="BJ21" s="224">
        <f t="shared" si="6"/>
        <v>1</v>
      </c>
      <c r="BK21" s="224">
        <f t="shared" si="6"/>
        <v>500000</v>
      </c>
      <c r="BL21" s="362" t="s">
        <v>224</v>
      </c>
      <c r="BN21" s="69"/>
      <c r="BO21" s="69">
        <f>BK21</f>
        <v>500000</v>
      </c>
      <c r="BP21" s="69"/>
      <c r="BQ21" s="69"/>
      <c r="BR21" s="69">
        <f>BN21+BO21+BP21+BQ21</f>
        <v>500000</v>
      </c>
      <c r="BS21" s="69"/>
      <c r="BT21" s="69"/>
      <c r="BU21" s="69">
        <f>BS21+BT21</f>
        <v>0</v>
      </c>
      <c r="BV21" s="108">
        <f>BR21+BU21</f>
        <v>500000</v>
      </c>
    </row>
    <row r="22" spans="1:74" s="59" customFormat="1">
      <c r="A22" s="433"/>
      <c r="B22" s="93"/>
      <c r="C22" s="307" t="s">
        <v>584</v>
      </c>
      <c r="D22" s="362" t="s">
        <v>69</v>
      </c>
      <c r="E22" s="637">
        <v>500000</v>
      </c>
      <c r="F22" s="96">
        <f>BJ22</f>
        <v>89</v>
      </c>
      <c r="G22" s="636">
        <f>F22*E22</f>
        <v>44500000</v>
      </c>
      <c r="H22" s="184">
        <f>0.2*G22</f>
        <v>8900000</v>
      </c>
      <c r="I22" s="215">
        <f>0.8*G22</f>
        <v>35600000</v>
      </c>
      <c r="J22" s="118"/>
      <c r="K22" s="118"/>
      <c r="L22" s="215"/>
      <c r="M22" s="118"/>
      <c r="N22" s="118"/>
      <c r="O22" s="215"/>
      <c r="P22" s="215"/>
      <c r="Q22" s="215"/>
      <c r="R22" s="148">
        <f>F22*0.25</f>
        <v>22.25</v>
      </c>
      <c r="S22" s="148">
        <f>F22*0.25</f>
        <v>22.25</v>
      </c>
      <c r="T22" s="148">
        <f>F22*0.25</f>
        <v>22.25</v>
      </c>
      <c r="U22" s="148">
        <f>F22*0.25</f>
        <v>22.25</v>
      </c>
      <c r="V22" s="150">
        <f>R22*E22</f>
        <v>11125000</v>
      </c>
      <c r="W22" s="150">
        <f>S22*E22</f>
        <v>11125000</v>
      </c>
      <c r="X22" s="150">
        <f>T22*E22</f>
        <v>11125000</v>
      </c>
      <c r="Y22" s="150">
        <f>U22*E22</f>
        <v>11125000</v>
      </c>
      <c r="Z22" s="203">
        <v>3</v>
      </c>
      <c r="AA22" s="150">
        <f>Z22*E22</f>
        <v>1500000</v>
      </c>
      <c r="AB22" s="203">
        <v>3</v>
      </c>
      <c r="AC22" s="150">
        <f>AB22*E22</f>
        <v>1500000</v>
      </c>
      <c r="AD22" s="203">
        <v>4</v>
      </c>
      <c r="AE22" s="150">
        <f>AD22*E22</f>
        <v>2000000</v>
      </c>
      <c r="AF22" s="203">
        <v>5</v>
      </c>
      <c r="AG22" s="150">
        <f>AF22*E22</f>
        <v>2500000</v>
      </c>
      <c r="AH22" s="203">
        <v>2</v>
      </c>
      <c r="AI22" s="150">
        <f>AH22*E22</f>
        <v>1000000</v>
      </c>
      <c r="AJ22" s="203">
        <v>4</v>
      </c>
      <c r="AK22" s="150">
        <f>AJ22*E22</f>
        <v>2000000</v>
      </c>
      <c r="AL22" s="203">
        <v>5</v>
      </c>
      <c r="AM22" s="150">
        <f>AL22*E22</f>
        <v>2500000</v>
      </c>
      <c r="AN22" s="203">
        <v>8</v>
      </c>
      <c r="AO22" s="150">
        <f>AN22*E22</f>
        <v>4000000</v>
      </c>
      <c r="AP22" s="203">
        <v>2</v>
      </c>
      <c r="AQ22" s="150">
        <f>AP22*E22</f>
        <v>1000000</v>
      </c>
      <c r="AR22" s="203">
        <v>3</v>
      </c>
      <c r="AS22" s="150">
        <f>AR22*E22</f>
        <v>1500000</v>
      </c>
      <c r="AT22" s="203">
        <v>6</v>
      </c>
      <c r="AU22" s="150">
        <f>AT22*E22</f>
        <v>3000000</v>
      </c>
      <c r="AV22" s="203">
        <v>5</v>
      </c>
      <c r="AW22" s="150">
        <f>AV22*E22</f>
        <v>2500000</v>
      </c>
      <c r="AX22" s="203">
        <v>9</v>
      </c>
      <c r="AY22" s="150">
        <f>AX22*E22</f>
        <v>4500000</v>
      </c>
      <c r="AZ22" s="203">
        <v>9</v>
      </c>
      <c r="BA22" s="150">
        <f>AZ22*E22</f>
        <v>4500000</v>
      </c>
      <c r="BB22" s="203">
        <v>3</v>
      </c>
      <c r="BC22" s="150">
        <f>BB22*E22</f>
        <v>1500000</v>
      </c>
      <c r="BD22" s="203">
        <v>12</v>
      </c>
      <c r="BE22" s="150">
        <f>BD22*E22</f>
        <v>6000000</v>
      </c>
      <c r="BF22" s="203">
        <v>6</v>
      </c>
      <c r="BG22" s="150">
        <f>BF22*E22</f>
        <v>3000000</v>
      </c>
      <c r="BH22" s="203"/>
      <c r="BI22" s="150">
        <f>BH22*E22</f>
        <v>0</v>
      </c>
      <c r="BJ22" s="224">
        <f t="shared" si="6"/>
        <v>89</v>
      </c>
      <c r="BK22" s="224">
        <f t="shared" si="6"/>
        <v>44500000</v>
      </c>
      <c r="BL22" s="362" t="s">
        <v>224</v>
      </c>
      <c r="BN22" s="69">
        <f>BK22</f>
        <v>44500000</v>
      </c>
      <c r="BO22" s="69"/>
      <c r="BP22" s="69"/>
      <c r="BQ22" s="69"/>
      <c r="BR22" s="69">
        <f t="shared" ref="BR22:BR32" si="7">BN22+BO22+BP22+BQ22</f>
        <v>44500000</v>
      </c>
      <c r="BS22" s="69"/>
      <c r="BT22" s="69"/>
      <c r="BU22" s="69">
        <f t="shared" ref="BU22:BU32" si="8">BS22+BT22</f>
        <v>0</v>
      </c>
      <c r="BV22" s="108">
        <f t="shared" ref="BV22:BV32" si="9">BR22+BU22</f>
        <v>44500000</v>
      </c>
    </row>
    <row r="23" spans="1:74" s="59" customFormat="1">
      <c r="A23" s="433"/>
      <c r="B23" s="395"/>
      <c r="C23" s="307" t="s">
        <v>762</v>
      </c>
      <c r="D23" s="362"/>
      <c r="E23" s="636">
        <v>300000</v>
      </c>
      <c r="F23" s="96">
        <f t="shared" ref="F23:F30" si="10">BJ23</f>
        <v>89</v>
      </c>
      <c r="G23" s="636">
        <f t="shared" ref="G23:G30" si="11">F23*E23</f>
        <v>26700000</v>
      </c>
      <c r="H23" s="184"/>
      <c r="I23" s="118"/>
      <c r="J23" s="118"/>
      <c r="K23" s="118"/>
      <c r="L23" s="532">
        <f>G23</f>
        <v>26700000</v>
      </c>
      <c r="M23" s="118"/>
      <c r="N23" s="118"/>
      <c r="O23" s="215"/>
      <c r="P23" s="215"/>
      <c r="Q23" s="215"/>
      <c r="R23" s="148"/>
      <c r="S23" s="148"/>
      <c r="T23" s="148"/>
      <c r="U23" s="148"/>
      <c r="V23" s="150"/>
      <c r="W23" s="150"/>
      <c r="X23" s="150"/>
      <c r="Y23" s="150"/>
      <c r="Z23" s="214">
        <v>3</v>
      </c>
      <c r="AA23" s="150">
        <f t="shared" ref="AA23:AA30" si="12">Z23*E23</f>
        <v>900000</v>
      </c>
      <c r="AB23" s="214">
        <v>3</v>
      </c>
      <c r="AC23" s="150">
        <f t="shared" ref="AC23:AC30" si="13">AB23*E23</f>
        <v>900000</v>
      </c>
      <c r="AD23" s="214">
        <v>4</v>
      </c>
      <c r="AE23" s="150">
        <f t="shared" ref="AE23:AE30" si="14">AD23*E23</f>
        <v>1200000</v>
      </c>
      <c r="AF23" s="214">
        <v>5</v>
      </c>
      <c r="AG23" s="150">
        <f t="shared" ref="AG23:AG30" si="15">AF23*E23</f>
        <v>1500000</v>
      </c>
      <c r="AH23" s="214">
        <v>2</v>
      </c>
      <c r="AI23" s="150">
        <f t="shared" ref="AI23:AI30" si="16">AH23*E23</f>
        <v>600000</v>
      </c>
      <c r="AJ23" s="203">
        <v>4</v>
      </c>
      <c r="AK23" s="150">
        <f t="shared" ref="AK23:AK30" si="17">AJ23*E23</f>
        <v>1200000</v>
      </c>
      <c r="AL23" s="214">
        <v>5</v>
      </c>
      <c r="AM23" s="150">
        <f t="shared" ref="AM23:AM30" si="18">AL23*E23</f>
        <v>1500000</v>
      </c>
      <c r="AN23" s="203">
        <v>8</v>
      </c>
      <c r="AO23" s="150">
        <f t="shared" ref="AO23:AO30" si="19">AN23*E23</f>
        <v>2400000</v>
      </c>
      <c r="AP23" s="214">
        <v>2</v>
      </c>
      <c r="AQ23" s="150">
        <f t="shared" ref="AQ23:AQ30" si="20">AP23*E23</f>
        <v>600000</v>
      </c>
      <c r="AR23" s="214">
        <v>3</v>
      </c>
      <c r="AS23" s="150">
        <f t="shared" ref="AS23:AS30" si="21">AR23*E23</f>
        <v>900000</v>
      </c>
      <c r="AT23" s="203">
        <v>6</v>
      </c>
      <c r="AU23" s="150">
        <f t="shared" ref="AU23:AU30" si="22">AT23*E23</f>
        <v>1800000</v>
      </c>
      <c r="AV23" s="203">
        <v>5</v>
      </c>
      <c r="AW23" s="150">
        <f t="shared" ref="AW23:AW30" si="23">AV23*E23</f>
        <v>1500000</v>
      </c>
      <c r="AX23" s="203">
        <v>9</v>
      </c>
      <c r="AY23" s="150">
        <f t="shared" ref="AY23:AY30" si="24">AX23*E23</f>
        <v>2700000</v>
      </c>
      <c r="AZ23" s="214">
        <v>9</v>
      </c>
      <c r="BA23" s="150">
        <f t="shared" ref="BA23:BA30" si="25">AZ23*E23</f>
        <v>2700000</v>
      </c>
      <c r="BB23" s="214">
        <v>3</v>
      </c>
      <c r="BC23" s="150">
        <f t="shared" ref="BC23:BC30" si="26">BB23*E23</f>
        <v>900000</v>
      </c>
      <c r="BD23" s="214">
        <v>12</v>
      </c>
      <c r="BE23" s="150">
        <f t="shared" ref="BE23:BE30" si="27">BD23*E23</f>
        <v>3600000</v>
      </c>
      <c r="BF23" s="214">
        <v>6</v>
      </c>
      <c r="BG23" s="150">
        <f t="shared" ref="BG23:BG30" si="28">BF23*E23</f>
        <v>1800000</v>
      </c>
      <c r="BH23" s="214"/>
      <c r="BI23" s="150"/>
      <c r="BJ23" s="224">
        <f t="shared" ref="BJ23:BJ30" si="29">Z23+AB23+AD23+AF23+AH23+AJ23+AL23+AN23+AP23+AR23+AT23+AV23+AX23+AZ23+BB23+BD23+BF23+BH23</f>
        <v>89</v>
      </c>
      <c r="BK23" s="224">
        <f t="shared" ref="BK23:BK30" si="30">AA23+AC23+AE23+AG23+AI23+AK23+AM23+AO23+AQ23+AS23+AU23+AW23+AY23+BA23+BC23+BE23+BG23+BI23</f>
        <v>26700000</v>
      </c>
      <c r="BL23" s="362" t="s">
        <v>403</v>
      </c>
      <c r="BN23" s="69"/>
      <c r="BO23" s="69"/>
      <c r="BP23" s="69">
        <f>BK23</f>
        <v>26700000</v>
      </c>
      <c r="BQ23" s="69"/>
      <c r="BR23" s="69">
        <f t="shared" si="7"/>
        <v>26700000</v>
      </c>
      <c r="BS23" s="69"/>
      <c r="BT23" s="69"/>
      <c r="BU23" s="69">
        <f t="shared" si="8"/>
        <v>0</v>
      </c>
      <c r="BV23" s="108">
        <f t="shared" si="9"/>
        <v>26700000</v>
      </c>
    </row>
    <row r="24" spans="1:74" s="59" customFormat="1">
      <c r="A24" s="433"/>
      <c r="B24" s="395"/>
      <c r="C24" s="307" t="s">
        <v>763</v>
      </c>
      <c r="D24" s="362"/>
      <c r="E24" s="636">
        <v>145000</v>
      </c>
      <c r="F24" s="96">
        <f t="shared" si="10"/>
        <v>89</v>
      </c>
      <c r="G24" s="636">
        <f t="shared" si="11"/>
        <v>12905000</v>
      </c>
      <c r="H24" s="184"/>
      <c r="I24" s="118"/>
      <c r="J24" s="118"/>
      <c r="K24" s="118"/>
      <c r="L24" s="532">
        <f t="shared" ref="L24:L30" si="31">G24</f>
        <v>12905000</v>
      </c>
      <c r="M24" s="118"/>
      <c r="N24" s="118"/>
      <c r="O24" s="215"/>
      <c r="P24" s="215"/>
      <c r="Q24" s="215"/>
      <c r="R24" s="148"/>
      <c r="S24" s="148"/>
      <c r="T24" s="148"/>
      <c r="U24" s="148"/>
      <c r="V24" s="150"/>
      <c r="W24" s="150"/>
      <c r="X24" s="150"/>
      <c r="Y24" s="150"/>
      <c r="Z24" s="214">
        <v>3</v>
      </c>
      <c r="AA24" s="150">
        <f t="shared" si="12"/>
        <v>435000</v>
      </c>
      <c r="AB24" s="214">
        <v>3</v>
      </c>
      <c r="AC24" s="150">
        <f t="shared" si="13"/>
        <v>435000</v>
      </c>
      <c r="AD24" s="214">
        <v>4</v>
      </c>
      <c r="AE24" s="150">
        <f t="shared" si="14"/>
        <v>580000</v>
      </c>
      <c r="AF24" s="214">
        <v>5</v>
      </c>
      <c r="AG24" s="150">
        <f t="shared" si="15"/>
        <v>725000</v>
      </c>
      <c r="AH24" s="214">
        <v>2</v>
      </c>
      <c r="AI24" s="150">
        <f t="shared" si="16"/>
        <v>290000</v>
      </c>
      <c r="AJ24" s="203">
        <v>4</v>
      </c>
      <c r="AK24" s="150">
        <f t="shared" si="17"/>
        <v>580000</v>
      </c>
      <c r="AL24" s="214">
        <v>5</v>
      </c>
      <c r="AM24" s="150">
        <f t="shared" si="18"/>
        <v>725000</v>
      </c>
      <c r="AN24" s="203">
        <v>8</v>
      </c>
      <c r="AO24" s="150">
        <f t="shared" si="19"/>
        <v>1160000</v>
      </c>
      <c r="AP24" s="214">
        <v>2</v>
      </c>
      <c r="AQ24" s="150">
        <f t="shared" si="20"/>
        <v>290000</v>
      </c>
      <c r="AR24" s="214">
        <v>3</v>
      </c>
      <c r="AS24" s="150">
        <f t="shared" si="21"/>
        <v>435000</v>
      </c>
      <c r="AT24" s="203">
        <v>6</v>
      </c>
      <c r="AU24" s="150">
        <f t="shared" si="22"/>
        <v>870000</v>
      </c>
      <c r="AV24" s="203">
        <v>5</v>
      </c>
      <c r="AW24" s="150">
        <f t="shared" si="23"/>
        <v>725000</v>
      </c>
      <c r="AX24" s="203">
        <v>9</v>
      </c>
      <c r="AY24" s="150">
        <f t="shared" si="24"/>
        <v>1305000</v>
      </c>
      <c r="AZ24" s="214">
        <v>9</v>
      </c>
      <c r="BA24" s="150">
        <f t="shared" si="25"/>
        <v>1305000</v>
      </c>
      <c r="BB24" s="214">
        <v>3</v>
      </c>
      <c r="BC24" s="150">
        <f t="shared" si="26"/>
        <v>435000</v>
      </c>
      <c r="BD24" s="214">
        <v>12</v>
      </c>
      <c r="BE24" s="150">
        <f t="shared" si="27"/>
        <v>1740000</v>
      </c>
      <c r="BF24" s="214">
        <v>6</v>
      </c>
      <c r="BG24" s="150">
        <f t="shared" si="28"/>
        <v>870000</v>
      </c>
      <c r="BH24" s="214"/>
      <c r="BI24" s="150"/>
      <c r="BJ24" s="224">
        <f t="shared" si="29"/>
        <v>89</v>
      </c>
      <c r="BK24" s="224">
        <f t="shared" si="30"/>
        <v>12905000</v>
      </c>
      <c r="BL24" s="362" t="s">
        <v>403</v>
      </c>
      <c r="BN24" s="69"/>
      <c r="BO24" s="69"/>
      <c r="BP24" s="69"/>
      <c r="BQ24" s="69"/>
      <c r="BR24" s="69">
        <f t="shared" si="7"/>
        <v>0</v>
      </c>
      <c r="BS24" s="69"/>
      <c r="BT24" s="69">
        <f t="shared" ref="BT24:BT29" si="32">BK24</f>
        <v>12905000</v>
      </c>
      <c r="BU24" s="69">
        <f t="shared" si="8"/>
        <v>12905000</v>
      </c>
      <c r="BV24" s="108">
        <f t="shared" si="9"/>
        <v>12905000</v>
      </c>
    </row>
    <row r="25" spans="1:74" s="59" customFormat="1">
      <c r="A25" s="433"/>
      <c r="B25" s="395"/>
      <c r="C25" s="307" t="s">
        <v>764</v>
      </c>
      <c r="D25" s="362"/>
      <c r="E25" s="636">
        <v>15000</v>
      </c>
      <c r="F25" s="96">
        <f t="shared" si="10"/>
        <v>300</v>
      </c>
      <c r="G25" s="636">
        <f t="shared" si="11"/>
        <v>4500000</v>
      </c>
      <c r="H25" s="184"/>
      <c r="I25" s="118"/>
      <c r="J25" s="118"/>
      <c r="K25" s="118"/>
      <c r="L25" s="532">
        <f t="shared" si="31"/>
        <v>4500000</v>
      </c>
      <c r="M25" s="118"/>
      <c r="N25" s="118"/>
      <c r="O25" s="215"/>
      <c r="P25" s="215"/>
      <c r="Q25" s="215"/>
      <c r="R25" s="148"/>
      <c r="S25" s="148"/>
      <c r="T25" s="148"/>
      <c r="U25" s="148"/>
      <c r="V25" s="150"/>
      <c r="W25" s="150"/>
      <c r="X25" s="150"/>
      <c r="Y25" s="150"/>
      <c r="Z25" s="214">
        <v>18</v>
      </c>
      <c r="AA25" s="150">
        <f t="shared" si="12"/>
        <v>270000</v>
      </c>
      <c r="AB25" s="214">
        <v>7</v>
      </c>
      <c r="AC25" s="150">
        <f t="shared" si="13"/>
        <v>105000</v>
      </c>
      <c r="AD25" s="214">
        <v>23</v>
      </c>
      <c r="AE25" s="150">
        <f t="shared" si="14"/>
        <v>345000</v>
      </c>
      <c r="AF25" s="214">
        <v>26</v>
      </c>
      <c r="AG25" s="150">
        <f t="shared" si="15"/>
        <v>390000</v>
      </c>
      <c r="AH25" s="214">
        <v>15</v>
      </c>
      <c r="AI25" s="150">
        <f t="shared" si="16"/>
        <v>225000</v>
      </c>
      <c r="AJ25" s="203">
        <v>32</v>
      </c>
      <c r="AK25" s="150">
        <f t="shared" si="17"/>
        <v>480000</v>
      </c>
      <c r="AL25" s="214">
        <v>8</v>
      </c>
      <c r="AM25" s="150">
        <f t="shared" si="18"/>
        <v>120000</v>
      </c>
      <c r="AN25" s="203">
        <v>7</v>
      </c>
      <c r="AO25" s="150">
        <f t="shared" si="19"/>
        <v>105000</v>
      </c>
      <c r="AP25" s="214">
        <v>5</v>
      </c>
      <c r="AQ25" s="150">
        <f t="shared" si="20"/>
        <v>75000</v>
      </c>
      <c r="AR25" s="214">
        <v>9</v>
      </c>
      <c r="AS25" s="150">
        <f t="shared" si="21"/>
        <v>135000</v>
      </c>
      <c r="AT25" s="203">
        <v>15</v>
      </c>
      <c r="AU25" s="150">
        <f t="shared" si="22"/>
        <v>225000</v>
      </c>
      <c r="AV25" s="203">
        <v>15</v>
      </c>
      <c r="AW25" s="150">
        <f t="shared" si="23"/>
        <v>225000</v>
      </c>
      <c r="AX25" s="203">
        <v>19</v>
      </c>
      <c r="AY25" s="150">
        <f t="shared" si="24"/>
        <v>285000</v>
      </c>
      <c r="AZ25" s="214">
        <v>12</v>
      </c>
      <c r="BA25" s="150">
        <f t="shared" si="25"/>
        <v>180000</v>
      </c>
      <c r="BB25" s="214">
        <v>45</v>
      </c>
      <c r="BC25" s="150">
        <f t="shared" si="26"/>
        <v>675000</v>
      </c>
      <c r="BD25" s="214">
        <v>10</v>
      </c>
      <c r="BE25" s="150">
        <f t="shared" si="27"/>
        <v>150000</v>
      </c>
      <c r="BF25" s="214">
        <v>34</v>
      </c>
      <c r="BG25" s="150">
        <f t="shared" si="28"/>
        <v>510000</v>
      </c>
      <c r="BH25" s="214"/>
      <c r="BI25" s="150"/>
      <c r="BJ25" s="224">
        <f t="shared" si="29"/>
        <v>300</v>
      </c>
      <c r="BK25" s="224">
        <f t="shared" si="30"/>
        <v>4500000</v>
      </c>
      <c r="BL25" s="362" t="s">
        <v>403</v>
      </c>
      <c r="BN25" s="69"/>
      <c r="BO25" s="69"/>
      <c r="BP25" s="69"/>
      <c r="BQ25" s="69"/>
      <c r="BR25" s="69">
        <f t="shared" si="7"/>
        <v>0</v>
      </c>
      <c r="BS25" s="69"/>
      <c r="BT25" s="69">
        <f t="shared" si="32"/>
        <v>4500000</v>
      </c>
      <c r="BU25" s="69">
        <f t="shared" si="8"/>
        <v>4500000</v>
      </c>
      <c r="BV25" s="108">
        <f t="shared" si="9"/>
        <v>4500000</v>
      </c>
    </row>
    <row r="26" spans="1:74" s="59" customFormat="1">
      <c r="A26" s="433"/>
      <c r="B26" s="395"/>
      <c r="C26" s="307" t="s">
        <v>765</v>
      </c>
      <c r="D26" s="362"/>
      <c r="E26" s="636">
        <v>150000</v>
      </c>
      <c r="F26" s="96">
        <f t="shared" si="10"/>
        <v>300</v>
      </c>
      <c r="G26" s="636">
        <f t="shared" si="11"/>
        <v>45000000</v>
      </c>
      <c r="H26" s="184"/>
      <c r="I26" s="118"/>
      <c r="J26" s="118"/>
      <c r="K26" s="118"/>
      <c r="L26" s="532">
        <f t="shared" si="31"/>
        <v>45000000</v>
      </c>
      <c r="M26" s="118"/>
      <c r="N26" s="118"/>
      <c r="O26" s="215"/>
      <c r="P26" s="215"/>
      <c r="Q26" s="215"/>
      <c r="R26" s="148"/>
      <c r="S26" s="148"/>
      <c r="T26" s="148"/>
      <c r="U26" s="148"/>
      <c r="V26" s="150"/>
      <c r="W26" s="150"/>
      <c r="X26" s="150"/>
      <c r="Y26" s="150"/>
      <c r="Z26" s="214">
        <v>18</v>
      </c>
      <c r="AA26" s="150">
        <f t="shared" si="12"/>
        <v>2700000</v>
      </c>
      <c r="AB26" s="214">
        <v>7</v>
      </c>
      <c r="AC26" s="150">
        <f t="shared" si="13"/>
        <v>1050000</v>
      </c>
      <c r="AD26" s="214">
        <v>23</v>
      </c>
      <c r="AE26" s="150">
        <f t="shared" si="14"/>
        <v>3450000</v>
      </c>
      <c r="AF26" s="214">
        <v>26</v>
      </c>
      <c r="AG26" s="150">
        <f t="shared" si="15"/>
        <v>3900000</v>
      </c>
      <c r="AH26" s="214">
        <v>15</v>
      </c>
      <c r="AI26" s="150">
        <f t="shared" si="16"/>
        <v>2250000</v>
      </c>
      <c r="AJ26" s="203">
        <v>32</v>
      </c>
      <c r="AK26" s="150">
        <f t="shared" si="17"/>
        <v>4800000</v>
      </c>
      <c r="AL26" s="214">
        <v>8</v>
      </c>
      <c r="AM26" s="150">
        <f t="shared" si="18"/>
        <v>1200000</v>
      </c>
      <c r="AN26" s="203">
        <v>7</v>
      </c>
      <c r="AO26" s="150">
        <f t="shared" si="19"/>
        <v>1050000</v>
      </c>
      <c r="AP26" s="214">
        <v>5</v>
      </c>
      <c r="AQ26" s="150">
        <f t="shared" si="20"/>
        <v>750000</v>
      </c>
      <c r="AR26" s="214">
        <v>9</v>
      </c>
      <c r="AS26" s="150">
        <f t="shared" si="21"/>
        <v>1350000</v>
      </c>
      <c r="AT26" s="203">
        <v>15</v>
      </c>
      <c r="AU26" s="150">
        <f t="shared" si="22"/>
        <v>2250000</v>
      </c>
      <c r="AV26" s="203">
        <v>15</v>
      </c>
      <c r="AW26" s="150">
        <f t="shared" si="23"/>
        <v>2250000</v>
      </c>
      <c r="AX26" s="203">
        <v>19</v>
      </c>
      <c r="AY26" s="150">
        <f t="shared" si="24"/>
        <v>2850000</v>
      </c>
      <c r="AZ26" s="214">
        <v>12</v>
      </c>
      <c r="BA26" s="150">
        <f t="shared" si="25"/>
        <v>1800000</v>
      </c>
      <c r="BB26" s="214">
        <v>45</v>
      </c>
      <c r="BC26" s="150">
        <f t="shared" si="26"/>
        <v>6750000</v>
      </c>
      <c r="BD26" s="214">
        <v>10</v>
      </c>
      <c r="BE26" s="150">
        <f t="shared" si="27"/>
        <v>1500000</v>
      </c>
      <c r="BF26" s="214">
        <v>34</v>
      </c>
      <c r="BG26" s="150">
        <f t="shared" si="28"/>
        <v>5100000</v>
      </c>
      <c r="BH26" s="214"/>
      <c r="BI26" s="150"/>
      <c r="BJ26" s="224">
        <f t="shared" si="29"/>
        <v>300</v>
      </c>
      <c r="BK26" s="224">
        <f t="shared" si="30"/>
        <v>45000000</v>
      </c>
      <c r="BL26" s="362" t="s">
        <v>403</v>
      </c>
      <c r="BN26" s="69"/>
      <c r="BO26" s="69"/>
      <c r="BP26" s="69"/>
      <c r="BQ26" s="69"/>
      <c r="BR26" s="69">
        <f t="shared" si="7"/>
        <v>0</v>
      </c>
      <c r="BS26" s="69"/>
      <c r="BT26" s="69">
        <f t="shared" si="32"/>
        <v>45000000</v>
      </c>
      <c r="BU26" s="69">
        <f t="shared" si="8"/>
        <v>45000000</v>
      </c>
      <c r="BV26" s="108">
        <f t="shared" si="9"/>
        <v>45000000</v>
      </c>
    </row>
    <row r="27" spans="1:74" s="59" customFormat="1" ht="31.5">
      <c r="A27" s="433"/>
      <c r="B27" s="395"/>
      <c r="C27" s="421" t="s">
        <v>766</v>
      </c>
      <c r="D27" s="362"/>
      <c r="E27" s="636">
        <v>18000</v>
      </c>
      <c r="F27" s="96">
        <f t="shared" si="10"/>
        <v>300</v>
      </c>
      <c r="G27" s="636">
        <f t="shared" si="11"/>
        <v>5400000</v>
      </c>
      <c r="H27" s="184"/>
      <c r="I27" s="118"/>
      <c r="J27" s="118"/>
      <c r="K27" s="118"/>
      <c r="L27" s="532">
        <f t="shared" si="31"/>
        <v>5400000</v>
      </c>
      <c r="M27" s="118"/>
      <c r="N27" s="118"/>
      <c r="O27" s="215"/>
      <c r="P27" s="215"/>
      <c r="Q27" s="215"/>
      <c r="R27" s="148"/>
      <c r="S27" s="148"/>
      <c r="T27" s="148"/>
      <c r="U27" s="148"/>
      <c r="V27" s="150"/>
      <c r="W27" s="150"/>
      <c r="X27" s="150"/>
      <c r="Y27" s="150"/>
      <c r="Z27" s="214">
        <v>18</v>
      </c>
      <c r="AA27" s="150">
        <f t="shared" si="12"/>
        <v>324000</v>
      </c>
      <c r="AB27" s="214">
        <v>7</v>
      </c>
      <c r="AC27" s="150">
        <f t="shared" si="13"/>
        <v>126000</v>
      </c>
      <c r="AD27" s="214">
        <v>23</v>
      </c>
      <c r="AE27" s="150">
        <f t="shared" si="14"/>
        <v>414000</v>
      </c>
      <c r="AF27" s="214">
        <v>26</v>
      </c>
      <c r="AG27" s="150">
        <f t="shared" si="15"/>
        <v>468000</v>
      </c>
      <c r="AH27" s="214">
        <v>15</v>
      </c>
      <c r="AI27" s="150">
        <f t="shared" si="16"/>
        <v>270000</v>
      </c>
      <c r="AJ27" s="203">
        <v>32</v>
      </c>
      <c r="AK27" s="150">
        <f t="shared" si="17"/>
        <v>576000</v>
      </c>
      <c r="AL27" s="214">
        <v>8</v>
      </c>
      <c r="AM27" s="150">
        <f t="shared" si="18"/>
        <v>144000</v>
      </c>
      <c r="AN27" s="203">
        <v>7</v>
      </c>
      <c r="AO27" s="150">
        <f t="shared" si="19"/>
        <v>126000</v>
      </c>
      <c r="AP27" s="214">
        <v>5</v>
      </c>
      <c r="AQ27" s="150">
        <f t="shared" si="20"/>
        <v>90000</v>
      </c>
      <c r="AR27" s="214">
        <v>9</v>
      </c>
      <c r="AS27" s="150">
        <f t="shared" si="21"/>
        <v>162000</v>
      </c>
      <c r="AT27" s="203">
        <v>15</v>
      </c>
      <c r="AU27" s="150">
        <f t="shared" si="22"/>
        <v>270000</v>
      </c>
      <c r="AV27" s="203">
        <v>15</v>
      </c>
      <c r="AW27" s="150">
        <f t="shared" si="23"/>
        <v>270000</v>
      </c>
      <c r="AX27" s="203">
        <v>19</v>
      </c>
      <c r="AY27" s="150">
        <f t="shared" si="24"/>
        <v>342000</v>
      </c>
      <c r="AZ27" s="214">
        <v>12</v>
      </c>
      <c r="BA27" s="150">
        <f t="shared" si="25"/>
        <v>216000</v>
      </c>
      <c r="BB27" s="214">
        <v>45</v>
      </c>
      <c r="BC27" s="150">
        <f t="shared" si="26"/>
        <v>810000</v>
      </c>
      <c r="BD27" s="214">
        <v>10</v>
      </c>
      <c r="BE27" s="150">
        <f t="shared" si="27"/>
        <v>180000</v>
      </c>
      <c r="BF27" s="214">
        <v>34</v>
      </c>
      <c r="BG27" s="150">
        <f t="shared" si="28"/>
        <v>612000</v>
      </c>
      <c r="BH27" s="214"/>
      <c r="BI27" s="150"/>
      <c r="BJ27" s="224">
        <f t="shared" si="29"/>
        <v>300</v>
      </c>
      <c r="BK27" s="224">
        <f t="shared" si="30"/>
        <v>5400000</v>
      </c>
      <c r="BL27" s="362" t="s">
        <v>403</v>
      </c>
      <c r="BN27" s="69"/>
      <c r="BO27" s="69"/>
      <c r="BP27" s="69"/>
      <c r="BQ27" s="69"/>
      <c r="BR27" s="69">
        <f t="shared" si="7"/>
        <v>0</v>
      </c>
      <c r="BS27" s="69"/>
      <c r="BT27" s="69">
        <f t="shared" si="32"/>
        <v>5400000</v>
      </c>
      <c r="BU27" s="69">
        <f t="shared" si="8"/>
        <v>5400000</v>
      </c>
      <c r="BV27" s="108">
        <f t="shared" si="9"/>
        <v>5400000</v>
      </c>
    </row>
    <row r="28" spans="1:74" s="59" customFormat="1">
      <c r="A28" s="433"/>
      <c r="B28" s="395"/>
      <c r="C28" s="421" t="s">
        <v>767</v>
      </c>
      <c r="D28" s="362"/>
      <c r="E28" s="636">
        <v>10000</v>
      </c>
      <c r="F28" s="96">
        <f t="shared" si="10"/>
        <v>300</v>
      </c>
      <c r="G28" s="636">
        <f t="shared" si="11"/>
        <v>3000000</v>
      </c>
      <c r="H28" s="184"/>
      <c r="I28" s="118"/>
      <c r="J28" s="118"/>
      <c r="K28" s="118"/>
      <c r="L28" s="532">
        <f t="shared" si="31"/>
        <v>3000000</v>
      </c>
      <c r="M28" s="118"/>
      <c r="N28" s="118"/>
      <c r="O28" s="215"/>
      <c r="P28" s="215"/>
      <c r="Q28" s="215"/>
      <c r="R28" s="148"/>
      <c r="S28" s="148"/>
      <c r="T28" s="148"/>
      <c r="U28" s="148"/>
      <c r="V28" s="150"/>
      <c r="W28" s="150"/>
      <c r="X28" s="150"/>
      <c r="Y28" s="150"/>
      <c r="Z28" s="214">
        <v>18</v>
      </c>
      <c r="AA28" s="150">
        <f t="shared" si="12"/>
        <v>180000</v>
      </c>
      <c r="AB28" s="214">
        <v>7</v>
      </c>
      <c r="AC28" s="150">
        <f t="shared" si="13"/>
        <v>70000</v>
      </c>
      <c r="AD28" s="214">
        <v>23</v>
      </c>
      <c r="AE28" s="150">
        <f t="shared" si="14"/>
        <v>230000</v>
      </c>
      <c r="AF28" s="214">
        <v>26</v>
      </c>
      <c r="AG28" s="150">
        <f t="shared" si="15"/>
        <v>260000</v>
      </c>
      <c r="AH28" s="214">
        <v>15</v>
      </c>
      <c r="AI28" s="150">
        <f t="shared" si="16"/>
        <v>150000</v>
      </c>
      <c r="AJ28" s="203">
        <v>32</v>
      </c>
      <c r="AK28" s="150">
        <f t="shared" si="17"/>
        <v>320000</v>
      </c>
      <c r="AL28" s="214">
        <v>8</v>
      </c>
      <c r="AM28" s="150">
        <f t="shared" si="18"/>
        <v>80000</v>
      </c>
      <c r="AN28" s="203">
        <v>7</v>
      </c>
      <c r="AO28" s="150">
        <f t="shared" si="19"/>
        <v>70000</v>
      </c>
      <c r="AP28" s="214">
        <v>5</v>
      </c>
      <c r="AQ28" s="150">
        <f t="shared" si="20"/>
        <v>50000</v>
      </c>
      <c r="AR28" s="214">
        <v>9</v>
      </c>
      <c r="AS28" s="150">
        <f t="shared" si="21"/>
        <v>90000</v>
      </c>
      <c r="AT28" s="203">
        <v>15</v>
      </c>
      <c r="AU28" s="150">
        <f t="shared" si="22"/>
        <v>150000</v>
      </c>
      <c r="AV28" s="203">
        <v>15</v>
      </c>
      <c r="AW28" s="150">
        <f t="shared" si="23"/>
        <v>150000</v>
      </c>
      <c r="AX28" s="203">
        <v>19</v>
      </c>
      <c r="AY28" s="150">
        <f t="shared" si="24"/>
        <v>190000</v>
      </c>
      <c r="AZ28" s="214">
        <v>12</v>
      </c>
      <c r="BA28" s="150">
        <f t="shared" si="25"/>
        <v>120000</v>
      </c>
      <c r="BB28" s="214">
        <v>45</v>
      </c>
      <c r="BC28" s="150">
        <f t="shared" si="26"/>
        <v>450000</v>
      </c>
      <c r="BD28" s="214">
        <v>10</v>
      </c>
      <c r="BE28" s="150">
        <f t="shared" si="27"/>
        <v>100000</v>
      </c>
      <c r="BF28" s="214">
        <v>34</v>
      </c>
      <c r="BG28" s="150">
        <f t="shared" si="28"/>
        <v>340000</v>
      </c>
      <c r="BH28" s="214"/>
      <c r="BI28" s="150"/>
      <c r="BJ28" s="224">
        <f t="shared" si="29"/>
        <v>300</v>
      </c>
      <c r="BK28" s="224">
        <f t="shared" si="30"/>
        <v>3000000</v>
      </c>
      <c r="BL28" s="362" t="s">
        <v>403</v>
      </c>
      <c r="BN28" s="69"/>
      <c r="BO28" s="69"/>
      <c r="BP28" s="69"/>
      <c r="BQ28" s="69"/>
      <c r="BR28" s="69">
        <f t="shared" si="7"/>
        <v>0</v>
      </c>
      <c r="BS28" s="69"/>
      <c r="BT28" s="69">
        <f t="shared" si="32"/>
        <v>3000000</v>
      </c>
      <c r="BU28" s="69">
        <f t="shared" si="8"/>
        <v>3000000</v>
      </c>
      <c r="BV28" s="108">
        <f t="shared" si="9"/>
        <v>3000000</v>
      </c>
    </row>
    <row r="29" spans="1:74" s="59" customFormat="1">
      <c r="A29" s="433"/>
      <c r="B29" s="395"/>
      <c r="C29" s="503" t="s">
        <v>768</v>
      </c>
      <c r="D29" s="362"/>
      <c r="E29" s="636">
        <v>21000</v>
      </c>
      <c r="F29" s="96">
        <f t="shared" si="10"/>
        <v>300</v>
      </c>
      <c r="G29" s="636">
        <f t="shared" si="11"/>
        <v>6300000</v>
      </c>
      <c r="H29" s="184"/>
      <c r="I29" s="118"/>
      <c r="J29" s="118"/>
      <c r="K29" s="118"/>
      <c r="L29" s="532">
        <f t="shared" si="31"/>
        <v>6300000</v>
      </c>
      <c r="M29" s="118"/>
      <c r="N29" s="118"/>
      <c r="O29" s="215"/>
      <c r="P29" s="215"/>
      <c r="Q29" s="215"/>
      <c r="R29" s="148"/>
      <c r="S29" s="148"/>
      <c r="T29" s="148"/>
      <c r="U29" s="148"/>
      <c r="V29" s="150"/>
      <c r="W29" s="150"/>
      <c r="X29" s="150"/>
      <c r="Y29" s="150"/>
      <c r="Z29" s="214">
        <v>18</v>
      </c>
      <c r="AA29" s="150">
        <f t="shared" si="12"/>
        <v>378000</v>
      </c>
      <c r="AB29" s="214">
        <v>7</v>
      </c>
      <c r="AC29" s="150">
        <f t="shared" si="13"/>
        <v>147000</v>
      </c>
      <c r="AD29" s="214">
        <v>23</v>
      </c>
      <c r="AE29" s="150">
        <f t="shared" si="14"/>
        <v>483000</v>
      </c>
      <c r="AF29" s="214">
        <v>26</v>
      </c>
      <c r="AG29" s="150">
        <f t="shared" si="15"/>
        <v>546000</v>
      </c>
      <c r="AH29" s="214">
        <v>15</v>
      </c>
      <c r="AI29" s="150">
        <f t="shared" si="16"/>
        <v>315000</v>
      </c>
      <c r="AJ29" s="203">
        <v>32</v>
      </c>
      <c r="AK29" s="150">
        <f t="shared" si="17"/>
        <v>672000</v>
      </c>
      <c r="AL29" s="214">
        <v>8</v>
      </c>
      <c r="AM29" s="150">
        <f t="shared" si="18"/>
        <v>168000</v>
      </c>
      <c r="AN29" s="203">
        <v>7</v>
      </c>
      <c r="AO29" s="150">
        <f t="shared" si="19"/>
        <v>147000</v>
      </c>
      <c r="AP29" s="214">
        <v>5</v>
      </c>
      <c r="AQ29" s="150">
        <f t="shared" si="20"/>
        <v>105000</v>
      </c>
      <c r="AR29" s="214">
        <v>9</v>
      </c>
      <c r="AS29" s="150">
        <f t="shared" si="21"/>
        <v>189000</v>
      </c>
      <c r="AT29" s="203">
        <v>15</v>
      </c>
      <c r="AU29" s="150">
        <f t="shared" si="22"/>
        <v>315000</v>
      </c>
      <c r="AV29" s="203">
        <v>15</v>
      </c>
      <c r="AW29" s="150">
        <f t="shared" si="23"/>
        <v>315000</v>
      </c>
      <c r="AX29" s="203">
        <v>19</v>
      </c>
      <c r="AY29" s="150">
        <f t="shared" si="24"/>
        <v>399000</v>
      </c>
      <c r="AZ29" s="214">
        <v>12</v>
      </c>
      <c r="BA29" s="150">
        <f t="shared" si="25"/>
        <v>252000</v>
      </c>
      <c r="BB29" s="214">
        <v>45</v>
      </c>
      <c r="BC29" s="150">
        <f t="shared" si="26"/>
        <v>945000</v>
      </c>
      <c r="BD29" s="214">
        <v>10</v>
      </c>
      <c r="BE29" s="150">
        <f t="shared" si="27"/>
        <v>210000</v>
      </c>
      <c r="BF29" s="214">
        <v>34</v>
      </c>
      <c r="BG29" s="150">
        <f t="shared" si="28"/>
        <v>714000</v>
      </c>
      <c r="BH29" s="214"/>
      <c r="BI29" s="150"/>
      <c r="BJ29" s="224">
        <f t="shared" si="29"/>
        <v>300</v>
      </c>
      <c r="BK29" s="224">
        <f t="shared" si="30"/>
        <v>6300000</v>
      </c>
      <c r="BL29" s="362" t="s">
        <v>403</v>
      </c>
      <c r="BN29" s="69"/>
      <c r="BO29" s="69"/>
      <c r="BP29" s="69"/>
      <c r="BQ29" s="69"/>
      <c r="BR29" s="69">
        <f t="shared" si="7"/>
        <v>0</v>
      </c>
      <c r="BS29" s="69"/>
      <c r="BT29" s="69">
        <f t="shared" si="32"/>
        <v>6300000</v>
      </c>
      <c r="BU29" s="69">
        <f t="shared" si="8"/>
        <v>6300000</v>
      </c>
      <c r="BV29" s="108">
        <f t="shared" si="9"/>
        <v>6300000</v>
      </c>
    </row>
    <row r="30" spans="1:74" s="59" customFormat="1" ht="47.25">
      <c r="A30" s="433"/>
      <c r="B30" s="395"/>
      <c r="C30" s="503" t="s">
        <v>769</v>
      </c>
      <c r="D30" s="377"/>
      <c r="E30" s="637">
        <v>360000</v>
      </c>
      <c r="F30" s="96">
        <f t="shared" si="10"/>
        <v>17</v>
      </c>
      <c r="G30" s="637">
        <f t="shared" si="11"/>
        <v>6120000</v>
      </c>
      <c r="H30" s="184"/>
      <c r="I30" s="118"/>
      <c r="J30" s="118"/>
      <c r="K30" s="118"/>
      <c r="L30" s="532">
        <f t="shared" si="31"/>
        <v>6120000</v>
      </c>
      <c r="M30" s="118"/>
      <c r="N30" s="118"/>
      <c r="O30" s="215"/>
      <c r="P30" s="215"/>
      <c r="Q30" s="215"/>
      <c r="R30" s="148"/>
      <c r="S30" s="148"/>
      <c r="T30" s="148"/>
      <c r="U30" s="148"/>
      <c r="V30" s="150"/>
      <c r="W30" s="150"/>
      <c r="X30" s="150"/>
      <c r="Y30" s="150"/>
      <c r="Z30" s="214">
        <v>1</v>
      </c>
      <c r="AA30" s="150">
        <f t="shared" si="12"/>
        <v>360000</v>
      </c>
      <c r="AB30" s="214">
        <v>1</v>
      </c>
      <c r="AC30" s="150">
        <f t="shared" si="13"/>
        <v>360000</v>
      </c>
      <c r="AD30" s="214">
        <v>1</v>
      </c>
      <c r="AE30" s="150">
        <f t="shared" si="14"/>
        <v>360000</v>
      </c>
      <c r="AF30" s="214">
        <v>1</v>
      </c>
      <c r="AG30" s="150">
        <f t="shared" si="15"/>
        <v>360000</v>
      </c>
      <c r="AH30" s="214">
        <v>1</v>
      </c>
      <c r="AI30" s="150">
        <f t="shared" si="16"/>
        <v>360000</v>
      </c>
      <c r="AJ30" s="203">
        <v>1</v>
      </c>
      <c r="AK30" s="150">
        <f t="shared" si="17"/>
        <v>360000</v>
      </c>
      <c r="AL30" s="214">
        <v>1</v>
      </c>
      <c r="AM30" s="150">
        <f t="shared" si="18"/>
        <v>360000</v>
      </c>
      <c r="AN30" s="203">
        <v>1</v>
      </c>
      <c r="AO30" s="150">
        <f t="shared" si="19"/>
        <v>360000</v>
      </c>
      <c r="AP30" s="214">
        <v>1</v>
      </c>
      <c r="AQ30" s="150">
        <f t="shared" si="20"/>
        <v>360000</v>
      </c>
      <c r="AR30" s="214">
        <v>1</v>
      </c>
      <c r="AS30" s="150">
        <f t="shared" si="21"/>
        <v>360000</v>
      </c>
      <c r="AT30" s="203">
        <v>1</v>
      </c>
      <c r="AU30" s="150">
        <f t="shared" si="22"/>
        <v>360000</v>
      </c>
      <c r="AV30" s="203">
        <v>1</v>
      </c>
      <c r="AW30" s="150">
        <f t="shared" si="23"/>
        <v>360000</v>
      </c>
      <c r="AX30" s="203">
        <v>1</v>
      </c>
      <c r="AY30" s="150">
        <f t="shared" si="24"/>
        <v>360000</v>
      </c>
      <c r="AZ30" s="214">
        <v>1</v>
      </c>
      <c r="BA30" s="150">
        <f t="shared" si="25"/>
        <v>360000</v>
      </c>
      <c r="BB30" s="214">
        <v>1</v>
      </c>
      <c r="BC30" s="150">
        <f t="shared" si="26"/>
        <v>360000</v>
      </c>
      <c r="BD30" s="214">
        <v>1</v>
      </c>
      <c r="BE30" s="150">
        <f t="shared" si="27"/>
        <v>360000</v>
      </c>
      <c r="BF30" s="214">
        <v>1</v>
      </c>
      <c r="BG30" s="150">
        <f t="shared" si="28"/>
        <v>360000</v>
      </c>
      <c r="BH30" s="214"/>
      <c r="BI30" s="150"/>
      <c r="BJ30" s="224">
        <f t="shared" si="29"/>
        <v>17</v>
      </c>
      <c r="BK30" s="224">
        <f t="shared" si="30"/>
        <v>6120000</v>
      </c>
      <c r="BL30" s="377" t="s">
        <v>403</v>
      </c>
      <c r="BN30" s="69"/>
      <c r="BO30" s="69"/>
      <c r="BP30" s="69"/>
      <c r="BQ30" s="69"/>
      <c r="BR30" s="69">
        <f t="shared" si="7"/>
        <v>0</v>
      </c>
      <c r="BS30" s="69">
        <f>BK30</f>
        <v>6120000</v>
      </c>
      <c r="BT30" s="69"/>
      <c r="BU30" s="69">
        <f t="shared" si="8"/>
        <v>6120000</v>
      </c>
      <c r="BV30" s="108">
        <f t="shared" si="9"/>
        <v>6120000</v>
      </c>
    </row>
    <row r="31" spans="1:74" s="59" customFormat="1" ht="31.5">
      <c r="A31" s="433"/>
      <c r="B31" s="395"/>
      <c r="C31" s="421" t="s">
        <v>704</v>
      </c>
      <c r="D31" s="362" t="s">
        <v>705</v>
      </c>
      <c r="E31" s="636">
        <v>500000</v>
      </c>
      <c r="F31" s="184">
        <f>BJ31</f>
        <v>0</v>
      </c>
      <c r="G31" s="636">
        <f>F31*E31</f>
        <v>0</v>
      </c>
      <c r="H31" s="184">
        <f>G31*0.2</f>
        <v>0</v>
      </c>
      <c r="I31" s="118">
        <f>G31*0.8</f>
        <v>0</v>
      </c>
      <c r="J31" s="118"/>
      <c r="K31" s="118"/>
      <c r="L31" s="118"/>
      <c r="M31" s="118"/>
      <c r="N31" s="118"/>
      <c r="O31" s="215"/>
      <c r="P31" s="215"/>
      <c r="Q31" s="215"/>
      <c r="R31" s="148"/>
      <c r="S31" s="148">
        <f>F31</f>
        <v>0</v>
      </c>
      <c r="T31" s="148"/>
      <c r="U31" s="148"/>
      <c r="V31" s="150">
        <f>R31*E31</f>
        <v>0</v>
      </c>
      <c r="W31" s="150">
        <f>S31*E31</f>
        <v>0</v>
      </c>
      <c r="X31" s="150">
        <f>T31*E31</f>
        <v>0</v>
      </c>
      <c r="Y31" s="150">
        <f>U31*E31</f>
        <v>0</v>
      </c>
      <c r="Z31" s="214"/>
      <c r="AA31" s="150">
        <f>Z31*E31</f>
        <v>0</v>
      </c>
      <c r="AB31" s="214"/>
      <c r="AC31" s="150">
        <f>AB31*E31</f>
        <v>0</v>
      </c>
      <c r="AD31" s="214"/>
      <c r="AE31" s="150">
        <f>AD31*E31</f>
        <v>0</v>
      </c>
      <c r="AF31" s="214"/>
      <c r="AG31" s="150">
        <f>AF31*E31</f>
        <v>0</v>
      </c>
      <c r="AH31" s="214"/>
      <c r="AI31" s="150">
        <f>AH31*E31</f>
        <v>0</v>
      </c>
      <c r="AJ31" s="203"/>
      <c r="AK31" s="150">
        <f>AJ31*E31</f>
        <v>0</v>
      </c>
      <c r="AL31" s="214"/>
      <c r="AM31" s="150">
        <f>AL31*E31</f>
        <v>0</v>
      </c>
      <c r="AN31" s="203"/>
      <c r="AO31" s="150">
        <f>AN31*E31</f>
        <v>0</v>
      </c>
      <c r="AP31" s="214"/>
      <c r="AQ31" s="150">
        <f>AP31*E31</f>
        <v>0</v>
      </c>
      <c r="AR31" s="214"/>
      <c r="AS31" s="150">
        <f>AR31*E31</f>
        <v>0</v>
      </c>
      <c r="AT31" s="203"/>
      <c r="AU31" s="150">
        <f>AT31*E31</f>
        <v>0</v>
      </c>
      <c r="AV31" s="203"/>
      <c r="AW31" s="150">
        <f>AV31*E31</f>
        <v>0</v>
      </c>
      <c r="AX31" s="203"/>
      <c r="AY31" s="150">
        <f>AX31*E31</f>
        <v>0</v>
      </c>
      <c r="AZ31" s="214"/>
      <c r="BA31" s="150">
        <f>AZ31*E31</f>
        <v>0</v>
      </c>
      <c r="BB31" s="214"/>
      <c r="BC31" s="150">
        <f>BB31*E31</f>
        <v>0</v>
      </c>
      <c r="BD31" s="214"/>
      <c r="BE31" s="150">
        <f>BD31*E31</f>
        <v>0</v>
      </c>
      <c r="BF31" s="214"/>
      <c r="BG31" s="150">
        <f>BF31*E31</f>
        <v>0</v>
      </c>
      <c r="BH31" s="214">
        <v>0</v>
      </c>
      <c r="BI31" s="150">
        <f>BH31*E31</f>
        <v>0</v>
      </c>
      <c r="BJ31" s="224">
        <f>Z31+AB31+AD31+AF31+AH31+AJ31+AL31+AN31+AP31+AR31+AT31+AV31+AX31+AZ31+BB31+BD31+BF31+BH31</f>
        <v>0</v>
      </c>
      <c r="BK31" s="224">
        <f>AA31+AC31+AE31+AG31+AI31+AK31+AM31+AO31+AQ31+AS31+AU31+AW31+AY31+BA31+BC31+BE31+BG31+BI31</f>
        <v>0</v>
      </c>
      <c r="BL31" s="362" t="s">
        <v>224</v>
      </c>
      <c r="BN31" s="69"/>
      <c r="BO31" s="69"/>
      <c r="BP31" s="69"/>
      <c r="BQ31" s="69"/>
      <c r="BR31" s="69">
        <f t="shared" si="7"/>
        <v>0</v>
      </c>
      <c r="BS31" s="69"/>
      <c r="BT31" s="69"/>
      <c r="BU31" s="69">
        <f t="shared" si="8"/>
        <v>0</v>
      </c>
      <c r="BV31" s="108">
        <f t="shared" si="9"/>
        <v>0</v>
      </c>
    </row>
    <row r="32" spans="1:74" s="59" customFormat="1">
      <c r="A32" s="433"/>
      <c r="B32" s="395"/>
      <c r="C32" s="307" t="s">
        <v>433</v>
      </c>
      <c r="D32" s="362" t="s">
        <v>80</v>
      </c>
      <c r="E32" s="636" t="s">
        <v>444</v>
      </c>
      <c r="F32" s="184">
        <f>BJ32</f>
        <v>1500</v>
      </c>
      <c r="G32" s="636">
        <f>F32*E32</f>
        <v>7500000</v>
      </c>
      <c r="H32" s="184">
        <f>G32*0.1</f>
        <v>750000</v>
      </c>
      <c r="I32" s="118">
        <f>G32*0.8</f>
        <v>6000000</v>
      </c>
      <c r="J32" s="118"/>
      <c r="K32" s="118"/>
      <c r="L32" s="118"/>
      <c r="M32" s="118"/>
      <c r="N32" s="118"/>
      <c r="O32" s="215"/>
      <c r="P32" s="215">
        <f>G32*0.1</f>
        <v>750000</v>
      </c>
      <c r="Q32" s="215"/>
      <c r="R32" s="148">
        <f>F32*0.25</f>
        <v>375</v>
      </c>
      <c r="S32" s="148">
        <f>F32*0.25</f>
        <v>375</v>
      </c>
      <c r="T32" s="148">
        <f>F32*0.25</f>
        <v>375</v>
      </c>
      <c r="U32" s="148">
        <f>F32*0.25</f>
        <v>375</v>
      </c>
      <c r="V32" s="150">
        <f>R32*E32</f>
        <v>1875000</v>
      </c>
      <c r="W32" s="150">
        <f>S32*E32</f>
        <v>1875000</v>
      </c>
      <c r="X32" s="150">
        <f>T32*E32</f>
        <v>1875000</v>
      </c>
      <c r="Y32" s="150">
        <f>U32*E32</f>
        <v>1875000</v>
      </c>
      <c r="Z32" s="214">
        <v>80</v>
      </c>
      <c r="AA32" s="150">
        <f>Z32*E32</f>
        <v>400000</v>
      </c>
      <c r="AB32" s="214">
        <v>70</v>
      </c>
      <c r="AC32" s="150">
        <f>AB32*E32</f>
        <v>350000</v>
      </c>
      <c r="AD32" s="214">
        <v>100</v>
      </c>
      <c r="AE32" s="150">
        <f>AD32*E32</f>
        <v>500000</v>
      </c>
      <c r="AF32" s="214">
        <v>100</v>
      </c>
      <c r="AG32" s="150">
        <f>AF32*E32</f>
        <v>500000</v>
      </c>
      <c r="AH32" s="214">
        <v>80</v>
      </c>
      <c r="AI32" s="150">
        <f>AH32*E32</f>
        <v>400000</v>
      </c>
      <c r="AJ32" s="203">
        <v>100</v>
      </c>
      <c r="AK32" s="150">
        <f>AJ32*E32</f>
        <v>500000</v>
      </c>
      <c r="AL32" s="214">
        <v>80</v>
      </c>
      <c r="AM32" s="150">
        <f>AL32*E32</f>
        <v>400000</v>
      </c>
      <c r="AN32" s="203">
        <v>120</v>
      </c>
      <c r="AO32" s="150">
        <f>AN32*E32</f>
        <v>600000</v>
      </c>
      <c r="AP32" s="214">
        <v>30</v>
      </c>
      <c r="AQ32" s="150">
        <f>AP32*E32</f>
        <v>150000</v>
      </c>
      <c r="AR32" s="214">
        <v>50</v>
      </c>
      <c r="AS32" s="150">
        <f>AR32*E32</f>
        <v>250000</v>
      </c>
      <c r="AT32" s="203">
        <v>130</v>
      </c>
      <c r="AU32" s="150">
        <f>AT32*E32</f>
        <v>650000</v>
      </c>
      <c r="AV32" s="203">
        <v>60</v>
      </c>
      <c r="AW32" s="150">
        <f>AV32*E32</f>
        <v>300000</v>
      </c>
      <c r="AX32" s="203">
        <v>130</v>
      </c>
      <c r="AY32" s="150">
        <f>AX32*E32</f>
        <v>650000</v>
      </c>
      <c r="AZ32" s="214">
        <v>100</v>
      </c>
      <c r="BA32" s="150">
        <f>AZ32*E32</f>
        <v>500000</v>
      </c>
      <c r="BB32" s="214">
        <v>120</v>
      </c>
      <c r="BC32" s="150">
        <f>BB32*E32</f>
        <v>600000</v>
      </c>
      <c r="BD32" s="214">
        <v>100</v>
      </c>
      <c r="BE32" s="150">
        <f>BD32*E32</f>
        <v>500000</v>
      </c>
      <c r="BF32" s="214">
        <v>50</v>
      </c>
      <c r="BG32" s="150">
        <f>BF32*E32</f>
        <v>250000</v>
      </c>
      <c r="BH32" s="214"/>
      <c r="BI32" s="150">
        <f>BH32*E32</f>
        <v>0</v>
      </c>
      <c r="BJ32" s="224">
        <f>Z32+AB32+AD32+AF32+AH32+AJ32+AL32+AN32+AP32+AR32+AT32+AV32+AX32+AZ32+BB32+BD32+BF32+BH32</f>
        <v>1500</v>
      </c>
      <c r="BK32" s="224">
        <f>AA32+AC32+AE32+AG32+AI32+AK32+AM32+AO32+AQ32+AS32+AU32+AW32+AY32+BA32+BC32+BE32+BG32+BI32</f>
        <v>7500000</v>
      </c>
      <c r="BL32" s="362" t="s">
        <v>227</v>
      </c>
      <c r="BN32" s="69"/>
      <c r="BO32" s="69"/>
      <c r="BP32" s="69">
        <f>BK32</f>
        <v>7500000</v>
      </c>
      <c r="BQ32" s="69"/>
      <c r="BR32" s="69">
        <f t="shared" si="7"/>
        <v>7500000</v>
      </c>
      <c r="BS32" s="69"/>
      <c r="BT32" s="69"/>
      <c r="BU32" s="69">
        <f t="shared" si="8"/>
        <v>0</v>
      </c>
      <c r="BV32" s="108">
        <f t="shared" si="9"/>
        <v>7500000</v>
      </c>
    </row>
    <row r="33" spans="1:74" s="149" customFormat="1">
      <c r="A33" s="435"/>
      <c r="B33" s="202"/>
      <c r="C33" s="446" t="s">
        <v>3</v>
      </c>
      <c r="D33" s="463"/>
      <c r="E33" s="464"/>
      <c r="F33" s="465">
        <f>SUM(F21:F32)</f>
        <v>3285</v>
      </c>
      <c r="G33" s="465">
        <f t="shared" ref="G33:Z33" si="33">SUM(G21:G32)</f>
        <v>162425000</v>
      </c>
      <c r="H33" s="465">
        <f t="shared" si="33"/>
        <v>9750000</v>
      </c>
      <c r="I33" s="465">
        <f t="shared" si="33"/>
        <v>42000000</v>
      </c>
      <c r="J33" s="465">
        <f t="shared" si="33"/>
        <v>0</v>
      </c>
      <c r="K33" s="465">
        <f t="shared" si="33"/>
        <v>0</v>
      </c>
      <c r="L33" s="465">
        <f t="shared" si="33"/>
        <v>109925000</v>
      </c>
      <c r="M33" s="465">
        <f t="shared" si="33"/>
        <v>0</v>
      </c>
      <c r="N33" s="465">
        <f t="shared" si="33"/>
        <v>0</v>
      </c>
      <c r="O33" s="465">
        <f t="shared" si="33"/>
        <v>0</v>
      </c>
      <c r="P33" s="465">
        <f t="shared" si="33"/>
        <v>750000</v>
      </c>
      <c r="Q33" s="465">
        <f t="shared" si="33"/>
        <v>0</v>
      </c>
      <c r="R33" s="465">
        <f t="shared" si="33"/>
        <v>397.25</v>
      </c>
      <c r="S33" s="465">
        <f t="shared" si="33"/>
        <v>398.25</v>
      </c>
      <c r="T33" s="465">
        <f t="shared" si="33"/>
        <v>397.25</v>
      </c>
      <c r="U33" s="465">
        <f t="shared" si="33"/>
        <v>397.25</v>
      </c>
      <c r="V33" s="465">
        <f t="shared" si="33"/>
        <v>13000000</v>
      </c>
      <c r="W33" s="465">
        <f t="shared" si="33"/>
        <v>13500000</v>
      </c>
      <c r="X33" s="465">
        <f t="shared" si="33"/>
        <v>13000000</v>
      </c>
      <c r="Y33" s="465">
        <f t="shared" si="33"/>
        <v>13000000</v>
      </c>
      <c r="Z33" s="465">
        <f t="shared" si="33"/>
        <v>180</v>
      </c>
      <c r="AA33" s="465">
        <f t="shared" ref="AA33:BV33" si="34">SUM(AA21:AA32)</f>
        <v>7447000</v>
      </c>
      <c r="AB33" s="465">
        <f t="shared" si="34"/>
        <v>115</v>
      </c>
      <c r="AC33" s="465">
        <f t="shared" si="34"/>
        <v>5043000</v>
      </c>
      <c r="AD33" s="465">
        <f t="shared" si="34"/>
        <v>228</v>
      </c>
      <c r="AE33" s="465">
        <f t="shared" si="34"/>
        <v>9562000</v>
      </c>
      <c r="AF33" s="465">
        <f t="shared" si="34"/>
        <v>246</v>
      </c>
      <c r="AG33" s="465">
        <f t="shared" si="34"/>
        <v>11149000</v>
      </c>
      <c r="AH33" s="465">
        <f t="shared" si="34"/>
        <v>162</v>
      </c>
      <c r="AI33" s="465">
        <f t="shared" si="34"/>
        <v>5860000</v>
      </c>
      <c r="AJ33" s="465">
        <f t="shared" si="34"/>
        <v>273</v>
      </c>
      <c r="AK33" s="465">
        <f t="shared" si="34"/>
        <v>11488000</v>
      </c>
      <c r="AL33" s="465">
        <f t="shared" si="34"/>
        <v>136</v>
      </c>
      <c r="AM33" s="465">
        <f t="shared" si="34"/>
        <v>7197000</v>
      </c>
      <c r="AN33" s="465">
        <f t="shared" si="34"/>
        <v>180</v>
      </c>
      <c r="AO33" s="465">
        <f t="shared" si="34"/>
        <v>10018000</v>
      </c>
      <c r="AP33" s="465">
        <f t="shared" si="34"/>
        <v>62</v>
      </c>
      <c r="AQ33" s="465">
        <f t="shared" si="34"/>
        <v>3470000</v>
      </c>
      <c r="AR33" s="465">
        <f t="shared" si="34"/>
        <v>105</v>
      </c>
      <c r="AS33" s="465">
        <f t="shared" si="34"/>
        <v>5371000</v>
      </c>
      <c r="AT33" s="465">
        <f t="shared" si="34"/>
        <v>224</v>
      </c>
      <c r="AU33" s="465">
        <f t="shared" si="34"/>
        <v>9890000</v>
      </c>
      <c r="AV33" s="465">
        <f t="shared" si="34"/>
        <v>151</v>
      </c>
      <c r="AW33" s="465">
        <f t="shared" si="34"/>
        <v>8595000</v>
      </c>
      <c r="AX33" s="465">
        <f t="shared" si="34"/>
        <v>253</v>
      </c>
      <c r="AY33" s="465">
        <f t="shared" si="34"/>
        <v>13581000</v>
      </c>
      <c r="AZ33" s="465">
        <f t="shared" si="34"/>
        <v>188</v>
      </c>
      <c r="BA33" s="465">
        <f t="shared" si="34"/>
        <v>11933000</v>
      </c>
      <c r="BB33" s="465">
        <f t="shared" si="34"/>
        <v>355</v>
      </c>
      <c r="BC33" s="465">
        <f t="shared" si="34"/>
        <v>13425000</v>
      </c>
      <c r="BD33" s="465">
        <f t="shared" si="34"/>
        <v>187</v>
      </c>
      <c r="BE33" s="465">
        <f t="shared" si="34"/>
        <v>14340000</v>
      </c>
      <c r="BF33" s="465">
        <f t="shared" si="34"/>
        <v>239</v>
      </c>
      <c r="BG33" s="465">
        <f t="shared" si="34"/>
        <v>13556000</v>
      </c>
      <c r="BH33" s="465">
        <f t="shared" si="34"/>
        <v>1</v>
      </c>
      <c r="BI33" s="465">
        <f t="shared" si="34"/>
        <v>500000</v>
      </c>
      <c r="BJ33" s="465">
        <f t="shared" si="34"/>
        <v>3285</v>
      </c>
      <c r="BK33" s="465">
        <f t="shared" si="34"/>
        <v>162425000</v>
      </c>
      <c r="BL33" s="465"/>
      <c r="BM33" s="465"/>
      <c r="BN33" s="465">
        <f t="shared" si="34"/>
        <v>44500000</v>
      </c>
      <c r="BO33" s="465">
        <f t="shared" si="34"/>
        <v>500000</v>
      </c>
      <c r="BP33" s="465">
        <f t="shared" si="34"/>
        <v>34200000</v>
      </c>
      <c r="BQ33" s="465">
        <f t="shared" si="34"/>
        <v>0</v>
      </c>
      <c r="BR33" s="465">
        <f t="shared" si="34"/>
        <v>79200000</v>
      </c>
      <c r="BS33" s="465">
        <f t="shared" si="34"/>
        <v>6120000</v>
      </c>
      <c r="BT33" s="465">
        <f t="shared" si="34"/>
        <v>77105000</v>
      </c>
      <c r="BU33" s="465">
        <f t="shared" si="34"/>
        <v>83225000</v>
      </c>
      <c r="BV33" s="465">
        <f t="shared" si="34"/>
        <v>162425000</v>
      </c>
    </row>
    <row r="34" spans="1:74" s="31" customFormat="1">
      <c r="A34" s="596"/>
      <c r="B34" s="30">
        <v>21340</v>
      </c>
      <c r="C34" s="106" t="s">
        <v>409</v>
      </c>
      <c r="D34" s="30"/>
      <c r="E34" s="116"/>
      <c r="F34" s="111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2"/>
      <c r="S34" s="112"/>
      <c r="T34" s="112"/>
      <c r="U34" s="112"/>
      <c r="V34" s="43"/>
      <c r="W34" s="43"/>
      <c r="X34" s="43"/>
      <c r="Y34" s="43"/>
      <c r="Z34" s="112"/>
      <c r="AA34" s="224"/>
      <c r="AB34" s="112"/>
      <c r="AC34" s="224"/>
      <c r="AD34" s="112"/>
      <c r="AE34" s="224"/>
      <c r="AF34" s="112"/>
      <c r="AG34" s="224"/>
      <c r="AH34" s="112"/>
      <c r="AI34" s="224"/>
      <c r="AJ34" s="112"/>
      <c r="AK34" s="224"/>
      <c r="AL34" s="112"/>
      <c r="AM34" s="224"/>
      <c r="AN34" s="112"/>
      <c r="AO34" s="224"/>
      <c r="AP34" s="112"/>
      <c r="AQ34" s="224"/>
      <c r="AR34" s="112"/>
      <c r="AS34" s="224"/>
      <c r="AT34" s="112"/>
      <c r="AU34" s="224"/>
      <c r="AV34" s="112"/>
      <c r="AW34" s="224"/>
      <c r="AX34" s="43"/>
      <c r="AY34" s="224"/>
      <c r="AZ34" s="112"/>
      <c r="BA34" s="224"/>
      <c r="BB34" s="112"/>
      <c r="BC34" s="224"/>
      <c r="BD34" s="112"/>
      <c r="BE34" s="224"/>
      <c r="BF34" s="112"/>
      <c r="BG34" s="224"/>
      <c r="BH34" s="112"/>
      <c r="BI34" s="224"/>
      <c r="BJ34" s="142"/>
      <c r="BK34" s="224"/>
      <c r="BL34" s="159"/>
      <c r="BM34" s="273"/>
      <c r="BN34" s="117">
        <f>G34</f>
        <v>0</v>
      </c>
      <c r="BO34" s="70"/>
      <c r="BP34" s="70"/>
      <c r="BQ34" s="70"/>
      <c r="BR34" s="70">
        <f>BN34+BO34+BP34+BQ34</f>
        <v>0</v>
      </c>
      <c r="BS34" s="70"/>
      <c r="BT34" s="70"/>
      <c r="BU34" s="70">
        <f>BS34+BT34</f>
        <v>0</v>
      </c>
      <c r="BV34" s="107">
        <f>BR34+BU34</f>
        <v>0</v>
      </c>
    </row>
    <row r="35" spans="1:74" s="31" customFormat="1">
      <c r="A35" s="596"/>
      <c r="B35" s="30"/>
      <c r="C35" s="30" t="s">
        <v>427</v>
      </c>
      <c r="D35" s="30" t="s">
        <v>76</v>
      </c>
      <c r="E35" s="116">
        <v>6000</v>
      </c>
      <c r="F35" s="111">
        <f>BJ35</f>
        <v>349</v>
      </c>
      <c r="G35" s="117">
        <f>F35*E35</f>
        <v>2094000</v>
      </c>
      <c r="H35" s="117">
        <f>G35*0.1</f>
        <v>209400</v>
      </c>
      <c r="I35" s="117">
        <f>G35*0.8</f>
        <v>1675200</v>
      </c>
      <c r="J35" s="117"/>
      <c r="K35" s="117"/>
      <c r="L35" s="117"/>
      <c r="M35" s="117"/>
      <c r="N35" s="117"/>
      <c r="O35" s="117"/>
      <c r="P35" s="117">
        <f>G35*0.1</f>
        <v>209400</v>
      </c>
      <c r="Q35" s="117"/>
      <c r="R35" s="113">
        <f>F35*0.15</f>
        <v>52.35</v>
      </c>
      <c r="S35" s="113">
        <f>F35*0.7</f>
        <v>244.29999999999998</v>
      </c>
      <c r="T35" s="113">
        <f>F35:F35*0.15</f>
        <v>52.35</v>
      </c>
      <c r="U35" s="113"/>
      <c r="V35" s="110">
        <f>R35*E35</f>
        <v>314100</v>
      </c>
      <c r="W35" s="110">
        <f>S35*E35</f>
        <v>1465800</v>
      </c>
      <c r="X35" s="110">
        <f>T35*E35</f>
        <v>314100</v>
      </c>
      <c r="Y35" s="110">
        <f>U35*E35</f>
        <v>0</v>
      </c>
      <c r="Z35" s="112">
        <v>0</v>
      </c>
      <c r="AA35" s="224">
        <f>Z35*E35</f>
        <v>0</v>
      </c>
      <c r="AB35" s="112">
        <v>30</v>
      </c>
      <c r="AC35" s="224">
        <f>AB35*E35</f>
        <v>180000</v>
      </c>
      <c r="AD35" s="112">
        <v>40</v>
      </c>
      <c r="AE35" s="224">
        <f>AD35*E35</f>
        <v>240000</v>
      </c>
      <c r="AF35" s="112">
        <v>30</v>
      </c>
      <c r="AG35" s="224">
        <f>AF35*E35</f>
        <v>180000</v>
      </c>
      <c r="AH35" s="112">
        <v>20</v>
      </c>
      <c r="AI35" s="224">
        <f>AH35*E35</f>
        <v>120000</v>
      </c>
      <c r="AJ35" s="112">
        <v>20</v>
      </c>
      <c r="AK35" s="224">
        <f>AJ35*E35</f>
        <v>120000</v>
      </c>
      <c r="AL35" s="112">
        <v>20</v>
      </c>
      <c r="AM35" s="224">
        <f>AL35*E35</f>
        <v>120000</v>
      </c>
      <c r="AN35" s="112">
        <v>20</v>
      </c>
      <c r="AO35" s="224">
        <f>AN35*E35</f>
        <v>120000</v>
      </c>
      <c r="AP35" s="112">
        <v>12</v>
      </c>
      <c r="AQ35" s="224">
        <f>AP35*E35</f>
        <v>72000</v>
      </c>
      <c r="AR35" s="112"/>
      <c r="AS35" s="224">
        <f>AR35*E35</f>
        <v>0</v>
      </c>
      <c r="AT35" s="112">
        <v>15</v>
      </c>
      <c r="AU35" s="224">
        <f>AT35*E35</f>
        <v>90000</v>
      </c>
      <c r="AV35" s="112">
        <v>2</v>
      </c>
      <c r="AW35" s="224">
        <f>AV35*E35</f>
        <v>12000</v>
      </c>
      <c r="AX35" s="43">
        <v>0</v>
      </c>
      <c r="AY35" s="224">
        <f>AX35*E35</f>
        <v>0</v>
      </c>
      <c r="AZ35" s="112">
        <v>50</v>
      </c>
      <c r="BA35" s="224">
        <f>AZ35*E35</f>
        <v>300000</v>
      </c>
      <c r="BB35" s="112">
        <v>20</v>
      </c>
      <c r="BC35" s="224">
        <f>BB35*E35</f>
        <v>120000</v>
      </c>
      <c r="BD35" s="112">
        <v>50</v>
      </c>
      <c r="BE35" s="224">
        <f>BD35*E35</f>
        <v>300000</v>
      </c>
      <c r="BF35" s="112">
        <v>20</v>
      </c>
      <c r="BG35" s="224">
        <f>BF35*E35</f>
        <v>120000</v>
      </c>
      <c r="BH35" s="112"/>
      <c r="BI35" s="224">
        <f>BH35*E35</f>
        <v>0</v>
      </c>
      <c r="BJ35" s="142">
        <f t="shared" ref="BJ35:BJ65" si="35">BH35+BF35+BD35+BB35+AZ35+AX35+AV35+AT35+AR35+AP35+AN35+AL35+AJ35+AH35+AF35+AD35+AB35+Z35</f>
        <v>349</v>
      </c>
      <c r="BK35" s="224">
        <f t="shared" ref="BK35:BK65" si="36">BJ35*E35</f>
        <v>2094000</v>
      </c>
      <c r="BL35" s="158" t="s">
        <v>230</v>
      </c>
      <c r="BM35" s="273"/>
      <c r="BN35" s="117"/>
      <c r="BO35" s="70"/>
      <c r="BP35" s="70">
        <f>G35</f>
        <v>2094000</v>
      </c>
      <c r="BQ35" s="70"/>
      <c r="BR35" s="70">
        <f>BN35+BO35+BP35+BQ35</f>
        <v>2094000</v>
      </c>
      <c r="BS35" s="70"/>
      <c r="BT35" s="70"/>
      <c r="BU35" s="70"/>
      <c r="BV35" s="107">
        <f>BR35+BU35</f>
        <v>2094000</v>
      </c>
    </row>
    <row r="36" spans="1:74" s="90" customFormat="1" ht="31.5">
      <c r="A36" s="596"/>
      <c r="B36" s="93"/>
      <c r="C36" s="93" t="s">
        <v>352</v>
      </c>
      <c r="D36" s="93" t="s">
        <v>76</v>
      </c>
      <c r="E36" s="118">
        <v>9000</v>
      </c>
      <c r="F36" s="221">
        <f>BJ36</f>
        <v>400</v>
      </c>
      <c r="G36" s="123">
        <f>F36*E36</f>
        <v>3600000</v>
      </c>
      <c r="H36" s="117">
        <f>G36*0.1</f>
        <v>360000</v>
      </c>
      <c r="I36" s="117">
        <f>G36*0.8</f>
        <v>2880000</v>
      </c>
      <c r="J36" s="117"/>
      <c r="K36" s="117"/>
      <c r="L36" s="117"/>
      <c r="M36" s="117"/>
      <c r="N36" s="117"/>
      <c r="O36" s="117"/>
      <c r="P36" s="117">
        <f>G36*0.1</f>
        <v>360000</v>
      </c>
      <c r="Q36" s="123"/>
      <c r="R36" s="222">
        <f>F36*0.15</f>
        <v>60</v>
      </c>
      <c r="S36" s="222">
        <f>F36*0.7</f>
        <v>280</v>
      </c>
      <c r="T36" s="222">
        <f>F36:F36*0.15</f>
        <v>60</v>
      </c>
      <c r="U36" s="222"/>
      <c r="V36" s="223">
        <f>R36*E36</f>
        <v>540000</v>
      </c>
      <c r="W36" s="223">
        <f>S36*E36</f>
        <v>2520000</v>
      </c>
      <c r="X36" s="223">
        <f>T36*E36</f>
        <v>540000</v>
      </c>
      <c r="Y36" s="223">
        <f>U36*E36</f>
        <v>0</v>
      </c>
      <c r="Z36" s="142">
        <v>0</v>
      </c>
      <c r="AA36" s="224">
        <f>Z36*E36</f>
        <v>0</v>
      </c>
      <c r="AB36" s="142">
        <v>30</v>
      </c>
      <c r="AC36" s="224">
        <f>AB36*E36</f>
        <v>270000</v>
      </c>
      <c r="AD36" s="142">
        <v>30</v>
      </c>
      <c r="AE36" s="224">
        <f>AD36*E36</f>
        <v>270000</v>
      </c>
      <c r="AF36" s="142">
        <v>30</v>
      </c>
      <c r="AG36" s="224">
        <f>AF36*E36</f>
        <v>270000</v>
      </c>
      <c r="AH36" s="142">
        <v>30</v>
      </c>
      <c r="AI36" s="224">
        <f>AH36*E36</f>
        <v>270000</v>
      </c>
      <c r="AJ36" s="142">
        <v>5</v>
      </c>
      <c r="AK36" s="224">
        <f>AJ36*E36</f>
        <v>45000</v>
      </c>
      <c r="AL36" s="142">
        <v>30</v>
      </c>
      <c r="AM36" s="224">
        <f>AL36*E36</f>
        <v>270000</v>
      </c>
      <c r="AN36" s="142">
        <v>30</v>
      </c>
      <c r="AO36" s="224">
        <f>AN36*E36</f>
        <v>270000</v>
      </c>
      <c r="AP36" s="142">
        <v>30</v>
      </c>
      <c r="AQ36" s="224">
        <f>AP36*E36</f>
        <v>270000</v>
      </c>
      <c r="AR36" s="142">
        <v>30</v>
      </c>
      <c r="AS36" s="224">
        <f>AR36*E36</f>
        <v>270000</v>
      </c>
      <c r="AT36" s="142">
        <v>30</v>
      </c>
      <c r="AU36" s="224">
        <f>AT36*E36</f>
        <v>270000</v>
      </c>
      <c r="AV36" s="142">
        <v>30</v>
      </c>
      <c r="AW36" s="224">
        <f>AV36*E36</f>
        <v>270000</v>
      </c>
      <c r="AX36" s="224">
        <v>30</v>
      </c>
      <c r="AY36" s="224">
        <f>AX36*E36</f>
        <v>270000</v>
      </c>
      <c r="AZ36" s="142">
        <v>30</v>
      </c>
      <c r="BA36" s="224">
        <f>AZ36*E36</f>
        <v>270000</v>
      </c>
      <c r="BB36" s="142">
        <v>20</v>
      </c>
      <c r="BC36" s="224">
        <f>BB36*E36</f>
        <v>180000</v>
      </c>
      <c r="BD36" s="142">
        <v>10</v>
      </c>
      <c r="BE36" s="224">
        <f>BD36*E36</f>
        <v>90000</v>
      </c>
      <c r="BF36" s="142">
        <v>5</v>
      </c>
      <c r="BG36" s="224">
        <f>BF36*E36</f>
        <v>45000</v>
      </c>
      <c r="BH36" s="142"/>
      <c r="BI36" s="224">
        <f>BH36*E36</f>
        <v>0</v>
      </c>
      <c r="BJ36" s="142">
        <f t="shared" si="35"/>
        <v>400</v>
      </c>
      <c r="BK36" s="224">
        <f t="shared" si="36"/>
        <v>3600000</v>
      </c>
      <c r="BL36" s="158" t="s">
        <v>230</v>
      </c>
      <c r="BM36" s="273"/>
      <c r="BN36" s="123"/>
      <c r="BO36" s="98"/>
      <c r="BP36" s="98">
        <f>G36</f>
        <v>3600000</v>
      </c>
      <c r="BQ36" s="98"/>
      <c r="BR36" s="98">
        <f>BN36+BO36+BP36+BQ36</f>
        <v>3600000</v>
      </c>
      <c r="BS36" s="98"/>
      <c r="BT36" s="98"/>
      <c r="BU36" s="98"/>
      <c r="BV36" s="99">
        <f>BR36+BU36</f>
        <v>3600000</v>
      </c>
    </row>
    <row r="37" spans="1:74" s="90" customFormat="1" ht="18" customHeight="1">
      <c r="A37" s="596"/>
      <c r="B37" s="93"/>
      <c r="C37" s="93" t="s">
        <v>792</v>
      </c>
      <c r="D37" s="93" t="s">
        <v>76</v>
      </c>
      <c r="E37" s="118">
        <v>600</v>
      </c>
      <c r="F37" s="221">
        <f>BJ37</f>
        <v>2032</v>
      </c>
      <c r="G37" s="123">
        <f>F37*E37</f>
        <v>1219200</v>
      </c>
      <c r="H37" s="117">
        <f>G37*0.1</f>
        <v>121920</v>
      </c>
      <c r="I37" s="117">
        <f>G37*0.8</f>
        <v>975360</v>
      </c>
      <c r="J37" s="117"/>
      <c r="K37" s="117"/>
      <c r="L37" s="117"/>
      <c r="M37" s="117"/>
      <c r="N37" s="117"/>
      <c r="O37" s="117"/>
      <c r="P37" s="117">
        <f>G37*0.1</f>
        <v>121920</v>
      </c>
      <c r="Q37" s="123"/>
      <c r="R37" s="222">
        <f>F37*0.15</f>
        <v>304.8</v>
      </c>
      <c r="S37" s="222">
        <f>F37*0.7</f>
        <v>1422.3999999999999</v>
      </c>
      <c r="T37" s="222">
        <f>F37:F37*0.15</f>
        <v>304.8</v>
      </c>
      <c r="U37" s="222"/>
      <c r="V37" s="223">
        <f>R37*E37</f>
        <v>182880</v>
      </c>
      <c r="W37" s="223">
        <f>S37*E37</f>
        <v>853439.99999999988</v>
      </c>
      <c r="X37" s="223">
        <f>T37*E37</f>
        <v>182880</v>
      </c>
      <c r="Y37" s="223">
        <f>U37*E37</f>
        <v>0</v>
      </c>
      <c r="Z37" s="142">
        <v>200</v>
      </c>
      <c r="AA37" s="224">
        <f>Z37*E37</f>
        <v>120000</v>
      </c>
      <c r="AB37" s="142">
        <v>100</v>
      </c>
      <c r="AC37" s="224">
        <f>AB37*E37</f>
        <v>60000</v>
      </c>
      <c r="AD37" s="142">
        <v>200</v>
      </c>
      <c r="AE37" s="224">
        <f>AD37*E37</f>
        <v>120000</v>
      </c>
      <c r="AF37" s="142">
        <v>200</v>
      </c>
      <c r="AG37" s="224">
        <f>AF37*E37</f>
        <v>120000</v>
      </c>
      <c r="AH37" s="142">
        <v>100</v>
      </c>
      <c r="AI37" s="224">
        <f>AH37*E37</f>
        <v>60000</v>
      </c>
      <c r="AJ37" s="142">
        <v>400</v>
      </c>
      <c r="AK37" s="224">
        <f>AJ37*E37</f>
        <v>240000</v>
      </c>
      <c r="AL37" s="142">
        <v>100</v>
      </c>
      <c r="AM37" s="224">
        <f>AL37*E37</f>
        <v>60000</v>
      </c>
      <c r="AN37" s="136">
        <v>5</v>
      </c>
      <c r="AO37" s="224">
        <f>AN37*E37</f>
        <v>3000</v>
      </c>
      <c r="AP37" s="142">
        <v>20</v>
      </c>
      <c r="AQ37" s="224">
        <f>AP37*E37</f>
        <v>12000</v>
      </c>
      <c r="AR37" s="142">
        <v>200</v>
      </c>
      <c r="AS37" s="224">
        <f>AR37*E37</f>
        <v>120000</v>
      </c>
      <c r="AT37" s="142">
        <v>0</v>
      </c>
      <c r="AU37" s="224">
        <f>AT37*E37</f>
        <v>0</v>
      </c>
      <c r="AV37" s="142">
        <v>2</v>
      </c>
      <c r="AW37" s="224">
        <f>AV37*E37</f>
        <v>1200</v>
      </c>
      <c r="AX37" s="224">
        <v>0</v>
      </c>
      <c r="AY37" s="224">
        <f>AX37*E37</f>
        <v>0</v>
      </c>
      <c r="AZ37" s="142">
        <v>200</v>
      </c>
      <c r="BA37" s="224">
        <f>AZ37*E37</f>
        <v>120000</v>
      </c>
      <c r="BB37" s="142">
        <v>200</v>
      </c>
      <c r="BC37" s="224">
        <f>BB37*E37</f>
        <v>120000</v>
      </c>
      <c r="BD37" s="142">
        <v>100</v>
      </c>
      <c r="BE37" s="224">
        <f>BD37*E37</f>
        <v>60000</v>
      </c>
      <c r="BF37" s="142">
        <v>5</v>
      </c>
      <c r="BG37" s="224">
        <f>BF37*E37</f>
        <v>3000</v>
      </c>
      <c r="BH37" s="142"/>
      <c r="BI37" s="224">
        <f>BH37*E37</f>
        <v>0</v>
      </c>
      <c r="BJ37" s="142">
        <f t="shared" si="35"/>
        <v>2032</v>
      </c>
      <c r="BK37" s="224">
        <f t="shared" si="36"/>
        <v>1219200</v>
      </c>
      <c r="BL37" s="158" t="s">
        <v>230</v>
      </c>
      <c r="BM37" s="273"/>
      <c r="BN37" s="123"/>
      <c r="BO37" s="98"/>
      <c r="BP37" s="98">
        <f>G37</f>
        <v>1219200</v>
      </c>
      <c r="BQ37" s="98"/>
      <c r="BR37" s="98">
        <f>BN37+BO37+BP37+BQ37</f>
        <v>1219200</v>
      </c>
      <c r="BS37" s="98"/>
      <c r="BT37" s="98"/>
      <c r="BU37" s="98"/>
      <c r="BV37" s="99">
        <f>BR37+BU37</f>
        <v>1219200</v>
      </c>
    </row>
    <row r="38" spans="1:74" s="90" customFormat="1" ht="33.6" customHeight="1">
      <c r="A38" s="596"/>
      <c r="B38" s="93"/>
      <c r="C38" s="93" t="s">
        <v>739</v>
      </c>
      <c r="D38" s="93" t="s">
        <v>76</v>
      </c>
      <c r="E38" s="118">
        <v>9000</v>
      </c>
      <c r="F38" s="221">
        <f>BJ38</f>
        <v>65</v>
      </c>
      <c r="G38" s="123">
        <f>F38*E38</f>
        <v>585000</v>
      </c>
      <c r="H38" s="117">
        <f>G38*0.1</f>
        <v>58500</v>
      </c>
      <c r="I38" s="117">
        <f>G38*0.8</f>
        <v>468000</v>
      </c>
      <c r="J38" s="117"/>
      <c r="K38" s="117"/>
      <c r="L38" s="117"/>
      <c r="M38" s="117"/>
      <c r="N38" s="117"/>
      <c r="O38" s="117"/>
      <c r="P38" s="117">
        <f>G38*0.1</f>
        <v>58500</v>
      </c>
      <c r="Q38" s="123"/>
      <c r="R38" s="222">
        <f>F38*0.15</f>
        <v>9.75</v>
      </c>
      <c r="S38" s="222">
        <f>F38*0.7</f>
        <v>45.5</v>
      </c>
      <c r="T38" s="222">
        <f>F38:F38*0.15</f>
        <v>9.75</v>
      </c>
      <c r="U38" s="222"/>
      <c r="V38" s="223">
        <f>R38*E38</f>
        <v>87750</v>
      </c>
      <c r="W38" s="223">
        <f>S38*E38</f>
        <v>409500</v>
      </c>
      <c r="X38" s="223">
        <f>T38*E38</f>
        <v>87750</v>
      </c>
      <c r="Y38" s="223">
        <f>U38*E38</f>
        <v>0</v>
      </c>
      <c r="Z38" s="142">
        <v>0</v>
      </c>
      <c r="AA38" s="224">
        <f>Z38*E38</f>
        <v>0</v>
      </c>
      <c r="AB38" s="142">
        <v>0</v>
      </c>
      <c r="AC38" s="224">
        <f>AB38*E38</f>
        <v>0</v>
      </c>
      <c r="AD38" s="142">
        <v>5</v>
      </c>
      <c r="AE38" s="224">
        <f>AD38*E38</f>
        <v>45000</v>
      </c>
      <c r="AF38" s="142">
        <v>10</v>
      </c>
      <c r="AG38" s="224">
        <f>AF38*E38</f>
        <v>90000</v>
      </c>
      <c r="AH38" s="142">
        <v>0</v>
      </c>
      <c r="AI38" s="224">
        <f>AH38*E38</f>
        <v>0</v>
      </c>
      <c r="AJ38" s="142">
        <v>0</v>
      </c>
      <c r="AK38" s="224">
        <f>AJ38*E38</f>
        <v>0</v>
      </c>
      <c r="AL38" s="142">
        <v>20</v>
      </c>
      <c r="AM38" s="224">
        <f>AL38*E38</f>
        <v>180000</v>
      </c>
      <c r="AN38" s="142">
        <v>10</v>
      </c>
      <c r="AO38" s="224">
        <f>AN38*E38</f>
        <v>90000</v>
      </c>
      <c r="AP38" s="142">
        <v>0</v>
      </c>
      <c r="AQ38" s="224">
        <f>AP38*E38</f>
        <v>0</v>
      </c>
      <c r="AR38" s="142">
        <v>15</v>
      </c>
      <c r="AS38" s="224">
        <f>AR38*E38</f>
        <v>135000</v>
      </c>
      <c r="AT38" s="142">
        <v>5</v>
      </c>
      <c r="AU38" s="224">
        <f>AT38*E38</f>
        <v>45000</v>
      </c>
      <c r="AV38" s="142">
        <v>0</v>
      </c>
      <c r="AW38" s="224">
        <f>AV38*E38</f>
        <v>0</v>
      </c>
      <c r="AX38" s="224">
        <v>0</v>
      </c>
      <c r="AY38" s="224">
        <f>AX38*E38</f>
        <v>0</v>
      </c>
      <c r="AZ38" s="142">
        <v>0</v>
      </c>
      <c r="BA38" s="224">
        <f>AZ38*E38</f>
        <v>0</v>
      </c>
      <c r="BB38" s="142">
        <v>0</v>
      </c>
      <c r="BC38" s="224">
        <f>BB38*E38</f>
        <v>0</v>
      </c>
      <c r="BD38" s="142">
        <v>0</v>
      </c>
      <c r="BE38" s="224">
        <f>BD38*E38</f>
        <v>0</v>
      </c>
      <c r="BF38" s="142">
        <v>0</v>
      </c>
      <c r="BG38" s="224">
        <f>BF38*E38</f>
        <v>0</v>
      </c>
      <c r="BH38" s="142"/>
      <c r="BI38" s="224">
        <f>BH38*E38</f>
        <v>0</v>
      </c>
      <c r="BJ38" s="142">
        <f t="shared" si="35"/>
        <v>65</v>
      </c>
      <c r="BK38" s="224">
        <f t="shared" si="36"/>
        <v>585000</v>
      </c>
      <c r="BL38" s="158" t="s">
        <v>230</v>
      </c>
      <c r="BM38" s="273"/>
      <c r="BN38" s="123"/>
      <c r="BO38" s="98"/>
      <c r="BP38" s="98">
        <f>G38</f>
        <v>585000</v>
      </c>
      <c r="BQ38" s="98"/>
      <c r="BR38" s="98">
        <f>BN38+BO38+BP38+BQ38</f>
        <v>585000</v>
      </c>
      <c r="BS38" s="98"/>
      <c r="BT38" s="98"/>
      <c r="BU38" s="98"/>
      <c r="BV38" s="99">
        <f>BR38+BU38</f>
        <v>585000</v>
      </c>
    </row>
    <row r="39" spans="1:74" s="48" customFormat="1" ht="18" customHeight="1">
      <c r="A39" s="634"/>
      <c r="B39" s="125"/>
      <c r="C39" s="441" t="s">
        <v>3</v>
      </c>
      <c r="D39" s="442"/>
      <c r="E39" s="443"/>
      <c r="F39" s="445">
        <f>SUM(F35:F38)</f>
        <v>2846</v>
      </c>
      <c r="G39" s="445">
        <f>SUM(G35:G38)</f>
        <v>7498200</v>
      </c>
      <c r="H39" s="445">
        <f t="shared" ref="H39:BK39" si="37">SUM(H35:H38)</f>
        <v>749820</v>
      </c>
      <c r="I39" s="445">
        <f t="shared" si="37"/>
        <v>5998560</v>
      </c>
      <c r="J39" s="445">
        <f t="shared" si="37"/>
        <v>0</v>
      </c>
      <c r="K39" s="445">
        <f t="shared" si="37"/>
        <v>0</v>
      </c>
      <c r="L39" s="445">
        <f t="shared" si="37"/>
        <v>0</v>
      </c>
      <c r="M39" s="445">
        <f t="shared" si="37"/>
        <v>0</v>
      </c>
      <c r="N39" s="445">
        <f t="shared" si="37"/>
        <v>0</v>
      </c>
      <c r="O39" s="445">
        <f t="shared" si="37"/>
        <v>0</v>
      </c>
      <c r="P39" s="445">
        <f t="shared" si="37"/>
        <v>749820</v>
      </c>
      <c r="Q39" s="445">
        <f t="shared" si="37"/>
        <v>0</v>
      </c>
      <c r="R39" s="445">
        <f t="shared" si="37"/>
        <v>426.9</v>
      </c>
      <c r="S39" s="445">
        <f t="shared" si="37"/>
        <v>1992.1999999999998</v>
      </c>
      <c r="T39" s="445">
        <f t="shared" si="37"/>
        <v>426.9</v>
      </c>
      <c r="U39" s="445">
        <f t="shared" si="37"/>
        <v>0</v>
      </c>
      <c r="V39" s="445">
        <f t="shared" si="37"/>
        <v>1124730</v>
      </c>
      <c r="W39" s="445">
        <f t="shared" si="37"/>
        <v>5248740</v>
      </c>
      <c r="X39" s="445">
        <f t="shared" si="37"/>
        <v>1124730</v>
      </c>
      <c r="Y39" s="445">
        <f t="shared" si="37"/>
        <v>0</v>
      </c>
      <c r="Z39" s="445">
        <f t="shared" si="37"/>
        <v>200</v>
      </c>
      <c r="AA39" s="445">
        <f t="shared" si="37"/>
        <v>120000</v>
      </c>
      <c r="AB39" s="445">
        <f t="shared" si="37"/>
        <v>160</v>
      </c>
      <c r="AC39" s="445">
        <f t="shared" si="37"/>
        <v>510000</v>
      </c>
      <c r="AD39" s="445">
        <f t="shared" si="37"/>
        <v>275</v>
      </c>
      <c r="AE39" s="445">
        <f t="shared" si="37"/>
        <v>675000</v>
      </c>
      <c r="AF39" s="445">
        <f t="shared" si="37"/>
        <v>270</v>
      </c>
      <c r="AG39" s="445">
        <f t="shared" si="37"/>
        <v>660000</v>
      </c>
      <c r="AH39" s="445">
        <f t="shared" si="37"/>
        <v>150</v>
      </c>
      <c r="AI39" s="445">
        <f t="shared" si="37"/>
        <v>450000</v>
      </c>
      <c r="AJ39" s="445">
        <f t="shared" si="37"/>
        <v>425</v>
      </c>
      <c r="AK39" s="445">
        <f t="shared" si="37"/>
        <v>405000</v>
      </c>
      <c r="AL39" s="445">
        <f t="shared" si="37"/>
        <v>170</v>
      </c>
      <c r="AM39" s="445">
        <f t="shared" si="37"/>
        <v>630000</v>
      </c>
      <c r="AN39" s="445">
        <f t="shared" si="37"/>
        <v>65</v>
      </c>
      <c r="AO39" s="445">
        <f t="shared" si="37"/>
        <v>483000</v>
      </c>
      <c r="AP39" s="445">
        <f t="shared" si="37"/>
        <v>62</v>
      </c>
      <c r="AQ39" s="445">
        <f t="shared" si="37"/>
        <v>354000</v>
      </c>
      <c r="AR39" s="445">
        <f t="shared" si="37"/>
        <v>245</v>
      </c>
      <c r="AS39" s="445">
        <f t="shared" si="37"/>
        <v>525000</v>
      </c>
      <c r="AT39" s="445">
        <f t="shared" si="37"/>
        <v>50</v>
      </c>
      <c r="AU39" s="445">
        <f t="shared" si="37"/>
        <v>405000</v>
      </c>
      <c r="AV39" s="445">
        <f t="shared" si="37"/>
        <v>34</v>
      </c>
      <c r="AW39" s="445">
        <f t="shared" si="37"/>
        <v>283200</v>
      </c>
      <c r="AX39" s="445">
        <f t="shared" si="37"/>
        <v>30</v>
      </c>
      <c r="AY39" s="445">
        <f t="shared" si="37"/>
        <v>270000</v>
      </c>
      <c r="AZ39" s="445">
        <f t="shared" si="37"/>
        <v>280</v>
      </c>
      <c r="BA39" s="445">
        <f t="shared" si="37"/>
        <v>690000</v>
      </c>
      <c r="BB39" s="445">
        <f t="shared" si="37"/>
        <v>240</v>
      </c>
      <c r="BC39" s="445">
        <f t="shared" si="37"/>
        <v>420000</v>
      </c>
      <c r="BD39" s="445">
        <f t="shared" si="37"/>
        <v>160</v>
      </c>
      <c r="BE39" s="445">
        <f t="shared" si="37"/>
        <v>450000</v>
      </c>
      <c r="BF39" s="445">
        <f t="shared" si="37"/>
        <v>30</v>
      </c>
      <c r="BG39" s="445">
        <f t="shared" si="37"/>
        <v>168000</v>
      </c>
      <c r="BH39" s="445">
        <f t="shared" si="37"/>
        <v>0</v>
      </c>
      <c r="BI39" s="445">
        <f t="shared" si="37"/>
        <v>0</v>
      </c>
      <c r="BJ39" s="445">
        <f t="shared" si="37"/>
        <v>2846</v>
      </c>
      <c r="BK39" s="445">
        <f t="shared" si="37"/>
        <v>7498200</v>
      </c>
      <c r="BL39" s="444">
        <f t="shared" ref="BL39:BV39" si="38">SUM(BL35:BL38)</f>
        <v>0</v>
      </c>
      <c r="BM39" s="444">
        <f t="shared" si="38"/>
        <v>0</v>
      </c>
      <c r="BN39" s="444">
        <f t="shared" si="38"/>
        <v>0</v>
      </c>
      <c r="BO39" s="444">
        <f t="shared" si="38"/>
        <v>0</v>
      </c>
      <c r="BP39" s="444">
        <f t="shared" si="38"/>
        <v>7498200</v>
      </c>
      <c r="BQ39" s="444">
        <f t="shared" si="38"/>
        <v>0</v>
      </c>
      <c r="BR39" s="444">
        <f t="shared" si="38"/>
        <v>7498200</v>
      </c>
      <c r="BS39" s="444">
        <f t="shared" si="38"/>
        <v>0</v>
      </c>
      <c r="BT39" s="444">
        <f t="shared" si="38"/>
        <v>0</v>
      </c>
      <c r="BU39" s="444">
        <f t="shared" si="38"/>
        <v>0</v>
      </c>
      <c r="BV39" s="444">
        <f t="shared" si="38"/>
        <v>7498200</v>
      </c>
    </row>
    <row r="40" spans="1:74" s="149" customFormat="1" ht="18" customHeight="1">
      <c r="A40" s="633"/>
      <c r="B40" s="93">
        <v>21350</v>
      </c>
      <c r="C40" s="122" t="s">
        <v>78</v>
      </c>
      <c r="D40" s="93"/>
      <c r="E40" s="118"/>
      <c r="F40" s="221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48"/>
      <c r="S40" s="148"/>
      <c r="T40" s="148"/>
      <c r="U40" s="148"/>
      <c r="V40" s="150"/>
      <c r="W40" s="150"/>
      <c r="X40" s="150"/>
      <c r="Y40" s="150"/>
      <c r="Z40" s="148"/>
      <c r="AA40" s="224"/>
      <c r="AB40" s="148"/>
      <c r="AC40" s="224"/>
      <c r="AD40" s="148"/>
      <c r="AE40" s="224"/>
      <c r="AF40" s="148"/>
      <c r="AG40" s="224"/>
      <c r="AH40" s="148"/>
      <c r="AI40" s="224"/>
      <c r="AJ40" s="148"/>
      <c r="AK40" s="224"/>
      <c r="AL40" s="148"/>
      <c r="AM40" s="224"/>
      <c r="AN40" s="148"/>
      <c r="AO40" s="224"/>
      <c r="AP40" s="148"/>
      <c r="AQ40" s="224"/>
      <c r="AR40" s="148"/>
      <c r="AS40" s="224"/>
      <c r="AT40" s="148"/>
      <c r="AU40" s="224"/>
      <c r="AV40" s="148"/>
      <c r="AW40" s="224"/>
      <c r="AX40" s="150"/>
      <c r="AY40" s="224"/>
      <c r="AZ40" s="148"/>
      <c r="BA40" s="224"/>
      <c r="BB40" s="148"/>
      <c r="BC40" s="224"/>
      <c r="BD40" s="148"/>
      <c r="BE40" s="224"/>
      <c r="BF40" s="148"/>
      <c r="BG40" s="224"/>
      <c r="BH40" s="148"/>
      <c r="BI40" s="224"/>
      <c r="BJ40" s="142"/>
      <c r="BK40" s="224"/>
      <c r="BL40" s="632"/>
      <c r="BM40" s="403"/>
      <c r="BN40" s="123">
        <f>G40</f>
        <v>0</v>
      </c>
      <c r="BO40" s="228"/>
      <c r="BP40" s="228"/>
      <c r="BQ40" s="228"/>
      <c r="BR40" s="98">
        <f t="shared" ref="BR40:BR52" si="39">BN40+BO40+BP40+BQ40</f>
        <v>0</v>
      </c>
      <c r="BS40" s="228"/>
      <c r="BT40" s="228"/>
      <c r="BU40" s="98">
        <f>BS40+BT40</f>
        <v>0</v>
      </c>
      <c r="BV40" s="99">
        <f>BR40+BU40</f>
        <v>0</v>
      </c>
    </row>
    <row r="41" spans="1:74" s="149" customFormat="1" ht="18" customHeight="1">
      <c r="A41" s="633"/>
      <c r="B41" s="93"/>
      <c r="C41" s="93" t="s">
        <v>355</v>
      </c>
      <c r="D41" s="93" t="s">
        <v>76</v>
      </c>
      <c r="E41" s="118">
        <v>3000</v>
      </c>
      <c r="F41" s="221">
        <f t="shared" ref="F41:F62" si="40">BJ41</f>
        <v>259</v>
      </c>
      <c r="G41" s="123">
        <f t="shared" ref="G41:G62" si="41">F41*E41</f>
        <v>777000</v>
      </c>
      <c r="H41" s="123">
        <f t="shared" ref="H41:H62" si="42">G41*0.1</f>
        <v>77700</v>
      </c>
      <c r="I41" s="123">
        <f t="shared" ref="I41:I62" si="43">G41*0.8</f>
        <v>621600</v>
      </c>
      <c r="J41" s="123"/>
      <c r="K41" s="123"/>
      <c r="L41" s="123"/>
      <c r="M41" s="123"/>
      <c r="N41" s="123"/>
      <c r="O41" s="123"/>
      <c r="P41" s="123">
        <f t="shared" ref="P41:P62" si="44">G41*0.1</f>
        <v>77700</v>
      </c>
      <c r="Q41" s="123"/>
      <c r="R41" s="222">
        <f>F41*0.15</f>
        <v>38.85</v>
      </c>
      <c r="S41" s="222">
        <f>F41*0.7</f>
        <v>181.29999999999998</v>
      </c>
      <c r="T41" s="222">
        <f>F41:F41*0.15</f>
        <v>38.85</v>
      </c>
      <c r="U41" s="148"/>
      <c r="V41" s="223">
        <f t="shared" ref="V41:V53" si="45">R41*E41</f>
        <v>116550</v>
      </c>
      <c r="W41" s="223">
        <f t="shared" ref="W41:W53" si="46">S41*E41</f>
        <v>543900</v>
      </c>
      <c r="X41" s="223">
        <f t="shared" ref="X41:X53" si="47">T41*E41</f>
        <v>116550</v>
      </c>
      <c r="Y41" s="223">
        <f t="shared" ref="Y41:Y53" si="48">U41*E41</f>
        <v>0</v>
      </c>
      <c r="Z41" s="148">
        <v>100</v>
      </c>
      <c r="AA41" s="224">
        <f t="shared" ref="AA41:AA62" si="49">Z41*E41</f>
        <v>300000</v>
      </c>
      <c r="AB41" s="148"/>
      <c r="AC41" s="224">
        <f t="shared" ref="AC41:AC62" si="50">AB41*E41</f>
        <v>0</v>
      </c>
      <c r="AD41" s="148">
        <v>60</v>
      </c>
      <c r="AE41" s="224">
        <f t="shared" ref="AE41:AE62" si="51">AD41*E41</f>
        <v>180000</v>
      </c>
      <c r="AF41" s="148">
        <v>0</v>
      </c>
      <c r="AG41" s="224">
        <f t="shared" ref="AG41:AG62" si="52">AF41*E41</f>
        <v>0</v>
      </c>
      <c r="AH41" s="148">
        <v>0</v>
      </c>
      <c r="AI41" s="224">
        <f t="shared" ref="AI41:AI62" si="53">AH41*E41</f>
        <v>0</v>
      </c>
      <c r="AJ41" s="148">
        <v>0</v>
      </c>
      <c r="AK41" s="224">
        <f t="shared" ref="AK41:AK62" si="54">AJ41*E41</f>
        <v>0</v>
      </c>
      <c r="AL41" s="148">
        <v>0</v>
      </c>
      <c r="AM41" s="224">
        <f t="shared" ref="AM41:AM62" si="55">AL41*E41</f>
        <v>0</v>
      </c>
      <c r="AN41" s="148">
        <v>0</v>
      </c>
      <c r="AO41" s="224">
        <f t="shared" ref="AO41:AO62" si="56">AN41*E41</f>
        <v>0</v>
      </c>
      <c r="AP41" s="148">
        <v>0</v>
      </c>
      <c r="AQ41" s="224">
        <f t="shared" ref="AQ41:AQ62" si="57">AP41*E41</f>
        <v>0</v>
      </c>
      <c r="AR41" s="148">
        <v>0</v>
      </c>
      <c r="AS41" s="224">
        <f t="shared" ref="AS41:AS62" si="58">AR41*E41</f>
        <v>0</v>
      </c>
      <c r="AT41" s="148">
        <v>20</v>
      </c>
      <c r="AU41" s="224">
        <f t="shared" ref="AU41:AU62" si="59">AT41*E41</f>
        <v>60000</v>
      </c>
      <c r="AV41" s="148">
        <v>50</v>
      </c>
      <c r="AW41" s="224">
        <f t="shared" ref="AW41:AW62" si="60">AV41*E41</f>
        <v>150000</v>
      </c>
      <c r="AX41" s="150">
        <v>0</v>
      </c>
      <c r="AY41" s="224">
        <f t="shared" ref="AY41:AY62" si="61">AX41*E41</f>
        <v>0</v>
      </c>
      <c r="AZ41" s="148">
        <v>5</v>
      </c>
      <c r="BA41" s="224">
        <f t="shared" ref="BA41:BA62" si="62">AZ41*E41</f>
        <v>15000</v>
      </c>
      <c r="BB41" s="148">
        <v>0</v>
      </c>
      <c r="BC41" s="224">
        <f t="shared" ref="BC41:BC62" si="63">BB41*E41</f>
        <v>0</v>
      </c>
      <c r="BD41" s="148">
        <v>24</v>
      </c>
      <c r="BE41" s="224">
        <f t="shared" ref="BE41:BE62" si="64">BD41*E41</f>
        <v>72000</v>
      </c>
      <c r="BF41" s="148">
        <v>0</v>
      </c>
      <c r="BG41" s="224">
        <f t="shared" ref="BG41:BG62" si="65">BF41*E41</f>
        <v>0</v>
      </c>
      <c r="BH41" s="148"/>
      <c r="BI41" s="224">
        <f t="shared" ref="BI41:BI62" si="66">BH41*E41</f>
        <v>0</v>
      </c>
      <c r="BJ41" s="142">
        <f t="shared" si="35"/>
        <v>259</v>
      </c>
      <c r="BK41" s="224">
        <f t="shared" si="36"/>
        <v>777000</v>
      </c>
      <c r="BL41" s="227" t="s">
        <v>230</v>
      </c>
      <c r="BM41" s="403"/>
      <c r="BN41" s="123"/>
      <c r="BO41" s="228"/>
      <c r="BP41" s="69">
        <f t="shared" ref="BP41:BP52" si="67">G41</f>
        <v>777000</v>
      </c>
      <c r="BQ41" s="228"/>
      <c r="BR41" s="98">
        <f t="shared" si="39"/>
        <v>777000</v>
      </c>
      <c r="BS41" s="228"/>
      <c r="BT41" s="228"/>
      <c r="BU41" s="98"/>
      <c r="BV41" s="99">
        <f t="shared" ref="BV41:BV52" si="68">BR41+BS41+BT41+BU41</f>
        <v>777000</v>
      </c>
    </row>
    <row r="42" spans="1:74" s="149" customFormat="1" ht="18" customHeight="1">
      <c r="A42" s="633"/>
      <c r="B42" s="93"/>
      <c r="C42" s="93" t="s">
        <v>340</v>
      </c>
      <c r="D42" s="93" t="s">
        <v>76</v>
      </c>
      <c r="E42" s="118">
        <v>3000</v>
      </c>
      <c r="F42" s="221">
        <f t="shared" si="40"/>
        <v>377</v>
      </c>
      <c r="G42" s="123">
        <f t="shared" si="41"/>
        <v>1131000</v>
      </c>
      <c r="H42" s="123">
        <f t="shared" si="42"/>
        <v>113100</v>
      </c>
      <c r="I42" s="123">
        <f t="shared" si="43"/>
        <v>904800</v>
      </c>
      <c r="J42" s="123"/>
      <c r="K42" s="123"/>
      <c r="L42" s="123"/>
      <c r="M42" s="123"/>
      <c r="N42" s="123"/>
      <c r="O42" s="123"/>
      <c r="P42" s="123">
        <f t="shared" si="44"/>
        <v>113100</v>
      </c>
      <c r="Q42" s="123"/>
      <c r="R42" s="148"/>
      <c r="S42" s="148">
        <f>F42*0.2</f>
        <v>75.400000000000006</v>
      </c>
      <c r="T42" s="148">
        <f>F42*0.8</f>
        <v>301.60000000000002</v>
      </c>
      <c r="U42" s="148"/>
      <c r="V42" s="223">
        <f t="shared" si="45"/>
        <v>0</v>
      </c>
      <c r="W42" s="223">
        <f t="shared" si="46"/>
        <v>226200.00000000003</v>
      </c>
      <c r="X42" s="223">
        <f t="shared" si="47"/>
        <v>904800.00000000012</v>
      </c>
      <c r="Y42" s="223">
        <f t="shared" si="48"/>
        <v>0</v>
      </c>
      <c r="Z42" s="148">
        <v>0</v>
      </c>
      <c r="AA42" s="224">
        <f t="shared" si="49"/>
        <v>0</v>
      </c>
      <c r="AB42" s="148">
        <v>5</v>
      </c>
      <c r="AC42" s="224">
        <f t="shared" si="50"/>
        <v>15000</v>
      </c>
      <c r="AD42" s="148">
        <v>12</v>
      </c>
      <c r="AE42" s="224">
        <f t="shared" si="51"/>
        <v>36000</v>
      </c>
      <c r="AF42" s="148">
        <v>15</v>
      </c>
      <c r="AG42" s="224">
        <f t="shared" si="52"/>
        <v>45000</v>
      </c>
      <c r="AH42" s="148">
        <v>20</v>
      </c>
      <c r="AI42" s="224">
        <f t="shared" si="53"/>
        <v>60000</v>
      </c>
      <c r="AJ42" s="148">
        <v>30</v>
      </c>
      <c r="AK42" s="224">
        <f t="shared" si="54"/>
        <v>90000</v>
      </c>
      <c r="AL42" s="148">
        <v>20</v>
      </c>
      <c r="AM42" s="224">
        <f t="shared" si="55"/>
        <v>60000</v>
      </c>
      <c r="AN42" s="148">
        <v>30</v>
      </c>
      <c r="AO42" s="224">
        <f t="shared" si="56"/>
        <v>90000</v>
      </c>
      <c r="AP42" s="148">
        <v>0</v>
      </c>
      <c r="AQ42" s="224">
        <f t="shared" si="57"/>
        <v>0</v>
      </c>
      <c r="AR42" s="148">
        <v>5</v>
      </c>
      <c r="AS42" s="224">
        <f t="shared" si="58"/>
        <v>15000</v>
      </c>
      <c r="AT42" s="148">
        <v>20</v>
      </c>
      <c r="AU42" s="224">
        <f t="shared" si="59"/>
        <v>60000</v>
      </c>
      <c r="AV42" s="148">
        <v>30</v>
      </c>
      <c r="AW42" s="224">
        <f t="shared" si="60"/>
        <v>90000</v>
      </c>
      <c r="AX42" s="150">
        <v>30</v>
      </c>
      <c r="AY42" s="224">
        <f t="shared" si="61"/>
        <v>90000</v>
      </c>
      <c r="AZ42" s="148">
        <v>10</v>
      </c>
      <c r="BA42" s="224">
        <f t="shared" si="62"/>
        <v>30000</v>
      </c>
      <c r="BB42" s="148">
        <v>20</v>
      </c>
      <c r="BC42" s="224">
        <f t="shared" si="63"/>
        <v>60000</v>
      </c>
      <c r="BD42" s="148">
        <v>50</v>
      </c>
      <c r="BE42" s="224">
        <f t="shared" si="64"/>
        <v>150000</v>
      </c>
      <c r="BF42" s="148">
        <v>80</v>
      </c>
      <c r="BG42" s="224">
        <f t="shared" si="65"/>
        <v>240000</v>
      </c>
      <c r="BH42" s="148"/>
      <c r="BI42" s="224">
        <f t="shared" si="66"/>
        <v>0</v>
      </c>
      <c r="BJ42" s="142">
        <f t="shared" si="35"/>
        <v>377</v>
      </c>
      <c r="BK42" s="224">
        <f t="shared" si="36"/>
        <v>1131000</v>
      </c>
      <c r="BL42" s="227" t="s">
        <v>230</v>
      </c>
      <c r="BM42" s="403"/>
      <c r="BN42" s="123"/>
      <c r="BO42" s="228"/>
      <c r="BP42" s="69">
        <f t="shared" si="67"/>
        <v>1131000</v>
      </c>
      <c r="BQ42" s="228"/>
      <c r="BR42" s="98">
        <f t="shared" si="39"/>
        <v>1131000</v>
      </c>
      <c r="BS42" s="228"/>
      <c r="BT42" s="228"/>
      <c r="BU42" s="98"/>
      <c r="BV42" s="99">
        <f t="shared" si="68"/>
        <v>1131000</v>
      </c>
    </row>
    <row r="43" spans="1:74" s="149" customFormat="1" ht="18" customHeight="1">
      <c r="A43" s="633"/>
      <c r="B43" s="93"/>
      <c r="C43" s="93" t="s">
        <v>338</v>
      </c>
      <c r="D43" s="93" t="s">
        <v>76</v>
      </c>
      <c r="E43" s="118">
        <v>10000</v>
      </c>
      <c r="F43" s="221">
        <f t="shared" si="40"/>
        <v>606</v>
      </c>
      <c r="G43" s="123">
        <f t="shared" si="41"/>
        <v>6060000</v>
      </c>
      <c r="H43" s="123">
        <f t="shared" si="42"/>
        <v>606000</v>
      </c>
      <c r="I43" s="123">
        <f t="shared" si="43"/>
        <v>4848000</v>
      </c>
      <c r="J43" s="123"/>
      <c r="K43" s="123"/>
      <c r="L43" s="123"/>
      <c r="M43" s="123"/>
      <c r="N43" s="123"/>
      <c r="O43" s="123"/>
      <c r="P43" s="123">
        <f t="shared" si="44"/>
        <v>606000</v>
      </c>
      <c r="Q43" s="123"/>
      <c r="R43" s="222">
        <f>F43*0.15</f>
        <v>90.899999999999991</v>
      </c>
      <c r="S43" s="222">
        <f>F43*0.7</f>
        <v>424.2</v>
      </c>
      <c r="T43" s="222">
        <f>F43:F43*0.15</f>
        <v>90.899999999999991</v>
      </c>
      <c r="U43" s="148"/>
      <c r="V43" s="223">
        <f t="shared" si="45"/>
        <v>908999.99999999988</v>
      </c>
      <c r="W43" s="223">
        <f t="shared" si="46"/>
        <v>4242000</v>
      </c>
      <c r="X43" s="223">
        <f t="shared" si="47"/>
        <v>908999.99999999988</v>
      </c>
      <c r="Y43" s="223">
        <f t="shared" si="48"/>
        <v>0</v>
      </c>
      <c r="Z43" s="148">
        <v>50</v>
      </c>
      <c r="AA43" s="224">
        <f t="shared" si="49"/>
        <v>500000</v>
      </c>
      <c r="AB43" s="148">
        <v>15</v>
      </c>
      <c r="AC43" s="224">
        <f t="shared" si="50"/>
        <v>150000</v>
      </c>
      <c r="AD43" s="148">
        <v>315</v>
      </c>
      <c r="AE43" s="224">
        <f t="shared" si="51"/>
        <v>3150000</v>
      </c>
      <c r="AF43" s="148">
        <v>10</v>
      </c>
      <c r="AG43" s="224">
        <f t="shared" si="52"/>
        <v>100000</v>
      </c>
      <c r="AH43" s="148">
        <v>50</v>
      </c>
      <c r="AI43" s="224">
        <f t="shared" si="53"/>
        <v>500000</v>
      </c>
      <c r="AJ43" s="148">
        <v>3</v>
      </c>
      <c r="AK43" s="224">
        <f t="shared" si="54"/>
        <v>30000</v>
      </c>
      <c r="AL43" s="148">
        <v>0</v>
      </c>
      <c r="AM43" s="224">
        <f t="shared" si="55"/>
        <v>0</v>
      </c>
      <c r="AN43" s="148">
        <v>10</v>
      </c>
      <c r="AO43" s="224">
        <f t="shared" si="56"/>
        <v>100000</v>
      </c>
      <c r="AP43" s="148">
        <v>15</v>
      </c>
      <c r="AQ43" s="224">
        <f t="shared" si="57"/>
        <v>150000</v>
      </c>
      <c r="AR43" s="148">
        <v>5</v>
      </c>
      <c r="AS43" s="224">
        <f t="shared" si="58"/>
        <v>50000</v>
      </c>
      <c r="AT43" s="148">
        <v>20</v>
      </c>
      <c r="AU43" s="224">
        <f t="shared" si="59"/>
        <v>200000</v>
      </c>
      <c r="AV43" s="148">
        <v>6</v>
      </c>
      <c r="AW43" s="224">
        <f t="shared" si="60"/>
        <v>60000</v>
      </c>
      <c r="AX43" s="150">
        <v>50</v>
      </c>
      <c r="AY43" s="224">
        <f t="shared" si="61"/>
        <v>500000</v>
      </c>
      <c r="AZ43" s="148">
        <v>10</v>
      </c>
      <c r="BA43" s="224">
        <f t="shared" si="62"/>
        <v>100000</v>
      </c>
      <c r="BB43" s="148">
        <v>5</v>
      </c>
      <c r="BC43" s="224">
        <f t="shared" si="63"/>
        <v>50000</v>
      </c>
      <c r="BD43" s="148">
        <v>30</v>
      </c>
      <c r="BE43" s="224">
        <f t="shared" si="64"/>
        <v>300000</v>
      </c>
      <c r="BF43" s="148">
        <v>12</v>
      </c>
      <c r="BG43" s="224">
        <f t="shared" si="65"/>
        <v>120000</v>
      </c>
      <c r="BH43" s="148"/>
      <c r="BI43" s="224">
        <f t="shared" si="66"/>
        <v>0</v>
      </c>
      <c r="BJ43" s="142">
        <f t="shared" si="35"/>
        <v>606</v>
      </c>
      <c r="BK43" s="224">
        <f t="shared" si="36"/>
        <v>6060000</v>
      </c>
      <c r="BL43" s="227" t="s">
        <v>230</v>
      </c>
      <c r="BM43" s="403"/>
      <c r="BN43" s="123"/>
      <c r="BO43" s="228"/>
      <c r="BP43" s="69">
        <f t="shared" si="67"/>
        <v>6060000</v>
      </c>
      <c r="BQ43" s="228"/>
      <c r="BR43" s="98">
        <f t="shared" si="39"/>
        <v>6060000</v>
      </c>
      <c r="BS43" s="228"/>
      <c r="BT43" s="228"/>
      <c r="BU43" s="98"/>
      <c r="BV43" s="99">
        <f t="shared" si="68"/>
        <v>6060000</v>
      </c>
    </row>
    <row r="44" spans="1:74" s="149" customFormat="1" ht="19.149999999999999" customHeight="1">
      <c r="A44" s="633"/>
      <c r="B44" s="93"/>
      <c r="C44" s="93" t="s">
        <v>341</v>
      </c>
      <c r="D44" s="93" t="s">
        <v>76</v>
      </c>
      <c r="E44" s="118">
        <v>4000</v>
      </c>
      <c r="F44" s="221">
        <f t="shared" si="40"/>
        <v>355</v>
      </c>
      <c r="G44" s="123">
        <f t="shared" si="41"/>
        <v>1420000</v>
      </c>
      <c r="H44" s="123">
        <f t="shared" si="42"/>
        <v>142000</v>
      </c>
      <c r="I44" s="123">
        <f t="shared" si="43"/>
        <v>1136000</v>
      </c>
      <c r="J44" s="123"/>
      <c r="K44" s="123"/>
      <c r="L44" s="123"/>
      <c r="M44" s="123"/>
      <c r="N44" s="123"/>
      <c r="O44" s="123"/>
      <c r="P44" s="123">
        <f t="shared" si="44"/>
        <v>142000</v>
      </c>
      <c r="Q44" s="123"/>
      <c r="R44" s="148"/>
      <c r="S44" s="148">
        <f>F44*0.2</f>
        <v>71</v>
      </c>
      <c r="T44" s="148">
        <f>F44*0.8</f>
        <v>284</v>
      </c>
      <c r="U44" s="148"/>
      <c r="V44" s="223">
        <f t="shared" si="45"/>
        <v>0</v>
      </c>
      <c r="W44" s="223">
        <f t="shared" si="46"/>
        <v>284000</v>
      </c>
      <c r="X44" s="223">
        <f t="shared" si="47"/>
        <v>1136000</v>
      </c>
      <c r="Y44" s="223">
        <f t="shared" si="48"/>
        <v>0</v>
      </c>
      <c r="Z44" s="148">
        <v>5</v>
      </c>
      <c r="AA44" s="224">
        <f t="shared" si="49"/>
        <v>20000</v>
      </c>
      <c r="AB44" s="148">
        <v>20</v>
      </c>
      <c r="AC44" s="224">
        <f t="shared" si="50"/>
        <v>80000</v>
      </c>
      <c r="AD44" s="148">
        <v>8</v>
      </c>
      <c r="AE44" s="224">
        <f t="shared" si="51"/>
        <v>32000</v>
      </c>
      <c r="AF44" s="148">
        <v>50</v>
      </c>
      <c r="AG44" s="224">
        <f t="shared" si="52"/>
        <v>200000</v>
      </c>
      <c r="AH44" s="148">
        <v>100</v>
      </c>
      <c r="AI44" s="224">
        <f t="shared" si="53"/>
        <v>400000</v>
      </c>
      <c r="AJ44" s="148">
        <v>20</v>
      </c>
      <c r="AK44" s="224">
        <f t="shared" si="54"/>
        <v>80000</v>
      </c>
      <c r="AL44" s="148">
        <v>50</v>
      </c>
      <c r="AM44" s="224">
        <f t="shared" si="55"/>
        <v>200000</v>
      </c>
      <c r="AN44" s="148">
        <v>5</v>
      </c>
      <c r="AO44" s="224">
        <f t="shared" si="56"/>
        <v>20000</v>
      </c>
      <c r="AP44" s="148">
        <v>30</v>
      </c>
      <c r="AQ44" s="224">
        <f t="shared" si="57"/>
        <v>120000</v>
      </c>
      <c r="AR44" s="148">
        <v>10</v>
      </c>
      <c r="AS44" s="224">
        <f t="shared" si="58"/>
        <v>40000</v>
      </c>
      <c r="AT44" s="148">
        <v>10</v>
      </c>
      <c r="AU44" s="224">
        <f t="shared" si="59"/>
        <v>40000</v>
      </c>
      <c r="AV44" s="148">
        <v>2</v>
      </c>
      <c r="AW44" s="224">
        <f t="shared" si="60"/>
        <v>8000</v>
      </c>
      <c r="AX44" s="150">
        <v>30</v>
      </c>
      <c r="AY44" s="224">
        <f t="shared" si="61"/>
        <v>120000</v>
      </c>
      <c r="AZ44" s="148">
        <v>5</v>
      </c>
      <c r="BA44" s="224">
        <f t="shared" si="62"/>
        <v>20000</v>
      </c>
      <c r="BB44" s="148">
        <v>10</v>
      </c>
      <c r="BC44" s="224">
        <f t="shared" si="63"/>
        <v>40000</v>
      </c>
      <c r="BD44" s="148">
        <v>0</v>
      </c>
      <c r="BE44" s="224">
        <f t="shared" si="64"/>
        <v>0</v>
      </c>
      <c r="BF44" s="148">
        <v>0</v>
      </c>
      <c r="BG44" s="224">
        <f t="shared" si="65"/>
        <v>0</v>
      </c>
      <c r="BH44" s="148"/>
      <c r="BI44" s="224">
        <f t="shared" si="66"/>
        <v>0</v>
      </c>
      <c r="BJ44" s="142">
        <f t="shared" si="35"/>
        <v>355</v>
      </c>
      <c r="BK44" s="224">
        <f t="shared" si="36"/>
        <v>1420000</v>
      </c>
      <c r="BL44" s="227" t="s">
        <v>230</v>
      </c>
      <c r="BM44" s="403"/>
      <c r="BN44" s="123"/>
      <c r="BO44" s="228"/>
      <c r="BP44" s="69">
        <f t="shared" si="67"/>
        <v>1420000</v>
      </c>
      <c r="BQ44" s="228"/>
      <c r="BR44" s="98">
        <f t="shared" si="39"/>
        <v>1420000</v>
      </c>
      <c r="BS44" s="228"/>
      <c r="BT44" s="228"/>
      <c r="BU44" s="98"/>
      <c r="BV44" s="99">
        <f t="shared" si="68"/>
        <v>1420000</v>
      </c>
    </row>
    <row r="45" spans="1:74" s="149" customFormat="1" ht="18" customHeight="1">
      <c r="A45" s="633"/>
      <c r="B45" s="93"/>
      <c r="C45" s="93" t="s">
        <v>342</v>
      </c>
      <c r="D45" s="93" t="s">
        <v>76</v>
      </c>
      <c r="E45" s="118">
        <v>9000</v>
      </c>
      <c r="F45" s="221">
        <f t="shared" si="40"/>
        <v>501</v>
      </c>
      <c r="G45" s="123">
        <f t="shared" si="41"/>
        <v>4509000</v>
      </c>
      <c r="H45" s="123">
        <f t="shared" si="42"/>
        <v>450900</v>
      </c>
      <c r="I45" s="123">
        <f t="shared" si="43"/>
        <v>3607200</v>
      </c>
      <c r="J45" s="123"/>
      <c r="K45" s="123"/>
      <c r="L45" s="123"/>
      <c r="M45" s="123"/>
      <c r="N45" s="123"/>
      <c r="O45" s="123"/>
      <c r="P45" s="123">
        <f t="shared" si="44"/>
        <v>450900</v>
      </c>
      <c r="Q45" s="123"/>
      <c r="R45" s="222">
        <f>F45*0.15</f>
        <v>75.149999999999991</v>
      </c>
      <c r="S45" s="222">
        <f>F45*0.85</f>
        <v>425.84999999999997</v>
      </c>
      <c r="T45" s="148"/>
      <c r="U45" s="148"/>
      <c r="V45" s="223">
        <f t="shared" si="45"/>
        <v>676349.99999999988</v>
      </c>
      <c r="W45" s="223">
        <f t="shared" si="46"/>
        <v>3832649.9999999995</v>
      </c>
      <c r="X45" s="223">
        <f t="shared" si="47"/>
        <v>0</v>
      </c>
      <c r="Y45" s="223">
        <f t="shared" si="48"/>
        <v>0</v>
      </c>
      <c r="Z45" s="148">
        <v>0</v>
      </c>
      <c r="AA45" s="224">
        <f t="shared" si="49"/>
        <v>0</v>
      </c>
      <c r="AB45" s="148">
        <v>30</v>
      </c>
      <c r="AC45" s="224">
        <f t="shared" si="50"/>
        <v>270000</v>
      </c>
      <c r="AD45" s="148">
        <v>53</v>
      </c>
      <c r="AE45" s="224">
        <f t="shared" si="51"/>
        <v>477000</v>
      </c>
      <c r="AF45" s="148">
        <v>50</v>
      </c>
      <c r="AG45" s="224">
        <f t="shared" si="52"/>
        <v>450000</v>
      </c>
      <c r="AH45" s="148">
        <v>100</v>
      </c>
      <c r="AI45" s="224">
        <f t="shared" si="53"/>
        <v>900000</v>
      </c>
      <c r="AJ45" s="148">
        <v>5</v>
      </c>
      <c r="AK45" s="224">
        <f t="shared" si="54"/>
        <v>45000</v>
      </c>
      <c r="AL45" s="148">
        <v>75</v>
      </c>
      <c r="AM45" s="224">
        <f t="shared" si="55"/>
        <v>675000</v>
      </c>
      <c r="AN45" s="148">
        <v>5</v>
      </c>
      <c r="AO45" s="224">
        <f t="shared" si="56"/>
        <v>45000</v>
      </c>
      <c r="AP45" s="148">
        <v>12</v>
      </c>
      <c r="AQ45" s="224">
        <f t="shared" si="57"/>
        <v>108000</v>
      </c>
      <c r="AR45" s="148">
        <v>15</v>
      </c>
      <c r="AS45" s="224">
        <f t="shared" si="58"/>
        <v>135000</v>
      </c>
      <c r="AT45" s="148">
        <v>0</v>
      </c>
      <c r="AU45" s="224">
        <f t="shared" si="59"/>
        <v>0</v>
      </c>
      <c r="AV45" s="148">
        <v>6</v>
      </c>
      <c r="AW45" s="224">
        <f t="shared" si="60"/>
        <v>54000</v>
      </c>
      <c r="AX45" s="150">
        <v>25</v>
      </c>
      <c r="AY45" s="224">
        <f t="shared" si="61"/>
        <v>225000</v>
      </c>
      <c r="AZ45" s="148">
        <v>10</v>
      </c>
      <c r="BA45" s="224">
        <f t="shared" si="62"/>
        <v>90000</v>
      </c>
      <c r="BB45" s="148">
        <v>10</v>
      </c>
      <c r="BC45" s="224">
        <f t="shared" si="63"/>
        <v>90000</v>
      </c>
      <c r="BD45" s="148">
        <v>100</v>
      </c>
      <c r="BE45" s="224">
        <f t="shared" si="64"/>
        <v>900000</v>
      </c>
      <c r="BF45" s="148">
        <v>5</v>
      </c>
      <c r="BG45" s="224">
        <f t="shared" si="65"/>
        <v>45000</v>
      </c>
      <c r="BH45" s="148"/>
      <c r="BI45" s="224">
        <f t="shared" si="66"/>
        <v>0</v>
      </c>
      <c r="BJ45" s="142">
        <f t="shared" si="35"/>
        <v>501</v>
      </c>
      <c r="BK45" s="224">
        <f t="shared" si="36"/>
        <v>4509000</v>
      </c>
      <c r="BL45" s="227" t="s">
        <v>230</v>
      </c>
      <c r="BM45" s="403"/>
      <c r="BN45" s="123"/>
      <c r="BO45" s="228"/>
      <c r="BP45" s="69">
        <f t="shared" si="67"/>
        <v>4509000</v>
      </c>
      <c r="BQ45" s="228"/>
      <c r="BR45" s="98">
        <f t="shared" si="39"/>
        <v>4509000</v>
      </c>
      <c r="BS45" s="228"/>
      <c r="BT45" s="228"/>
      <c r="BU45" s="98"/>
      <c r="BV45" s="99">
        <f t="shared" si="68"/>
        <v>4509000</v>
      </c>
    </row>
    <row r="46" spans="1:74" s="149" customFormat="1" ht="18" customHeight="1">
      <c r="A46" s="633"/>
      <c r="B46" s="93"/>
      <c r="C46" s="93" t="s">
        <v>343</v>
      </c>
      <c r="D46" s="93" t="s">
        <v>76</v>
      </c>
      <c r="E46" s="118">
        <v>9000</v>
      </c>
      <c r="F46" s="221">
        <f t="shared" si="40"/>
        <v>300</v>
      </c>
      <c r="G46" s="123">
        <f t="shared" si="41"/>
        <v>2700000</v>
      </c>
      <c r="H46" s="123">
        <f t="shared" si="42"/>
        <v>270000</v>
      </c>
      <c r="I46" s="123">
        <f t="shared" si="43"/>
        <v>2160000</v>
      </c>
      <c r="J46" s="123"/>
      <c r="K46" s="123"/>
      <c r="L46" s="123"/>
      <c r="M46" s="123"/>
      <c r="N46" s="123"/>
      <c r="O46" s="123"/>
      <c r="P46" s="123">
        <f t="shared" si="44"/>
        <v>270000</v>
      </c>
      <c r="Q46" s="123"/>
      <c r="R46" s="148"/>
      <c r="S46" s="148">
        <f>F46*0.6</f>
        <v>180</v>
      </c>
      <c r="T46" s="148">
        <f>F46*0.4</f>
        <v>120</v>
      </c>
      <c r="U46" s="148"/>
      <c r="V46" s="223">
        <f t="shared" si="45"/>
        <v>0</v>
      </c>
      <c r="W46" s="223">
        <f t="shared" si="46"/>
        <v>1620000</v>
      </c>
      <c r="X46" s="223">
        <f t="shared" si="47"/>
        <v>1080000</v>
      </c>
      <c r="Y46" s="223">
        <f t="shared" si="48"/>
        <v>0</v>
      </c>
      <c r="Z46" s="148">
        <v>0</v>
      </c>
      <c r="AA46" s="224">
        <f t="shared" si="49"/>
        <v>0</v>
      </c>
      <c r="AB46" s="148">
        <v>0</v>
      </c>
      <c r="AC46" s="224">
        <f t="shared" si="50"/>
        <v>0</v>
      </c>
      <c r="AD46" s="148">
        <v>53</v>
      </c>
      <c r="AE46" s="224">
        <f t="shared" si="51"/>
        <v>477000</v>
      </c>
      <c r="AF46" s="148">
        <v>10</v>
      </c>
      <c r="AG46" s="224">
        <f t="shared" si="52"/>
        <v>90000</v>
      </c>
      <c r="AH46" s="148">
        <v>50</v>
      </c>
      <c r="AI46" s="224">
        <f t="shared" si="53"/>
        <v>450000</v>
      </c>
      <c r="AJ46" s="148">
        <v>4</v>
      </c>
      <c r="AK46" s="224">
        <f t="shared" si="54"/>
        <v>36000</v>
      </c>
      <c r="AL46" s="148">
        <v>20</v>
      </c>
      <c r="AM46" s="224">
        <f t="shared" si="55"/>
        <v>180000</v>
      </c>
      <c r="AN46" s="148">
        <v>2</v>
      </c>
      <c r="AO46" s="224">
        <f t="shared" si="56"/>
        <v>18000</v>
      </c>
      <c r="AP46" s="148">
        <v>5</v>
      </c>
      <c r="AQ46" s="224">
        <f t="shared" si="57"/>
        <v>45000</v>
      </c>
      <c r="AR46" s="148">
        <v>15</v>
      </c>
      <c r="AS46" s="224">
        <f t="shared" si="58"/>
        <v>135000</v>
      </c>
      <c r="AT46" s="148">
        <v>30</v>
      </c>
      <c r="AU46" s="224">
        <f t="shared" si="59"/>
        <v>270000</v>
      </c>
      <c r="AV46" s="148">
        <v>60</v>
      </c>
      <c r="AW46" s="224">
        <f t="shared" si="60"/>
        <v>540000</v>
      </c>
      <c r="AX46" s="150">
        <v>0</v>
      </c>
      <c r="AY46" s="224">
        <f t="shared" si="61"/>
        <v>0</v>
      </c>
      <c r="AZ46" s="148">
        <v>0</v>
      </c>
      <c r="BA46" s="224">
        <f t="shared" si="62"/>
        <v>0</v>
      </c>
      <c r="BB46" s="148">
        <v>10</v>
      </c>
      <c r="BC46" s="224">
        <f t="shared" si="63"/>
        <v>90000</v>
      </c>
      <c r="BD46" s="148">
        <v>40</v>
      </c>
      <c r="BE46" s="224">
        <f t="shared" si="64"/>
        <v>360000</v>
      </c>
      <c r="BF46" s="148">
        <v>1</v>
      </c>
      <c r="BG46" s="224">
        <f t="shared" si="65"/>
        <v>9000</v>
      </c>
      <c r="BH46" s="148"/>
      <c r="BI46" s="224">
        <f t="shared" si="66"/>
        <v>0</v>
      </c>
      <c r="BJ46" s="142">
        <f t="shared" si="35"/>
        <v>300</v>
      </c>
      <c r="BK46" s="224">
        <f t="shared" si="36"/>
        <v>2700000</v>
      </c>
      <c r="BL46" s="227" t="s">
        <v>230</v>
      </c>
      <c r="BM46" s="403"/>
      <c r="BN46" s="123"/>
      <c r="BO46" s="228"/>
      <c r="BP46" s="69">
        <f t="shared" si="67"/>
        <v>2700000</v>
      </c>
      <c r="BQ46" s="228"/>
      <c r="BR46" s="98">
        <f t="shared" si="39"/>
        <v>2700000</v>
      </c>
      <c r="BS46" s="228"/>
      <c r="BT46" s="228"/>
      <c r="BU46" s="98"/>
      <c r="BV46" s="99">
        <f t="shared" si="68"/>
        <v>2700000</v>
      </c>
    </row>
    <row r="47" spans="1:74" s="149" customFormat="1" ht="18" customHeight="1">
      <c r="A47" s="633"/>
      <c r="B47" s="93"/>
      <c r="C47" s="93" t="s">
        <v>344</v>
      </c>
      <c r="D47" s="93" t="s">
        <v>76</v>
      </c>
      <c r="E47" s="118">
        <v>9000</v>
      </c>
      <c r="F47" s="221">
        <f t="shared" si="40"/>
        <v>121</v>
      </c>
      <c r="G47" s="123">
        <f t="shared" si="41"/>
        <v>1089000</v>
      </c>
      <c r="H47" s="123">
        <f t="shared" si="42"/>
        <v>108900</v>
      </c>
      <c r="I47" s="123">
        <f t="shared" si="43"/>
        <v>871200</v>
      </c>
      <c r="J47" s="123"/>
      <c r="K47" s="123"/>
      <c r="L47" s="123"/>
      <c r="M47" s="123"/>
      <c r="N47" s="123"/>
      <c r="O47" s="123"/>
      <c r="P47" s="123">
        <f t="shared" si="44"/>
        <v>108900</v>
      </c>
      <c r="Q47" s="123"/>
      <c r="R47" s="148"/>
      <c r="S47" s="148">
        <f>F47*0.6</f>
        <v>72.599999999999994</v>
      </c>
      <c r="T47" s="148">
        <f>F47*0.4</f>
        <v>48.400000000000006</v>
      </c>
      <c r="U47" s="148"/>
      <c r="V47" s="223">
        <f t="shared" si="45"/>
        <v>0</v>
      </c>
      <c r="W47" s="223">
        <f t="shared" si="46"/>
        <v>653400</v>
      </c>
      <c r="X47" s="223">
        <f t="shared" si="47"/>
        <v>435600.00000000006</v>
      </c>
      <c r="Y47" s="223">
        <f t="shared" si="48"/>
        <v>0</v>
      </c>
      <c r="Z47" s="148">
        <v>0</v>
      </c>
      <c r="AA47" s="224">
        <f t="shared" si="49"/>
        <v>0</v>
      </c>
      <c r="AB47" s="148">
        <v>0</v>
      </c>
      <c r="AC47" s="224">
        <f t="shared" si="50"/>
        <v>0</v>
      </c>
      <c r="AD47" s="148">
        <v>40</v>
      </c>
      <c r="AE47" s="224">
        <f t="shared" si="51"/>
        <v>360000</v>
      </c>
      <c r="AF47" s="148">
        <v>10</v>
      </c>
      <c r="AG47" s="224">
        <f t="shared" si="52"/>
        <v>90000</v>
      </c>
      <c r="AH47" s="148">
        <v>0</v>
      </c>
      <c r="AI47" s="224">
        <f t="shared" si="53"/>
        <v>0</v>
      </c>
      <c r="AJ47" s="148">
        <v>4</v>
      </c>
      <c r="AK47" s="224">
        <f t="shared" si="54"/>
        <v>36000</v>
      </c>
      <c r="AL47" s="148">
        <v>0</v>
      </c>
      <c r="AM47" s="224">
        <f t="shared" si="55"/>
        <v>0</v>
      </c>
      <c r="AN47" s="148">
        <v>10</v>
      </c>
      <c r="AO47" s="224">
        <f t="shared" si="56"/>
        <v>90000</v>
      </c>
      <c r="AP47" s="148">
        <v>2</v>
      </c>
      <c r="AQ47" s="224">
        <f t="shared" si="57"/>
        <v>18000</v>
      </c>
      <c r="AR47" s="148">
        <v>5</v>
      </c>
      <c r="AS47" s="224">
        <f t="shared" si="58"/>
        <v>45000</v>
      </c>
      <c r="AT47" s="148">
        <v>15</v>
      </c>
      <c r="AU47" s="224">
        <f t="shared" si="59"/>
        <v>135000</v>
      </c>
      <c r="AV47" s="148">
        <v>0</v>
      </c>
      <c r="AW47" s="224">
        <f t="shared" si="60"/>
        <v>0</v>
      </c>
      <c r="AX47" s="150">
        <v>25</v>
      </c>
      <c r="AY47" s="224">
        <f t="shared" si="61"/>
        <v>225000</v>
      </c>
      <c r="AZ47" s="148">
        <v>0</v>
      </c>
      <c r="BA47" s="224">
        <f t="shared" si="62"/>
        <v>0</v>
      </c>
      <c r="BB47" s="148">
        <v>10</v>
      </c>
      <c r="BC47" s="224">
        <f t="shared" si="63"/>
        <v>90000</v>
      </c>
      <c r="BD47" s="148">
        <v>0</v>
      </c>
      <c r="BE47" s="224">
        <f t="shared" si="64"/>
        <v>0</v>
      </c>
      <c r="BF47" s="148">
        <v>0</v>
      </c>
      <c r="BG47" s="224">
        <f t="shared" si="65"/>
        <v>0</v>
      </c>
      <c r="BH47" s="148"/>
      <c r="BI47" s="224">
        <f t="shared" si="66"/>
        <v>0</v>
      </c>
      <c r="BJ47" s="142">
        <f t="shared" si="35"/>
        <v>121</v>
      </c>
      <c r="BK47" s="224">
        <f t="shared" si="36"/>
        <v>1089000</v>
      </c>
      <c r="BL47" s="227" t="s">
        <v>230</v>
      </c>
      <c r="BM47" s="403"/>
      <c r="BN47" s="123"/>
      <c r="BO47" s="228"/>
      <c r="BP47" s="69">
        <f t="shared" si="67"/>
        <v>1089000</v>
      </c>
      <c r="BQ47" s="228"/>
      <c r="BR47" s="98">
        <f t="shared" si="39"/>
        <v>1089000</v>
      </c>
      <c r="BS47" s="228"/>
      <c r="BT47" s="228"/>
      <c r="BU47" s="98"/>
      <c r="BV47" s="99">
        <f t="shared" si="68"/>
        <v>1089000</v>
      </c>
    </row>
    <row r="48" spans="1:74" s="149" customFormat="1" ht="17.25" customHeight="1">
      <c r="A48" s="633"/>
      <c r="B48" s="93"/>
      <c r="C48" s="77" t="s">
        <v>351</v>
      </c>
      <c r="D48" s="93" t="s">
        <v>76</v>
      </c>
      <c r="E48" s="118">
        <v>9000</v>
      </c>
      <c r="F48" s="221">
        <f t="shared" si="40"/>
        <v>112</v>
      </c>
      <c r="G48" s="123">
        <f t="shared" si="41"/>
        <v>1008000</v>
      </c>
      <c r="H48" s="123">
        <f t="shared" si="42"/>
        <v>100800</v>
      </c>
      <c r="I48" s="123">
        <f t="shared" si="43"/>
        <v>806400</v>
      </c>
      <c r="J48" s="123"/>
      <c r="K48" s="123"/>
      <c r="L48" s="123"/>
      <c r="M48" s="123"/>
      <c r="N48" s="123"/>
      <c r="O48" s="123"/>
      <c r="P48" s="123">
        <f t="shared" si="44"/>
        <v>100800</v>
      </c>
      <c r="Q48" s="123"/>
      <c r="R48" s="148"/>
      <c r="S48" s="148"/>
      <c r="T48" s="148">
        <f t="shared" ref="T48:T53" si="69">F48</f>
        <v>112</v>
      </c>
      <c r="U48" s="148"/>
      <c r="V48" s="223">
        <f t="shared" si="45"/>
        <v>0</v>
      </c>
      <c r="W48" s="223">
        <f t="shared" si="46"/>
        <v>0</v>
      </c>
      <c r="X48" s="223">
        <f t="shared" si="47"/>
        <v>1008000</v>
      </c>
      <c r="Y48" s="223">
        <f t="shared" si="48"/>
        <v>0</v>
      </c>
      <c r="Z48" s="148">
        <v>0</v>
      </c>
      <c r="AA48" s="224">
        <f t="shared" si="49"/>
        <v>0</v>
      </c>
      <c r="AB48" s="148"/>
      <c r="AC48" s="224">
        <f t="shared" si="50"/>
        <v>0</v>
      </c>
      <c r="AD48" s="148">
        <v>22</v>
      </c>
      <c r="AE48" s="224">
        <f t="shared" si="51"/>
        <v>198000</v>
      </c>
      <c r="AF48" s="148">
        <v>20</v>
      </c>
      <c r="AG48" s="224">
        <f t="shared" si="52"/>
        <v>180000</v>
      </c>
      <c r="AH48" s="148">
        <v>0</v>
      </c>
      <c r="AI48" s="224">
        <f t="shared" si="53"/>
        <v>0</v>
      </c>
      <c r="AJ48" s="148">
        <v>0</v>
      </c>
      <c r="AK48" s="224">
        <f t="shared" si="54"/>
        <v>0</v>
      </c>
      <c r="AL48" s="148">
        <v>10</v>
      </c>
      <c r="AM48" s="224">
        <f t="shared" si="55"/>
        <v>90000</v>
      </c>
      <c r="AN48" s="148">
        <v>5</v>
      </c>
      <c r="AO48" s="224">
        <f t="shared" si="56"/>
        <v>45000</v>
      </c>
      <c r="AP48" s="148">
        <v>0</v>
      </c>
      <c r="AQ48" s="224">
        <f t="shared" si="57"/>
        <v>0</v>
      </c>
      <c r="AR48" s="148">
        <v>5</v>
      </c>
      <c r="AS48" s="224">
        <f t="shared" si="58"/>
        <v>45000</v>
      </c>
      <c r="AT48" s="148"/>
      <c r="AU48" s="224">
        <f t="shared" si="59"/>
        <v>0</v>
      </c>
      <c r="AV48" s="148">
        <v>30</v>
      </c>
      <c r="AW48" s="224">
        <f t="shared" si="60"/>
        <v>270000</v>
      </c>
      <c r="AX48" s="150">
        <v>0</v>
      </c>
      <c r="AY48" s="224">
        <f t="shared" si="61"/>
        <v>0</v>
      </c>
      <c r="AZ48" s="148">
        <v>0</v>
      </c>
      <c r="BA48" s="224">
        <f t="shared" si="62"/>
        <v>0</v>
      </c>
      <c r="BB48" s="148">
        <v>20</v>
      </c>
      <c r="BC48" s="224">
        <f t="shared" si="63"/>
        <v>180000</v>
      </c>
      <c r="BD48" s="148">
        <v>0</v>
      </c>
      <c r="BE48" s="224">
        <f t="shared" si="64"/>
        <v>0</v>
      </c>
      <c r="BF48" s="148">
        <v>0</v>
      </c>
      <c r="BG48" s="224">
        <f t="shared" si="65"/>
        <v>0</v>
      </c>
      <c r="BH48" s="148"/>
      <c r="BI48" s="224">
        <f t="shared" si="66"/>
        <v>0</v>
      </c>
      <c r="BJ48" s="142">
        <f t="shared" si="35"/>
        <v>112</v>
      </c>
      <c r="BK48" s="224">
        <f t="shared" si="36"/>
        <v>1008000</v>
      </c>
      <c r="BL48" s="227" t="s">
        <v>230</v>
      </c>
      <c r="BM48" s="403"/>
      <c r="BN48" s="123"/>
      <c r="BO48" s="228"/>
      <c r="BP48" s="69">
        <f t="shared" si="67"/>
        <v>1008000</v>
      </c>
      <c r="BQ48" s="228"/>
      <c r="BR48" s="98">
        <f t="shared" si="39"/>
        <v>1008000</v>
      </c>
      <c r="BS48" s="228"/>
      <c r="BT48" s="228"/>
      <c r="BU48" s="98"/>
      <c r="BV48" s="99">
        <f t="shared" si="68"/>
        <v>1008000</v>
      </c>
    </row>
    <row r="49" spans="1:83" s="149" customFormat="1" ht="18" customHeight="1">
      <c r="A49" s="633"/>
      <c r="B49" s="93"/>
      <c r="C49" s="93" t="s">
        <v>346</v>
      </c>
      <c r="D49" s="93" t="s">
        <v>76</v>
      </c>
      <c r="E49" s="118">
        <v>80000</v>
      </c>
      <c r="F49" s="221">
        <f t="shared" si="40"/>
        <v>438</v>
      </c>
      <c r="G49" s="123">
        <f t="shared" si="41"/>
        <v>35040000</v>
      </c>
      <c r="H49" s="123">
        <f t="shared" si="42"/>
        <v>3504000</v>
      </c>
      <c r="I49" s="123">
        <f t="shared" si="43"/>
        <v>28032000</v>
      </c>
      <c r="J49" s="123"/>
      <c r="K49" s="123"/>
      <c r="L49" s="123"/>
      <c r="M49" s="123"/>
      <c r="N49" s="123"/>
      <c r="O49" s="123"/>
      <c r="P49" s="123">
        <f t="shared" si="44"/>
        <v>3504000</v>
      </c>
      <c r="Q49" s="123"/>
      <c r="R49" s="148"/>
      <c r="S49" s="148"/>
      <c r="T49" s="148">
        <f t="shared" si="69"/>
        <v>438</v>
      </c>
      <c r="U49" s="148"/>
      <c r="V49" s="223">
        <f t="shared" si="45"/>
        <v>0</v>
      </c>
      <c r="W49" s="223">
        <f t="shared" si="46"/>
        <v>0</v>
      </c>
      <c r="X49" s="223">
        <f t="shared" si="47"/>
        <v>35040000</v>
      </c>
      <c r="Y49" s="223">
        <f t="shared" si="48"/>
        <v>0</v>
      </c>
      <c r="Z49" s="148">
        <v>0</v>
      </c>
      <c r="AA49" s="224">
        <f t="shared" si="49"/>
        <v>0</v>
      </c>
      <c r="AB49" s="148">
        <v>35</v>
      </c>
      <c r="AC49" s="224">
        <f t="shared" si="50"/>
        <v>2800000</v>
      </c>
      <c r="AD49" s="148">
        <v>8</v>
      </c>
      <c r="AE49" s="224">
        <f t="shared" si="51"/>
        <v>640000</v>
      </c>
      <c r="AF49" s="148">
        <v>15</v>
      </c>
      <c r="AG49" s="224">
        <f t="shared" si="52"/>
        <v>1200000</v>
      </c>
      <c r="AH49" s="148">
        <v>5</v>
      </c>
      <c r="AI49" s="224">
        <f t="shared" si="53"/>
        <v>400000</v>
      </c>
      <c r="AJ49" s="148">
        <v>30</v>
      </c>
      <c r="AK49" s="224">
        <f t="shared" si="54"/>
        <v>2400000</v>
      </c>
      <c r="AL49" s="148">
        <v>5</v>
      </c>
      <c r="AM49" s="224">
        <f t="shared" si="55"/>
        <v>400000</v>
      </c>
      <c r="AN49" s="148">
        <v>15</v>
      </c>
      <c r="AO49" s="224">
        <f t="shared" si="56"/>
        <v>1200000</v>
      </c>
      <c r="AP49" s="148">
        <v>5</v>
      </c>
      <c r="AQ49" s="224">
        <f t="shared" si="57"/>
        <v>400000</v>
      </c>
      <c r="AR49" s="148"/>
      <c r="AS49" s="224">
        <f t="shared" si="58"/>
        <v>0</v>
      </c>
      <c r="AT49" s="148">
        <v>70</v>
      </c>
      <c r="AU49" s="224">
        <f t="shared" si="59"/>
        <v>5600000</v>
      </c>
      <c r="AV49" s="148">
        <v>100</v>
      </c>
      <c r="AW49" s="224">
        <f t="shared" si="60"/>
        <v>8000000</v>
      </c>
      <c r="AX49" s="150">
        <v>60</v>
      </c>
      <c r="AY49" s="224">
        <f t="shared" si="61"/>
        <v>4800000</v>
      </c>
      <c r="AZ49" s="148">
        <v>5</v>
      </c>
      <c r="BA49" s="224">
        <f t="shared" si="62"/>
        <v>400000</v>
      </c>
      <c r="BB49" s="148">
        <v>5</v>
      </c>
      <c r="BC49" s="224">
        <f t="shared" si="63"/>
        <v>400000</v>
      </c>
      <c r="BD49" s="148">
        <v>0</v>
      </c>
      <c r="BE49" s="224">
        <f t="shared" si="64"/>
        <v>0</v>
      </c>
      <c r="BF49" s="148">
        <v>80</v>
      </c>
      <c r="BG49" s="224">
        <f t="shared" si="65"/>
        <v>6400000</v>
      </c>
      <c r="BH49" s="148"/>
      <c r="BI49" s="224">
        <f t="shared" si="66"/>
        <v>0</v>
      </c>
      <c r="BJ49" s="142">
        <f t="shared" si="35"/>
        <v>438</v>
      </c>
      <c r="BK49" s="224">
        <f t="shared" si="36"/>
        <v>35040000</v>
      </c>
      <c r="BL49" s="227" t="s">
        <v>230</v>
      </c>
      <c r="BM49" s="403"/>
      <c r="BN49" s="123"/>
      <c r="BO49" s="228"/>
      <c r="BP49" s="69">
        <f t="shared" si="67"/>
        <v>35040000</v>
      </c>
      <c r="BQ49" s="228"/>
      <c r="BR49" s="98">
        <f t="shared" si="39"/>
        <v>35040000</v>
      </c>
      <c r="BS49" s="228"/>
      <c r="BT49" s="228"/>
      <c r="BU49" s="98"/>
      <c r="BV49" s="99">
        <f t="shared" si="68"/>
        <v>35040000</v>
      </c>
    </row>
    <row r="50" spans="1:83" s="149" customFormat="1" ht="20.25" customHeight="1">
      <c r="A50" s="596"/>
      <c r="B50" s="93"/>
      <c r="C50" s="93" t="s">
        <v>348</v>
      </c>
      <c r="D50" s="93" t="s">
        <v>76</v>
      </c>
      <c r="E50" s="118">
        <v>22000</v>
      </c>
      <c r="F50" s="221">
        <f t="shared" si="40"/>
        <v>12.4</v>
      </c>
      <c r="G50" s="123">
        <f t="shared" si="41"/>
        <v>272800</v>
      </c>
      <c r="H50" s="123">
        <f t="shared" si="42"/>
        <v>27280</v>
      </c>
      <c r="I50" s="123">
        <f t="shared" si="43"/>
        <v>218240</v>
      </c>
      <c r="J50" s="123"/>
      <c r="K50" s="123"/>
      <c r="L50" s="123"/>
      <c r="M50" s="123"/>
      <c r="N50" s="123"/>
      <c r="O50" s="123"/>
      <c r="P50" s="123">
        <f t="shared" si="44"/>
        <v>27280</v>
      </c>
      <c r="Q50" s="123"/>
      <c r="R50" s="148"/>
      <c r="S50" s="148"/>
      <c r="T50" s="148">
        <f t="shared" si="69"/>
        <v>12.4</v>
      </c>
      <c r="U50" s="148"/>
      <c r="V50" s="223">
        <f t="shared" si="45"/>
        <v>0</v>
      </c>
      <c r="W50" s="223">
        <f t="shared" si="46"/>
        <v>0</v>
      </c>
      <c r="X50" s="223">
        <f t="shared" si="47"/>
        <v>272800</v>
      </c>
      <c r="Y50" s="223">
        <f t="shared" si="48"/>
        <v>0</v>
      </c>
      <c r="Z50" s="148">
        <v>0</v>
      </c>
      <c r="AA50" s="224">
        <f t="shared" si="49"/>
        <v>0</v>
      </c>
      <c r="AB50" s="148">
        <v>4</v>
      </c>
      <c r="AC50" s="224">
        <f t="shared" si="50"/>
        <v>88000</v>
      </c>
      <c r="AD50" s="148">
        <v>6</v>
      </c>
      <c r="AE50" s="224">
        <f t="shared" si="51"/>
        <v>132000</v>
      </c>
      <c r="AF50" s="144"/>
      <c r="AG50" s="224">
        <f t="shared" si="52"/>
        <v>0</v>
      </c>
      <c r="AH50" s="148"/>
      <c r="AI50" s="224">
        <f t="shared" si="53"/>
        <v>0</v>
      </c>
      <c r="AJ50" s="148">
        <v>0</v>
      </c>
      <c r="AK50" s="224">
        <f t="shared" si="54"/>
        <v>0</v>
      </c>
      <c r="AL50" s="148">
        <v>0.4</v>
      </c>
      <c r="AM50" s="224">
        <f t="shared" si="55"/>
        <v>8800</v>
      </c>
      <c r="AN50" s="148">
        <v>0</v>
      </c>
      <c r="AO50" s="224">
        <f t="shared" si="56"/>
        <v>0</v>
      </c>
      <c r="AP50" s="148">
        <v>0</v>
      </c>
      <c r="AQ50" s="224">
        <f t="shared" si="57"/>
        <v>0</v>
      </c>
      <c r="AR50" s="148">
        <v>0</v>
      </c>
      <c r="AS50" s="224">
        <f t="shared" si="58"/>
        <v>0</v>
      </c>
      <c r="AT50" s="148"/>
      <c r="AU50" s="224">
        <f t="shared" si="59"/>
        <v>0</v>
      </c>
      <c r="AV50" s="148">
        <v>0</v>
      </c>
      <c r="AW50" s="224">
        <f t="shared" si="60"/>
        <v>0</v>
      </c>
      <c r="AX50" s="150">
        <v>0</v>
      </c>
      <c r="AY50" s="224">
        <f t="shared" si="61"/>
        <v>0</v>
      </c>
      <c r="AZ50" s="148">
        <v>0</v>
      </c>
      <c r="BA50" s="224">
        <f t="shared" si="62"/>
        <v>0</v>
      </c>
      <c r="BB50" s="148">
        <v>2</v>
      </c>
      <c r="BC50" s="224">
        <f t="shared" si="63"/>
        <v>44000</v>
      </c>
      <c r="BD50" s="148">
        <v>0</v>
      </c>
      <c r="BE50" s="224">
        <f t="shared" si="64"/>
        <v>0</v>
      </c>
      <c r="BF50" s="148">
        <v>0</v>
      </c>
      <c r="BG50" s="224">
        <f t="shared" si="65"/>
        <v>0</v>
      </c>
      <c r="BH50" s="148"/>
      <c r="BI50" s="224">
        <f t="shared" si="66"/>
        <v>0</v>
      </c>
      <c r="BJ50" s="142">
        <f t="shared" si="35"/>
        <v>12.4</v>
      </c>
      <c r="BK50" s="224">
        <f t="shared" si="36"/>
        <v>272800</v>
      </c>
      <c r="BL50" s="227" t="s">
        <v>230</v>
      </c>
      <c r="BM50" s="273"/>
      <c r="BN50" s="123"/>
      <c r="BO50" s="228"/>
      <c r="BP50" s="69">
        <f t="shared" si="67"/>
        <v>272800</v>
      </c>
      <c r="BQ50" s="228"/>
      <c r="BR50" s="98">
        <f t="shared" si="39"/>
        <v>272800</v>
      </c>
      <c r="BS50" s="228"/>
      <c r="BT50" s="228"/>
      <c r="BU50" s="98"/>
      <c r="BV50" s="99">
        <f t="shared" si="68"/>
        <v>272800</v>
      </c>
    </row>
    <row r="51" spans="1:83" s="149" customFormat="1" ht="18" customHeight="1">
      <c r="A51" s="596"/>
      <c r="B51" s="93"/>
      <c r="C51" s="77" t="s">
        <v>420</v>
      </c>
      <c r="D51" s="93" t="s">
        <v>76</v>
      </c>
      <c r="E51" s="118">
        <v>9000</v>
      </c>
      <c r="F51" s="221">
        <f t="shared" si="40"/>
        <v>129</v>
      </c>
      <c r="G51" s="123">
        <f t="shared" si="41"/>
        <v>1161000</v>
      </c>
      <c r="H51" s="123">
        <f t="shared" si="42"/>
        <v>116100</v>
      </c>
      <c r="I51" s="123">
        <f t="shared" si="43"/>
        <v>928800</v>
      </c>
      <c r="J51" s="123"/>
      <c r="K51" s="123"/>
      <c r="L51" s="123"/>
      <c r="M51" s="123"/>
      <c r="N51" s="123"/>
      <c r="O51" s="123"/>
      <c r="P51" s="123">
        <f t="shared" si="44"/>
        <v>116100</v>
      </c>
      <c r="Q51" s="123"/>
      <c r="R51" s="148"/>
      <c r="S51" s="148"/>
      <c r="T51" s="148">
        <f t="shared" si="69"/>
        <v>129</v>
      </c>
      <c r="U51" s="148"/>
      <c r="V51" s="223">
        <f t="shared" si="45"/>
        <v>0</v>
      </c>
      <c r="W51" s="223">
        <f t="shared" si="46"/>
        <v>0</v>
      </c>
      <c r="X51" s="223">
        <f t="shared" si="47"/>
        <v>1161000</v>
      </c>
      <c r="Y51" s="223">
        <f t="shared" si="48"/>
        <v>0</v>
      </c>
      <c r="Z51" s="148">
        <v>0</v>
      </c>
      <c r="AA51" s="224">
        <f t="shared" si="49"/>
        <v>0</v>
      </c>
      <c r="AB51" s="148">
        <v>0</v>
      </c>
      <c r="AC51" s="224">
        <f t="shared" si="50"/>
        <v>0</v>
      </c>
      <c r="AD51" s="148">
        <v>6</v>
      </c>
      <c r="AE51" s="224">
        <f t="shared" si="51"/>
        <v>54000</v>
      </c>
      <c r="AF51" s="148">
        <v>5</v>
      </c>
      <c r="AG51" s="224">
        <f t="shared" si="52"/>
        <v>45000</v>
      </c>
      <c r="AH51" s="148">
        <v>50</v>
      </c>
      <c r="AI51" s="224">
        <f t="shared" si="53"/>
        <v>450000</v>
      </c>
      <c r="AJ51" s="148">
        <v>0</v>
      </c>
      <c r="AK51" s="224">
        <f t="shared" si="54"/>
        <v>0</v>
      </c>
      <c r="AL51" s="148">
        <v>10</v>
      </c>
      <c r="AM51" s="224">
        <f t="shared" si="55"/>
        <v>90000</v>
      </c>
      <c r="AN51" s="148"/>
      <c r="AO51" s="224">
        <f t="shared" si="56"/>
        <v>0</v>
      </c>
      <c r="AP51" s="148">
        <v>2</v>
      </c>
      <c r="AQ51" s="224">
        <f t="shared" si="57"/>
        <v>18000</v>
      </c>
      <c r="AR51" s="148">
        <v>0</v>
      </c>
      <c r="AS51" s="224">
        <f t="shared" si="58"/>
        <v>0</v>
      </c>
      <c r="AT51" s="148"/>
      <c r="AU51" s="224">
        <f t="shared" si="59"/>
        <v>0</v>
      </c>
      <c r="AV51" s="148"/>
      <c r="AW51" s="224">
        <f t="shared" si="60"/>
        <v>0</v>
      </c>
      <c r="AX51" s="150">
        <v>6</v>
      </c>
      <c r="AY51" s="224">
        <f t="shared" si="61"/>
        <v>54000</v>
      </c>
      <c r="AZ51" s="148">
        <v>0</v>
      </c>
      <c r="BA51" s="224">
        <f t="shared" si="62"/>
        <v>0</v>
      </c>
      <c r="BB51" s="148">
        <v>0</v>
      </c>
      <c r="BC51" s="224">
        <f t="shared" si="63"/>
        <v>0</v>
      </c>
      <c r="BD51" s="148">
        <v>50</v>
      </c>
      <c r="BE51" s="224">
        <f t="shared" si="64"/>
        <v>450000</v>
      </c>
      <c r="BF51" s="148">
        <v>0</v>
      </c>
      <c r="BG51" s="224">
        <f t="shared" si="65"/>
        <v>0</v>
      </c>
      <c r="BH51" s="148"/>
      <c r="BI51" s="224">
        <f t="shared" si="66"/>
        <v>0</v>
      </c>
      <c r="BJ51" s="142">
        <f t="shared" si="35"/>
        <v>129</v>
      </c>
      <c r="BK51" s="224">
        <f t="shared" si="36"/>
        <v>1161000</v>
      </c>
      <c r="BL51" s="227" t="s">
        <v>230</v>
      </c>
      <c r="BM51" s="273"/>
      <c r="BN51" s="123"/>
      <c r="BO51" s="228"/>
      <c r="BP51" s="69">
        <f t="shared" si="67"/>
        <v>1161000</v>
      </c>
      <c r="BQ51" s="228"/>
      <c r="BR51" s="98">
        <f t="shared" si="39"/>
        <v>1161000</v>
      </c>
      <c r="BS51" s="228"/>
      <c r="BT51" s="228"/>
      <c r="BU51" s="98"/>
      <c r="BV51" s="99">
        <f t="shared" si="68"/>
        <v>1161000</v>
      </c>
    </row>
    <row r="52" spans="1:83" s="149" customFormat="1" ht="18" customHeight="1">
      <c r="A52" s="596"/>
      <c r="B52" s="93"/>
      <c r="C52" s="77" t="s">
        <v>696</v>
      </c>
      <c r="D52" s="93" t="s">
        <v>76</v>
      </c>
      <c r="E52" s="118">
        <v>9000</v>
      </c>
      <c r="F52" s="221">
        <f t="shared" si="40"/>
        <v>60</v>
      </c>
      <c r="G52" s="123">
        <f t="shared" si="41"/>
        <v>540000</v>
      </c>
      <c r="H52" s="123">
        <f t="shared" si="42"/>
        <v>54000</v>
      </c>
      <c r="I52" s="123">
        <f t="shared" si="43"/>
        <v>432000</v>
      </c>
      <c r="J52" s="123"/>
      <c r="K52" s="123"/>
      <c r="L52" s="123"/>
      <c r="M52" s="123"/>
      <c r="N52" s="123"/>
      <c r="O52" s="123"/>
      <c r="P52" s="123">
        <f t="shared" si="44"/>
        <v>54000</v>
      </c>
      <c r="Q52" s="123"/>
      <c r="R52" s="148"/>
      <c r="S52" s="148"/>
      <c r="T52" s="148">
        <f t="shared" si="69"/>
        <v>60</v>
      </c>
      <c r="U52" s="148"/>
      <c r="V52" s="223">
        <f t="shared" si="45"/>
        <v>0</v>
      </c>
      <c r="W52" s="223">
        <f t="shared" si="46"/>
        <v>0</v>
      </c>
      <c r="X52" s="223">
        <f t="shared" si="47"/>
        <v>540000</v>
      </c>
      <c r="Y52" s="223">
        <f t="shared" si="48"/>
        <v>0</v>
      </c>
      <c r="Z52" s="148">
        <v>10</v>
      </c>
      <c r="AA52" s="224">
        <f t="shared" si="49"/>
        <v>90000</v>
      </c>
      <c r="AB52" s="148"/>
      <c r="AC52" s="224">
        <f t="shared" si="50"/>
        <v>0</v>
      </c>
      <c r="AD52" s="148"/>
      <c r="AE52" s="224">
        <f t="shared" si="51"/>
        <v>0</v>
      </c>
      <c r="AF52" s="148"/>
      <c r="AG52" s="224">
        <f t="shared" si="52"/>
        <v>0</v>
      </c>
      <c r="AH52" s="148">
        <v>50</v>
      </c>
      <c r="AI52" s="224">
        <f t="shared" si="53"/>
        <v>450000</v>
      </c>
      <c r="AJ52" s="148"/>
      <c r="AK52" s="224">
        <f t="shared" si="54"/>
        <v>0</v>
      </c>
      <c r="AL52" s="148"/>
      <c r="AM52" s="224">
        <f t="shared" si="55"/>
        <v>0</v>
      </c>
      <c r="AN52" s="148"/>
      <c r="AO52" s="224">
        <f t="shared" si="56"/>
        <v>0</v>
      </c>
      <c r="AP52" s="148"/>
      <c r="AQ52" s="224">
        <f t="shared" si="57"/>
        <v>0</v>
      </c>
      <c r="AR52" s="148"/>
      <c r="AS52" s="224">
        <f t="shared" si="58"/>
        <v>0</v>
      </c>
      <c r="AT52" s="148"/>
      <c r="AU52" s="224">
        <f t="shared" si="59"/>
        <v>0</v>
      </c>
      <c r="AV52" s="148"/>
      <c r="AW52" s="224">
        <f t="shared" si="60"/>
        <v>0</v>
      </c>
      <c r="AX52" s="150"/>
      <c r="AY52" s="224">
        <f t="shared" si="61"/>
        <v>0</v>
      </c>
      <c r="AZ52" s="148">
        <v>0</v>
      </c>
      <c r="BA52" s="224">
        <f t="shared" si="62"/>
        <v>0</v>
      </c>
      <c r="BB52" s="148"/>
      <c r="BC52" s="224">
        <f t="shared" si="63"/>
        <v>0</v>
      </c>
      <c r="BD52" s="148"/>
      <c r="BE52" s="224">
        <f t="shared" si="64"/>
        <v>0</v>
      </c>
      <c r="BF52" s="148"/>
      <c r="BG52" s="224">
        <f t="shared" si="65"/>
        <v>0</v>
      </c>
      <c r="BH52" s="148"/>
      <c r="BI52" s="224">
        <f t="shared" si="66"/>
        <v>0</v>
      </c>
      <c r="BJ52" s="142">
        <f t="shared" si="35"/>
        <v>60</v>
      </c>
      <c r="BK52" s="224">
        <f t="shared" si="36"/>
        <v>540000</v>
      </c>
      <c r="BL52" s="227" t="s">
        <v>230</v>
      </c>
      <c r="BM52" s="273"/>
      <c r="BN52" s="123"/>
      <c r="BO52" s="228"/>
      <c r="BP52" s="69">
        <f t="shared" si="67"/>
        <v>540000</v>
      </c>
      <c r="BQ52" s="228"/>
      <c r="BR52" s="98">
        <f t="shared" si="39"/>
        <v>540000</v>
      </c>
      <c r="BS52" s="228"/>
      <c r="BT52" s="228"/>
      <c r="BU52" s="98"/>
      <c r="BV52" s="99">
        <f t="shared" si="68"/>
        <v>540000</v>
      </c>
    </row>
    <row r="53" spans="1:83" s="149" customFormat="1" ht="18" customHeight="1">
      <c r="A53" s="596"/>
      <c r="B53" s="93"/>
      <c r="C53" s="93" t="s">
        <v>345</v>
      </c>
      <c r="D53" s="93" t="s">
        <v>76</v>
      </c>
      <c r="E53" s="118">
        <v>88800</v>
      </c>
      <c r="F53" s="221">
        <f t="shared" si="40"/>
        <v>205</v>
      </c>
      <c r="G53" s="123">
        <f t="shared" si="41"/>
        <v>18204000</v>
      </c>
      <c r="H53" s="123">
        <f t="shared" si="42"/>
        <v>1820400</v>
      </c>
      <c r="I53" s="123">
        <f t="shared" si="43"/>
        <v>14563200</v>
      </c>
      <c r="J53" s="123"/>
      <c r="K53" s="123"/>
      <c r="L53" s="123"/>
      <c r="M53" s="123"/>
      <c r="N53" s="123"/>
      <c r="O53" s="123"/>
      <c r="P53" s="123">
        <f t="shared" si="44"/>
        <v>1820400</v>
      </c>
      <c r="Q53" s="123"/>
      <c r="R53" s="222">
        <f>F53*0.65</f>
        <v>133.25</v>
      </c>
      <c r="S53" s="222">
        <f>F53*0.35</f>
        <v>71.75</v>
      </c>
      <c r="T53" s="148">
        <f t="shared" si="69"/>
        <v>205</v>
      </c>
      <c r="U53" s="148">
        <v>0</v>
      </c>
      <c r="V53" s="223">
        <f t="shared" si="45"/>
        <v>11832600</v>
      </c>
      <c r="W53" s="223">
        <f t="shared" si="46"/>
        <v>6371400</v>
      </c>
      <c r="X53" s="223">
        <f t="shared" si="47"/>
        <v>18204000</v>
      </c>
      <c r="Y53" s="223">
        <f t="shared" si="48"/>
        <v>0</v>
      </c>
      <c r="Z53" s="148">
        <v>50</v>
      </c>
      <c r="AA53" s="224">
        <f t="shared" si="49"/>
        <v>4440000</v>
      </c>
      <c r="AB53" s="148">
        <v>10</v>
      </c>
      <c r="AC53" s="224">
        <f t="shared" si="50"/>
        <v>888000</v>
      </c>
      <c r="AD53" s="148">
        <v>10</v>
      </c>
      <c r="AE53" s="224">
        <f t="shared" si="51"/>
        <v>888000</v>
      </c>
      <c r="AF53" s="148">
        <v>15</v>
      </c>
      <c r="AG53" s="224">
        <f t="shared" si="52"/>
        <v>1332000</v>
      </c>
      <c r="AH53" s="148">
        <v>10</v>
      </c>
      <c r="AI53" s="224">
        <f t="shared" si="53"/>
        <v>888000</v>
      </c>
      <c r="AJ53" s="148">
        <v>2</v>
      </c>
      <c r="AK53" s="224">
        <f t="shared" si="54"/>
        <v>177600</v>
      </c>
      <c r="AL53" s="148">
        <v>10</v>
      </c>
      <c r="AM53" s="224">
        <f t="shared" si="55"/>
        <v>888000</v>
      </c>
      <c r="AN53" s="148">
        <v>20</v>
      </c>
      <c r="AO53" s="224">
        <f t="shared" si="56"/>
        <v>1776000</v>
      </c>
      <c r="AP53" s="148">
        <v>5</v>
      </c>
      <c r="AQ53" s="224">
        <f t="shared" si="57"/>
        <v>444000</v>
      </c>
      <c r="AR53" s="148">
        <v>15</v>
      </c>
      <c r="AS53" s="224">
        <f t="shared" si="58"/>
        <v>1332000</v>
      </c>
      <c r="AT53" s="148">
        <v>10</v>
      </c>
      <c r="AU53" s="224">
        <f t="shared" si="59"/>
        <v>888000</v>
      </c>
      <c r="AV53" s="148">
        <v>2</v>
      </c>
      <c r="AW53" s="224">
        <f t="shared" si="60"/>
        <v>177600</v>
      </c>
      <c r="AX53" s="150">
        <v>10</v>
      </c>
      <c r="AY53" s="224">
        <f t="shared" si="61"/>
        <v>888000</v>
      </c>
      <c r="AZ53" s="148">
        <v>10</v>
      </c>
      <c r="BA53" s="224">
        <f t="shared" si="62"/>
        <v>888000</v>
      </c>
      <c r="BB53" s="148">
        <v>20</v>
      </c>
      <c r="BC53" s="224">
        <f t="shared" si="63"/>
        <v>1776000</v>
      </c>
      <c r="BD53" s="148">
        <v>6</v>
      </c>
      <c r="BE53" s="224">
        <f t="shared" si="64"/>
        <v>532800</v>
      </c>
      <c r="BF53" s="148">
        <v>0</v>
      </c>
      <c r="BG53" s="224">
        <f t="shared" si="65"/>
        <v>0</v>
      </c>
      <c r="BH53" s="148"/>
      <c r="BI53" s="224">
        <f t="shared" si="66"/>
        <v>0</v>
      </c>
      <c r="BJ53" s="142">
        <f t="shared" si="35"/>
        <v>205</v>
      </c>
      <c r="BK53" s="224">
        <f t="shared" si="36"/>
        <v>18204000</v>
      </c>
      <c r="BL53" s="227" t="s">
        <v>230</v>
      </c>
      <c r="BM53" s="273"/>
      <c r="BN53" s="123"/>
      <c r="BO53" s="228"/>
      <c r="BP53" s="69">
        <f>G53</f>
        <v>18204000</v>
      </c>
      <c r="BQ53" s="228"/>
      <c r="BR53" s="98">
        <f>BN53+BO53+BP53+BQ53</f>
        <v>18204000</v>
      </c>
      <c r="BS53" s="228"/>
      <c r="BT53" s="228"/>
      <c r="BU53" s="98"/>
      <c r="BV53" s="99">
        <f>BR53+BS53+BT53+BU53</f>
        <v>18204000</v>
      </c>
    </row>
    <row r="54" spans="1:83" s="149" customFormat="1" ht="18" customHeight="1">
      <c r="A54" s="596"/>
      <c r="B54" s="93"/>
      <c r="C54" s="93" t="s">
        <v>690</v>
      </c>
      <c r="D54" s="93"/>
      <c r="E54" s="118">
        <v>60000</v>
      </c>
      <c r="F54" s="221">
        <f t="shared" si="40"/>
        <v>25</v>
      </c>
      <c r="G54" s="123">
        <f t="shared" si="41"/>
        <v>1500000</v>
      </c>
      <c r="H54" s="123">
        <f t="shared" si="42"/>
        <v>150000</v>
      </c>
      <c r="I54" s="123">
        <f t="shared" si="43"/>
        <v>1200000</v>
      </c>
      <c r="J54" s="123"/>
      <c r="K54" s="123"/>
      <c r="L54" s="123"/>
      <c r="M54" s="123"/>
      <c r="N54" s="123"/>
      <c r="O54" s="123"/>
      <c r="P54" s="123">
        <f t="shared" si="44"/>
        <v>150000</v>
      </c>
      <c r="Q54" s="123"/>
      <c r="R54" s="222"/>
      <c r="S54" s="222"/>
      <c r="T54" s="148"/>
      <c r="U54" s="148"/>
      <c r="V54" s="223"/>
      <c r="W54" s="223"/>
      <c r="X54" s="223"/>
      <c r="Y54" s="223"/>
      <c r="Z54" s="148"/>
      <c r="AA54" s="224">
        <f t="shared" si="49"/>
        <v>0</v>
      </c>
      <c r="AB54" s="148"/>
      <c r="AC54" s="224">
        <f t="shared" si="50"/>
        <v>0</v>
      </c>
      <c r="AD54" s="148"/>
      <c r="AE54" s="224">
        <f t="shared" si="51"/>
        <v>0</v>
      </c>
      <c r="AF54" s="148"/>
      <c r="AG54" s="224">
        <f t="shared" si="52"/>
        <v>0</v>
      </c>
      <c r="AH54" s="148"/>
      <c r="AI54" s="224">
        <f t="shared" si="53"/>
        <v>0</v>
      </c>
      <c r="AJ54" s="148"/>
      <c r="AK54" s="224">
        <f t="shared" si="54"/>
        <v>0</v>
      </c>
      <c r="AL54" s="148"/>
      <c r="AM54" s="224">
        <f t="shared" si="55"/>
        <v>0</v>
      </c>
      <c r="AN54" s="148"/>
      <c r="AO54" s="224">
        <f t="shared" si="56"/>
        <v>0</v>
      </c>
      <c r="AP54" s="148"/>
      <c r="AQ54" s="224">
        <f t="shared" si="57"/>
        <v>0</v>
      </c>
      <c r="AR54" s="148">
        <v>15</v>
      </c>
      <c r="AS54" s="224">
        <f t="shared" si="58"/>
        <v>900000</v>
      </c>
      <c r="AT54" s="148"/>
      <c r="AU54" s="224">
        <f t="shared" si="59"/>
        <v>0</v>
      </c>
      <c r="AV54" s="148"/>
      <c r="AW54" s="224">
        <f t="shared" si="60"/>
        <v>0</v>
      </c>
      <c r="AX54" s="150"/>
      <c r="AY54" s="224">
        <f t="shared" si="61"/>
        <v>0</v>
      </c>
      <c r="AZ54" s="148"/>
      <c r="BA54" s="224">
        <f t="shared" si="62"/>
        <v>0</v>
      </c>
      <c r="BB54" s="148">
        <v>10</v>
      </c>
      <c r="BC54" s="224">
        <f t="shared" si="63"/>
        <v>600000</v>
      </c>
      <c r="BD54" s="148"/>
      <c r="BE54" s="224">
        <f t="shared" si="64"/>
        <v>0</v>
      </c>
      <c r="BF54" s="148"/>
      <c r="BG54" s="224">
        <f t="shared" si="65"/>
        <v>0</v>
      </c>
      <c r="BH54" s="148"/>
      <c r="BI54" s="224">
        <f t="shared" si="66"/>
        <v>0</v>
      </c>
      <c r="BJ54" s="142">
        <f t="shared" si="35"/>
        <v>25</v>
      </c>
      <c r="BK54" s="224">
        <f t="shared" si="36"/>
        <v>1500000</v>
      </c>
      <c r="BL54" s="227" t="s">
        <v>230</v>
      </c>
      <c r="BM54" s="273"/>
      <c r="BN54" s="123"/>
      <c r="BO54" s="228"/>
      <c r="BP54" s="69">
        <f>G54</f>
        <v>1500000</v>
      </c>
      <c r="BQ54" s="228"/>
      <c r="BR54" s="98">
        <f>BN54+BO54+BP54+BQ54</f>
        <v>1500000</v>
      </c>
      <c r="BS54" s="228"/>
      <c r="BT54" s="228"/>
      <c r="BU54" s="98"/>
      <c r="BV54" s="99">
        <f>BR54+BS54+BT54+BU54</f>
        <v>1500000</v>
      </c>
    </row>
    <row r="55" spans="1:83" s="149" customFormat="1" ht="18" customHeight="1">
      <c r="A55" s="596"/>
      <c r="B55" s="93"/>
      <c r="C55" s="93" t="s">
        <v>373</v>
      </c>
      <c r="D55" s="93" t="s">
        <v>76</v>
      </c>
      <c r="E55" s="118">
        <v>48300</v>
      </c>
      <c r="F55" s="221">
        <f t="shared" si="40"/>
        <v>108</v>
      </c>
      <c r="G55" s="123">
        <f t="shared" si="41"/>
        <v>5216400</v>
      </c>
      <c r="H55" s="123">
        <f t="shared" si="42"/>
        <v>521640</v>
      </c>
      <c r="I55" s="123">
        <f t="shared" si="43"/>
        <v>4173120</v>
      </c>
      <c r="J55" s="123"/>
      <c r="K55" s="123"/>
      <c r="L55" s="123"/>
      <c r="M55" s="123"/>
      <c r="N55" s="123"/>
      <c r="O55" s="123"/>
      <c r="P55" s="123">
        <f t="shared" si="44"/>
        <v>521640</v>
      </c>
      <c r="Q55" s="123"/>
      <c r="R55" s="148"/>
      <c r="S55" s="148"/>
      <c r="T55" s="148">
        <f>F55</f>
        <v>108</v>
      </c>
      <c r="U55" s="148"/>
      <c r="V55" s="223">
        <f t="shared" ref="V55:V62" si="70">R55*E55</f>
        <v>0</v>
      </c>
      <c r="W55" s="223">
        <f t="shared" ref="W55:W62" si="71">S55*E55</f>
        <v>0</v>
      </c>
      <c r="X55" s="223">
        <f t="shared" ref="X55:X62" si="72">T55*E55</f>
        <v>5216400</v>
      </c>
      <c r="Y55" s="223">
        <f t="shared" ref="Y55:Y62" si="73">U55*E55</f>
        <v>0</v>
      </c>
      <c r="Z55" s="148">
        <v>20</v>
      </c>
      <c r="AA55" s="224">
        <f t="shared" si="49"/>
        <v>966000</v>
      </c>
      <c r="AB55" s="148">
        <v>1</v>
      </c>
      <c r="AC55" s="224">
        <f t="shared" si="50"/>
        <v>48300</v>
      </c>
      <c r="AD55" s="148">
        <v>32</v>
      </c>
      <c r="AE55" s="224">
        <f t="shared" si="51"/>
        <v>1545600</v>
      </c>
      <c r="AF55" s="148">
        <v>2</v>
      </c>
      <c r="AG55" s="224">
        <f t="shared" si="52"/>
        <v>96600</v>
      </c>
      <c r="AH55" s="148">
        <v>1</v>
      </c>
      <c r="AI55" s="224">
        <f t="shared" si="53"/>
        <v>48300</v>
      </c>
      <c r="AJ55" s="148">
        <v>5</v>
      </c>
      <c r="AK55" s="224">
        <f t="shared" si="54"/>
        <v>241500</v>
      </c>
      <c r="AL55" s="148">
        <v>2</v>
      </c>
      <c r="AM55" s="224">
        <f t="shared" si="55"/>
        <v>96600</v>
      </c>
      <c r="AN55" s="148">
        <v>0</v>
      </c>
      <c r="AO55" s="224">
        <f t="shared" si="56"/>
        <v>0</v>
      </c>
      <c r="AP55" s="148">
        <v>10</v>
      </c>
      <c r="AQ55" s="224">
        <f t="shared" si="57"/>
        <v>483000</v>
      </c>
      <c r="AR55" s="148">
        <v>10</v>
      </c>
      <c r="AS55" s="224">
        <f t="shared" si="58"/>
        <v>483000</v>
      </c>
      <c r="AT55" s="148">
        <v>5</v>
      </c>
      <c r="AU55" s="224">
        <f t="shared" si="59"/>
        <v>241500</v>
      </c>
      <c r="AV55" s="148">
        <v>2</v>
      </c>
      <c r="AW55" s="224">
        <f t="shared" si="60"/>
        <v>96600</v>
      </c>
      <c r="AX55" s="150">
        <v>5</v>
      </c>
      <c r="AY55" s="224">
        <f t="shared" si="61"/>
        <v>241500</v>
      </c>
      <c r="AZ55" s="148">
        <v>1</v>
      </c>
      <c r="BA55" s="224">
        <f t="shared" si="62"/>
        <v>48300</v>
      </c>
      <c r="BB55" s="148">
        <v>5</v>
      </c>
      <c r="BC55" s="224">
        <f t="shared" si="63"/>
        <v>241500</v>
      </c>
      <c r="BD55" s="148">
        <v>2</v>
      </c>
      <c r="BE55" s="224">
        <f t="shared" si="64"/>
        <v>96600</v>
      </c>
      <c r="BF55" s="148">
        <v>5</v>
      </c>
      <c r="BG55" s="224">
        <f t="shared" si="65"/>
        <v>241500</v>
      </c>
      <c r="BH55" s="148"/>
      <c r="BI55" s="224">
        <f t="shared" si="66"/>
        <v>0</v>
      </c>
      <c r="BJ55" s="142">
        <f t="shared" si="35"/>
        <v>108</v>
      </c>
      <c r="BK55" s="224">
        <f t="shared" si="36"/>
        <v>5216400</v>
      </c>
      <c r="BL55" s="227" t="s">
        <v>230</v>
      </c>
      <c r="BM55" s="273"/>
      <c r="BN55" s="123"/>
      <c r="BO55" s="228"/>
      <c r="BP55" s="69">
        <f t="shared" ref="BP55:BP62" si="74">G55</f>
        <v>5216400</v>
      </c>
      <c r="BQ55" s="228"/>
      <c r="BR55" s="98">
        <f t="shared" ref="BR55:BR62" si="75">BN55+BO55+BP55+BQ55</f>
        <v>5216400</v>
      </c>
      <c r="BS55" s="228"/>
      <c r="BT55" s="228"/>
      <c r="BU55" s="98"/>
      <c r="BV55" s="99">
        <f t="shared" ref="BV55:BV62" si="76">BR55+BS55+BT55+BU55</f>
        <v>5216400</v>
      </c>
    </row>
    <row r="56" spans="1:83" s="149" customFormat="1" ht="18" customHeight="1">
      <c r="A56" s="596"/>
      <c r="B56" s="93"/>
      <c r="C56" s="93" t="s">
        <v>347</v>
      </c>
      <c r="D56" s="93" t="s">
        <v>76</v>
      </c>
      <c r="E56" s="118">
        <v>27500</v>
      </c>
      <c r="F56" s="221">
        <f t="shared" si="40"/>
        <v>111</v>
      </c>
      <c r="G56" s="123">
        <f t="shared" si="41"/>
        <v>3052500</v>
      </c>
      <c r="H56" s="123">
        <f t="shared" si="42"/>
        <v>305250</v>
      </c>
      <c r="I56" s="123">
        <f t="shared" si="43"/>
        <v>2442000</v>
      </c>
      <c r="J56" s="123"/>
      <c r="K56" s="123"/>
      <c r="L56" s="123"/>
      <c r="M56" s="123"/>
      <c r="N56" s="123"/>
      <c r="O56" s="123"/>
      <c r="P56" s="123">
        <f t="shared" si="44"/>
        <v>305250</v>
      </c>
      <c r="Q56" s="123"/>
      <c r="R56" s="148"/>
      <c r="S56" s="148"/>
      <c r="T56" s="148">
        <f>F56</f>
        <v>111</v>
      </c>
      <c r="U56" s="148"/>
      <c r="V56" s="223">
        <f t="shared" si="70"/>
        <v>0</v>
      </c>
      <c r="W56" s="223">
        <f t="shared" si="71"/>
        <v>0</v>
      </c>
      <c r="X56" s="223">
        <f t="shared" si="72"/>
        <v>3052500</v>
      </c>
      <c r="Y56" s="223">
        <f t="shared" si="73"/>
        <v>0</v>
      </c>
      <c r="Z56" s="148">
        <v>0</v>
      </c>
      <c r="AA56" s="224">
        <f t="shared" si="49"/>
        <v>0</v>
      </c>
      <c r="AB56" s="148">
        <v>15</v>
      </c>
      <c r="AC56" s="224">
        <f t="shared" si="50"/>
        <v>412500</v>
      </c>
      <c r="AD56" s="148">
        <v>14</v>
      </c>
      <c r="AE56" s="224">
        <f t="shared" si="51"/>
        <v>385000</v>
      </c>
      <c r="AF56" s="148">
        <v>10</v>
      </c>
      <c r="AG56" s="224">
        <f t="shared" si="52"/>
        <v>275000</v>
      </c>
      <c r="AH56" s="148">
        <v>10</v>
      </c>
      <c r="AI56" s="224">
        <f t="shared" si="53"/>
        <v>275000</v>
      </c>
      <c r="AJ56" s="148">
        <v>0</v>
      </c>
      <c r="AK56" s="224">
        <f t="shared" si="54"/>
        <v>0</v>
      </c>
      <c r="AL56" s="148">
        <v>5</v>
      </c>
      <c r="AM56" s="224">
        <f t="shared" si="55"/>
        <v>137500</v>
      </c>
      <c r="AN56" s="148">
        <v>5</v>
      </c>
      <c r="AO56" s="224">
        <f t="shared" si="56"/>
        <v>137500</v>
      </c>
      <c r="AP56" s="148">
        <v>2</v>
      </c>
      <c r="AQ56" s="224">
        <f t="shared" si="57"/>
        <v>55000</v>
      </c>
      <c r="AR56" s="148">
        <v>30</v>
      </c>
      <c r="AS56" s="224">
        <f t="shared" si="58"/>
        <v>825000</v>
      </c>
      <c r="AT56" s="148">
        <v>8</v>
      </c>
      <c r="AU56" s="224">
        <f t="shared" si="59"/>
        <v>220000</v>
      </c>
      <c r="AV56" s="148">
        <v>5</v>
      </c>
      <c r="AW56" s="224">
        <f t="shared" si="60"/>
        <v>137500</v>
      </c>
      <c r="AX56" s="150">
        <v>0</v>
      </c>
      <c r="AY56" s="224">
        <f t="shared" si="61"/>
        <v>0</v>
      </c>
      <c r="AZ56" s="148">
        <v>5</v>
      </c>
      <c r="BA56" s="224">
        <f t="shared" si="62"/>
        <v>137500</v>
      </c>
      <c r="BB56" s="148">
        <v>2</v>
      </c>
      <c r="BC56" s="224">
        <f t="shared" si="63"/>
        <v>55000</v>
      </c>
      <c r="BD56" s="148">
        <v>0</v>
      </c>
      <c r="BE56" s="224">
        <f t="shared" si="64"/>
        <v>0</v>
      </c>
      <c r="BF56" s="148">
        <v>0</v>
      </c>
      <c r="BG56" s="224">
        <f t="shared" si="65"/>
        <v>0</v>
      </c>
      <c r="BH56" s="148"/>
      <c r="BI56" s="224">
        <f t="shared" si="66"/>
        <v>0</v>
      </c>
      <c r="BJ56" s="142">
        <f t="shared" si="35"/>
        <v>111</v>
      </c>
      <c r="BK56" s="224">
        <f t="shared" si="36"/>
        <v>3052500</v>
      </c>
      <c r="BL56" s="227" t="s">
        <v>230</v>
      </c>
      <c r="BM56" s="273"/>
      <c r="BN56" s="123"/>
      <c r="BO56" s="228"/>
      <c r="BP56" s="69">
        <f t="shared" si="74"/>
        <v>3052500</v>
      </c>
      <c r="BQ56" s="228"/>
      <c r="BR56" s="98">
        <f t="shared" si="75"/>
        <v>3052500</v>
      </c>
      <c r="BS56" s="228"/>
      <c r="BT56" s="228"/>
      <c r="BU56" s="98"/>
      <c r="BV56" s="99">
        <f t="shared" si="76"/>
        <v>3052500</v>
      </c>
    </row>
    <row r="57" spans="1:83" s="149" customFormat="1" ht="20.25" customHeight="1">
      <c r="A57" s="596"/>
      <c r="B57" s="93"/>
      <c r="C57" s="77" t="s">
        <v>350</v>
      </c>
      <c r="D57" s="93" t="s">
        <v>76</v>
      </c>
      <c r="E57" s="118">
        <v>80500</v>
      </c>
      <c r="F57" s="221">
        <f t="shared" si="40"/>
        <v>296</v>
      </c>
      <c r="G57" s="123">
        <f t="shared" si="41"/>
        <v>23828000</v>
      </c>
      <c r="H57" s="123">
        <f t="shared" si="42"/>
        <v>2382800</v>
      </c>
      <c r="I57" s="123">
        <f t="shared" si="43"/>
        <v>19062400</v>
      </c>
      <c r="J57" s="123"/>
      <c r="K57" s="123"/>
      <c r="L57" s="123"/>
      <c r="M57" s="123"/>
      <c r="N57" s="123"/>
      <c r="O57" s="123"/>
      <c r="P57" s="123">
        <f t="shared" si="44"/>
        <v>2382800</v>
      </c>
      <c r="Q57" s="123"/>
      <c r="R57" s="222">
        <f>F57*0.65</f>
        <v>192.4</v>
      </c>
      <c r="S57" s="222">
        <f>F57*0.35</f>
        <v>103.6</v>
      </c>
      <c r="T57" s="148"/>
      <c r="U57" s="148"/>
      <c r="V57" s="223">
        <f t="shared" si="70"/>
        <v>15488200</v>
      </c>
      <c r="W57" s="223">
        <f t="shared" si="71"/>
        <v>8339800</v>
      </c>
      <c r="X57" s="223">
        <f t="shared" si="72"/>
        <v>0</v>
      </c>
      <c r="Y57" s="223">
        <f t="shared" si="73"/>
        <v>0</v>
      </c>
      <c r="Z57" s="148">
        <v>100</v>
      </c>
      <c r="AA57" s="224">
        <f t="shared" si="49"/>
        <v>8050000</v>
      </c>
      <c r="AB57" s="148">
        <v>8</v>
      </c>
      <c r="AC57" s="224">
        <f t="shared" si="50"/>
        <v>644000</v>
      </c>
      <c r="AD57" s="148">
        <v>30</v>
      </c>
      <c r="AE57" s="224">
        <f t="shared" si="51"/>
        <v>2415000</v>
      </c>
      <c r="AF57" s="148">
        <v>25</v>
      </c>
      <c r="AG57" s="224">
        <f t="shared" si="52"/>
        <v>2012500</v>
      </c>
      <c r="AH57" s="148">
        <v>0</v>
      </c>
      <c r="AI57" s="224">
        <f t="shared" si="53"/>
        <v>0</v>
      </c>
      <c r="AJ57" s="148">
        <v>10</v>
      </c>
      <c r="AK57" s="224">
        <f t="shared" si="54"/>
        <v>805000</v>
      </c>
      <c r="AL57" s="148">
        <v>0</v>
      </c>
      <c r="AM57" s="224">
        <f t="shared" si="55"/>
        <v>0</v>
      </c>
      <c r="AN57" s="148">
        <v>0</v>
      </c>
      <c r="AO57" s="224">
        <f t="shared" si="56"/>
        <v>0</v>
      </c>
      <c r="AP57" s="148">
        <v>3</v>
      </c>
      <c r="AQ57" s="224">
        <f t="shared" si="57"/>
        <v>241500</v>
      </c>
      <c r="AR57" s="148">
        <v>50</v>
      </c>
      <c r="AS57" s="224">
        <f t="shared" si="58"/>
        <v>4025000</v>
      </c>
      <c r="AT57" s="148">
        <v>10</v>
      </c>
      <c r="AU57" s="224">
        <f t="shared" si="59"/>
        <v>805000</v>
      </c>
      <c r="AV57" s="148">
        <v>5</v>
      </c>
      <c r="AW57" s="224">
        <f t="shared" si="60"/>
        <v>402500</v>
      </c>
      <c r="AX57" s="150">
        <v>10</v>
      </c>
      <c r="AY57" s="224">
        <f t="shared" si="61"/>
        <v>805000</v>
      </c>
      <c r="AZ57" s="148">
        <v>15</v>
      </c>
      <c r="BA57" s="224">
        <f t="shared" si="62"/>
        <v>1207500</v>
      </c>
      <c r="BB57" s="148">
        <v>10</v>
      </c>
      <c r="BC57" s="224">
        <f t="shared" si="63"/>
        <v>805000</v>
      </c>
      <c r="BD57" s="148">
        <v>10</v>
      </c>
      <c r="BE57" s="224">
        <f t="shared" si="64"/>
        <v>805000</v>
      </c>
      <c r="BF57" s="148">
        <v>10</v>
      </c>
      <c r="BG57" s="224">
        <f t="shared" si="65"/>
        <v>805000</v>
      </c>
      <c r="BH57" s="148"/>
      <c r="BI57" s="224">
        <f t="shared" si="66"/>
        <v>0</v>
      </c>
      <c r="BJ57" s="142">
        <f t="shared" si="35"/>
        <v>296</v>
      </c>
      <c r="BK57" s="224">
        <f t="shared" si="36"/>
        <v>23828000</v>
      </c>
      <c r="BL57" s="227" t="s">
        <v>230</v>
      </c>
      <c r="BM57" s="273"/>
      <c r="BN57" s="123"/>
      <c r="BO57" s="228"/>
      <c r="BP57" s="69">
        <f t="shared" si="74"/>
        <v>23828000</v>
      </c>
      <c r="BQ57" s="228"/>
      <c r="BR57" s="98">
        <f t="shared" si="75"/>
        <v>23828000</v>
      </c>
      <c r="BS57" s="228"/>
      <c r="BT57" s="228"/>
      <c r="BU57" s="98"/>
      <c r="BV57" s="99">
        <f t="shared" si="76"/>
        <v>23828000</v>
      </c>
    </row>
    <row r="58" spans="1:83" s="149" customFormat="1" ht="20.25" customHeight="1">
      <c r="A58" s="596"/>
      <c r="B58" s="93"/>
      <c r="C58" s="77" t="s">
        <v>349</v>
      </c>
      <c r="D58" s="93" t="s">
        <v>76</v>
      </c>
      <c r="E58" s="118">
        <v>30000</v>
      </c>
      <c r="F58" s="221">
        <f t="shared" si="40"/>
        <v>348</v>
      </c>
      <c r="G58" s="123">
        <f t="shared" si="41"/>
        <v>10440000</v>
      </c>
      <c r="H58" s="123">
        <f t="shared" si="42"/>
        <v>1044000</v>
      </c>
      <c r="I58" s="123">
        <f t="shared" si="43"/>
        <v>8352000</v>
      </c>
      <c r="J58" s="123"/>
      <c r="K58" s="123"/>
      <c r="L58" s="123"/>
      <c r="M58" s="123"/>
      <c r="N58" s="123"/>
      <c r="O58" s="123"/>
      <c r="P58" s="123">
        <f t="shared" si="44"/>
        <v>1044000</v>
      </c>
      <c r="Q58" s="123"/>
      <c r="R58" s="222">
        <f>F58*0.65</f>
        <v>226.20000000000002</v>
      </c>
      <c r="S58" s="222">
        <f>F58*0.35</f>
        <v>121.8</v>
      </c>
      <c r="T58" s="148"/>
      <c r="U58" s="148"/>
      <c r="V58" s="223">
        <f t="shared" si="70"/>
        <v>6786000.0000000009</v>
      </c>
      <c r="W58" s="223">
        <f t="shared" si="71"/>
        <v>3654000</v>
      </c>
      <c r="X58" s="223">
        <f t="shared" si="72"/>
        <v>0</v>
      </c>
      <c r="Y58" s="223">
        <f t="shared" si="73"/>
        <v>0</v>
      </c>
      <c r="Z58" s="148">
        <v>100</v>
      </c>
      <c r="AA58" s="224">
        <f t="shared" si="49"/>
        <v>3000000</v>
      </c>
      <c r="AB58" s="148">
        <v>5</v>
      </c>
      <c r="AC58" s="224">
        <f t="shared" si="50"/>
        <v>150000</v>
      </c>
      <c r="AD58" s="148">
        <v>60</v>
      </c>
      <c r="AE58" s="224">
        <f t="shared" si="51"/>
        <v>1800000</v>
      </c>
      <c r="AF58" s="148">
        <v>50</v>
      </c>
      <c r="AG58" s="224">
        <f t="shared" si="52"/>
        <v>1500000</v>
      </c>
      <c r="AH58" s="148">
        <v>20</v>
      </c>
      <c r="AI58" s="224">
        <f t="shared" si="53"/>
        <v>600000</v>
      </c>
      <c r="AJ58" s="148">
        <v>0</v>
      </c>
      <c r="AK58" s="224">
        <f t="shared" si="54"/>
        <v>0</v>
      </c>
      <c r="AL58" s="148">
        <v>10</v>
      </c>
      <c r="AM58" s="224">
        <f t="shared" si="55"/>
        <v>300000</v>
      </c>
      <c r="AN58" s="148">
        <v>0</v>
      </c>
      <c r="AO58" s="224">
        <f t="shared" si="56"/>
        <v>0</v>
      </c>
      <c r="AP58" s="148">
        <v>3</v>
      </c>
      <c r="AQ58" s="224">
        <f t="shared" si="57"/>
        <v>90000</v>
      </c>
      <c r="AR58" s="148">
        <v>50</v>
      </c>
      <c r="AS58" s="224">
        <f t="shared" si="58"/>
        <v>1500000</v>
      </c>
      <c r="AT58" s="148">
        <v>20</v>
      </c>
      <c r="AU58" s="224">
        <f t="shared" si="59"/>
        <v>600000</v>
      </c>
      <c r="AV58" s="148">
        <v>5</v>
      </c>
      <c r="AW58" s="224">
        <f t="shared" si="60"/>
        <v>150000</v>
      </c>
      <c r="AX58" s="150">
        <v>0</v>
      </c>
      <c r="AY58" s="224">
        <f t="shared" si="61"/>
        <v>0</v>
      </c>
      <c r="AZ58" s="148">
        <v>10</v>
      </c>
      <c r="BA58" s="224">
        <f t="shared" si="62"/>
        <v>300000</v>
      </c>
      <c r="BB58" s="148">
        <v>10</v>
      </c>
      <c r="BC58" s="224">
        <f t="shared" si="63"/>
        <v>300000</v>
      </c>
      <c r="BD58" s="148">
        <v>0</v>
      </c>
      <c r="BE58" s="224">
        <f t="shared" si="64"/>
        <v>0</v>
      </c>
      <c r="BF58" s="148">
        <v>5</v>
      </c>
      <c r="BG58" s="224">
        <f t="shared" si="65"/>
        <v>150000</v>
      </c>
      <c r="BH58" s="148"/>
      <c r="BI58" s="224">
        <f t="shared" si="66"/>
        <v>0</v>
      </c>
      <c r="BJ58" s="142">
        <f t="shared" si="35"/>
        <v>348</v>
      </c>
      <c r="BK58" s="224">
        <f t="shared" si="36"/>
        <v>10440000</v>
      </c>
      <c r="BL58" s="227" t="s">
        <v>230</v>
      </c>
      <c r="BM58" s="273"/>
      <c r="BN58" s="123"/>
      <c r="BO58" s="228"/>
      <c r="BP58" s="69">
        <f t="shared" si="74"/>
        <v>10440000</v>
      </c>
      <c r="BQ58" s="228"/>
      <c r="BR58" s="98">
        <f t="shared" si="75"/>
        <v>10440000</v>
      </c>
      <c r="BS58" s="228"/>
      <c r="BT58" s="228"/>
      <c r="BU58" s="98"/>
      <c r="BV58" s="99">
        <f t="shared" si="76"/>
        <v>10440000</v>
      </c>
    </row>
    <row r="59" spans="1:83" s="149" customFormat="1" ht="20.25" customHeight="1">
      <c r="A59" s="596"/>
      <c r="B59" s="93"/>
      <c r="C59" s="77" t="s">
        <v>388</v>
      </c>
      <c r="D59" s="93" t="s">
        <v>76</v>
      </c>
      <c r="E59" s="118">
        <v>50000</v>
      </c>
      <c r="F59" s="221">
        <f t="shared" si="40"/>
        <v>65</v>
      </c>
      <c r="G59" s="123">
        <f t="shared" si="41"/>
        <v>3250000</v>
      </c>
      <c r="H59" s="123">
        <f t="shared" si="42"/>
        <v>325000</v>
      </c>
      <c r="I59" s="123">
        <f t="shared" si="43"/>
        <v>2600000</v>
      </c>
      <c r="J59" s="123"/>
      <c r="K59" s="123"/>
      <c r="L59" s="123"/>
      <c r="M59" s="123"/>
      <c r="N59" s="123"/>
      <c r="O59" s="123"/>
      <c r="P59" s="123">
        <f t="shared" si="44"/>
        <v>325000</v>
      </c>
      <c r="Q59" s="123"/>
      <c r="R59" s="148"/>
      <c r="S59" s="148"/>
      <c r="T59" s="148"/>
      <c r="U59" s="148"/>
      <c r="V59" s="223">
        <f t="shared" si="70"/>
        <v>0</v>
      </c>
      <c r="W59" s="223">
        <f t="shared" si="71"/>
        <v>0</v>
      </c>
      <c r="X59" s="223">
        <f t="shared" si="72"/>
        <v>0</v>
      </c>
      <c r="Y59" s="223">
        <f t="shared" si="73"/>
        <v>0</v>
      </c>
      <c r="Z59" s="148">
        <v>0</v>
      </c>
      <c r="AA59" s="224">
        <f t="shared" si="49"/>
        <v>0</v>
      </c>
      <c r="AB59" s="148">
        <v>0</v>
      </c>
      <c r="AC59" s="224">
        <f t="shared" si="50"/>
        <v>0</v>
      </c>
      <c r="AD59" s="148">
        <v>26</v>
      </c>
      <c r="AE59" s="224">
        <f t="shared" si="51"/>
        <v>1300000</v>
      </c>
      <c r="AF59" s="148">
        <v>2</v>
      </c>
      <c r="AG59" s="224">
        <f t="shared" si="52"/>
        <v>100000</v>
      </c>
      <c r="AH59" s="148"/>
      <c r="AI59" s="224">
        <f t="shared" si="53"/>
        <v>0</v>
      </c>
      <c r="AJ59" s="148">
        <v>0</v>
      </c>
      <c r="AK59" s="224">
        <f t="shared" si="54"/>
        <v>0</v>
      </c>
      <c r="AL59" s="148">
        <v>10</v>
      </c>
      <c r="AM59" s="224">
        <f t="shared" si="55"/>
        <v>500000</v>
      </c>
      <c r="AN59" s="148"/>
      <c r="AO59" s="224">
        <f t="shared" si="56"/>
        <v>0</v>
      </c>
      <c r="AP59" s="148">
        <v>5</v>
      </c>
      <c r="AQ59" s="224">
        <f t="shared" si="57"/>
        <v>250000</v>
      </c>
      <c r="AR59" s="148">
        <v>5</v>
      </c>
      <c r="AS59" s="224">
        <f t="shared" si="58"/>
        <v>250000</v>
      </c>
      <c r="AT59" s="148">
        <v>0</v>
      </c>
      <c r="AU59" s="224">
        <f t="shared" si="59"/>
        <v>0</v>
      </c>
      <c r="AV59" s="148"/>
      <c r="AW59" s="224">
        <f t="shared" si="60"/>
        <v>0</v>
      </c>
      <c r="AX59" s="150">
        <v>0</v>
      </c>
      <c r="AY59" s="224">
        <f t="shared" si="61"/>
        <v>0</v>
      </c>
      <c r="AZ59" s="148">
        <v>2</v>
      </c>
      <c r="BA59" s="224">
        <f t="shared" si="62"/>
        <v>100000</v>
      </c>
      <c r="BB59" s="148">
        <v>10</v>
      </c>
      <c r="BC59" s="224">
        <f t="shared" si="63"/>
        <v>500000</v>
      </c>
      <c r="BD59" s="148">
        <v>5</v>
      </c>
      <c r="BE59" s="224">
        <f t="shared" si="64"/>
        <v>250000</v>
      </c>
      <c r="BF59" s="148">
        <v>0</v>
      </c>
      <c r="BG59" s="224">
        <f t="shared" si="65"/>
        <v>0</v>
      </c>
      <c r="BH59" s="148"/>
      <c r="BI59" s="224">
        <f t="shared" si="66"/>
        <v>0</v>
      </c>
      <c r="BJ59" s="142">
        <f t="shared" si="35"/>
        <v>65</v>
      </c>
      <c r="BK59" s="224">
        <f t="shared" si="36"/>
        <v>3250000</v>
      </c>
      <c r="BL59" s="227" t="s">
        <v>230</v>
      </c>
      <c r="BM59" s="273"/>
      <c r="BN59" s="123"/>
      <c r="BO59" s="228"/>
      <c r="BP59" s="69">
        <f t="shared" si="74"/>
        <v>3250000</v>
      </c>
      <c r="BQ59" s="228"/>
      <c r="BR59" s="98">
        <f t="shared" si="75"/>
        <v>3250000</v>
      </c>
      <c r="BS59" s="228"/>
      <c r="BT59" s="228"/>
      <c r="BU59" s="98"/>
      <c r="BV59" s="99">
        <f t="shared" si="76"/>
        <v>3250000</v>
      </c>
    </row>
    <row r="60" spans="1:83" s="149" customFormat="1" ht="20.25" customHeight="1">
      <c r="A60" s="596"/>
      <c r="B60" s="93"/>
      <c r="C60" s="77" t="s">
        <v>390</v>
      </c>
      <c r="D60" s="30" t="s">
        <v>76</v>
      </c>
      <c r="E60" s="118">
        <v>10000</v>
      </c>
      <c r="F60" s="111">
        <f t="shared" si="40"/>
        <v>87</v>
      </c>
      <c r="G60" s="117">
        <f t="shared" si="41"/>
        <v>870000</v>
      </c>
      <c r="H60" s="117">
        <f t="shared" si="42"/>
        <v>87000</v>
      </c>
      <c r="I60" s="117">
        <f t="shared" si="43"/>
        <v>696000</v>
      </c>
      <c r="J60" s="117"/>
      <c r="K60" s="117"/>
      <c r="L60" s="117"/>
      <c r="M60" s="117"/>
      <c r="N60" s="117"/>
      <c r="O60" s="117"/>
      <c r="P60" s="117">
        <f t="shared" si="44"/>
        <v>87000</v>
      </c>
      <c r="Q60" s="117"/>
      <c r="R60" s="148"/>
      <c r="S60" s="148"/>
      <c r="T60" s="148"/>
      <c r="U60" s="148"/>
      <c r="V60" s="110">
        <f t="shared" si="70"/>
        <v>0</v>
      </c>
      <c r="W60" s="110">
        <f t="shared" si="71"/>
        <v>0</v>
      </c>
      <c r="X60" s="110">
        <f t="shared" si="72"/>
        <v>0</v>
      </c>
      <c r="Y60" s="110">
        <f t="shared" si="73"/>
        <v>0</v>
      </c>
      <c r="Z60" s="148">
        <v>0</v>
      </c>
      <c r="AA60" s="224">
        <f t="shared" si="49"/>
        <v>0</v>
      </c>
      <c r="AB60" s="148">
        <v>0</v>
      </c>
      <c r="AC60" s="224">
        <f t="shared" si="50"/>
        <v>0</v>
      </c>
      <c r="AD60" s="148">
        <v>12</v>
      </c>
      <c r="AE60" s="224">
        <f t="shared" si="51"/>
        <v>120000</v>
      </c>
      <c r="AF60" s="148"/>
      <c r="AG60" s="224">
        <f t="shared" si="52"/>
        <v>0</v>
      </c>
      <c r="AH60" s="148">
        <v>0</v>
      </c>
      <c r="AI60" s="224">
        <f t="shared" si="53"/>
        <v>0</v>
      </c>
      <c r="AJ60" s="148">
        <v>0</v>
      </c>
      <c r="AK60" s="224">
        <f t="shared" si="54"/>
        <v>0</v>
      </c>
      <c r="AL60" s="148">
        <v>0</v>
      </c>
      <c r="AM60" s="224">
        <f t="shared" si="55"/>
        <v>0</v>
      </c>
      <c r="AN60" s="148">
        <v>25</v>
      </c>
      <c r="AO60" s="224">
        <f t="shared" si="56"/>
        <v>250000</v>
      </c>
      <c r="AP60" s="148"/>
      <c r="AQ60" s="224">
        <f t="shared" si="57"/>
        <v>0</v>
      </c>
      <c r="AR60" s="148">
        <v>0</v>
      </c>
      <c r="AS60" s="224">
        <f t="shared" si="58"/>
        <v>0</v>
      </c>
      <c r="AT60" s="148"/>
      <c r="AU60" s="224">
        <f t="shared" si="59"/>
        <v>0</v>
      </c>
      <c r="AV60" s="148"/>
      <c r="AW60" s="224">
        <f t="shared" si="60"/>
        <v>0</v>
      </c>
      <c r="AX60" s="49">
        <v>20</v>
      </c>
      <c r="AY60" s="224">
        <f t="shared" si="61"/>
        <v>200000</v>
      </c>
      <c r="AZ60" s="143"/>
      <c r="BA60" s="224">
        <f t="shared" si="62"/>
        <v>0</v>
      </c>
      <c r="BB60" s="143">
        <v>30</v>
      </c>
      <c r="BC60" s="224">
        <f t="shared" si="63"/>
        <v>300000</v>
      </c>
      <c r="BD60" s="143">
        <v>0</v>
      </c>
      <c r="BE60" s="224">
        <f t="shared" si="64"/>
        <v>0</v>
      </c>
      <c r="BF60" s="143">
        <v>0</v>
      </c>
      <c r="BG60" s="224">
        <f t="shared" si="65"/>
        <v>0</v>
      </c>
      <c r="BH60" s="148"/>
      <c r="BI60" s="224">
        <f t="shared" si="66"/>
        <v>0</v>
      </c>
      <c r="BJ60" s="142">
        <f t="shared" si="35"/>
        <v>87</v>
      </c>
      <c r="BK60" s="224">
        <f t="shared" si="36"/>
        <v>870000</v>
      </c>
      <c r="BL60" s="227" t="s">
        <v>230</v>
      </c>
      <c r="BM60" s="273"/>
      <c r="BN60" s="117"/>
      <c r="BO60" s="146"/>
      <c r="BP60" s="69">
        <f t="shared" si="74"/>
        <v>870000</v>
      </c>
      <c r="BQ60" s="146"/>
      <c r="BR60" s="98">
        <f t="shared" si="75"/>
        <v>870000</v>
      </c>
      <c r="BS60" s="146"/>
      <c r="BT60" s="146"/>
      <c r="BU60" s="70"/>
      <c r="BV60" s="99">
        <f t="shared" si="76"/>
        <v>870000</v>
      </c>
      <c r="BX60" s="145"/>
      <c r="BY60" s="145"/>
      <c r="BZ60" s="145"/>
      <c r="CA60" s="145"/>
      <c r="CB60" s="145"/>
      <c r="CC60" s="145"/>
      <c r="CD60" s="145"/>
      <c r="CE60" s="145"/>
    </row>
    <row r="61" spans="1:83" s="149" customFormat="1" ht="20.25" customHeight="1">
      <c r="A61" s="596"/>
      <c r="B61" s="93"/>
      <c r="C61" s="77" t="s">
        <v>392</v>
      </c>
      <c r="D61" s="30" t="s">
        <v>76</v>
      </c>
      <c r="E61" s="118">
        <v>30000</v>
      </c>
      <c r="F61" s="111">
        <f t="shared" si="40"/>
        <v>70</v>
      </c>
      <c r="G61" s="117">
        <f t="shared" si="41"/>
        <v>2100000</v>
      </c>
      <c r="H61" s="117">
        <f t="shared" si="42"/>
        <v>210000</v>
      </c>
      <c r="I61" s="117">
        <f t="shared" si="43"/>
        <v>1680000</v>
      </c>
      <c r="J61" s="117"/>
      <c r="K61" s="117"/>
      <c r="L61" s="117"/>
      <c r="M61" s="117"/>
      <c r="N61" s="117"/>
      <c r="O61" s="117"/>
      <c r="P61" s="117">
        <f t="shared" si="44"/>
        <v>210000</v>
      </c>
      <c r="Q61" s="117"/>
      <c r="R61" s="148"/>
      <c r="S61" s="148"/>
      <c r="T61" s="148"/>
      <c r="U61" s="148"/>
      <c r="V61" s="110">
        <f t="shared" si="70"/>
        <v>0</v>
      </c>
      <c r="W61" s="110">
        <f t="shared" si="71"/>
        <v>0</v>
      </c>
      <c r="X61" s="110">
        <f t="shared" si="72"/>
        <v>0</v>
      </c>
      <c r="Y61" s="110">
        <f t="shared" si="73"/>
        <v>0</v>
      </c>
      <c r="Z61" s="148">
        <v>0</v>
      </c>
      <c r="AA61" s="224">
        <f t="shared" si="49"/>
        <v>0</v>
      </c>
      <c r="AB61" s="148">
        <v>0</v>
      </c>
      <c r="AC61" s="224">
        <f t="shared" si="50"/>
        <v>0</v>
      </c>
      <c r="AD61" s="148"/>
      <c r="AE61" s="224">
        <f t="shared" si="51"/>
        <v>0</v>
      </c>
      <c r="AF61" s="148">
        <v>20</v>
      </c>
      <c r="AG61" s="224">
        <f t="shared" si="52"/>
        <v>600000</v>
      </c>
      <c r="AH61" s="148">
        <v>30</v>
      </c>
      <c r="AI61" s="224">
        <f t="shared" si="53"/>
        <v>900000</v>
      </c>
      <c r="AJ61" s="148"/>
      <c r="AK61" s="224">
        <f t="shared" si="54"/>
        <v>0</v>
      </c>
      <c r="AL61" s="148">
        <v>20</v>
      </c>
      <c r="AM61" s="224">
        <f t="shared" si="55"/>
        <v>600000</v>
      </c>
      <c r="AN61" s="148"/>
      <c r="AO61" s="224">
        <f t="shared" si="56"/>
        <v>0</v>
      </c>
      <c r="AP61" s="148"/>
      <c r="AQ61" s="224">
        <f t="shared" si="57"/>
        <v>0</v>
      </c>
      <c r="AR61" s="148"/>
      <c r="AS61" s="224">
        <f t="shared" si="58"/>
        <v>0</v>
      </c>
      <c r="AT61" s="148"/>
      <c r="AU61" s="224">
        <f t="shared" si="59"/>
        <v>0</v>
      </c>
      <c r="AV61" s="148"/>
      <c r="AW61" s="224">
        <f t="shared" si="60"/>
        <v>0</v>
      </c>
      <c r="AX61" s="49">
        <v>0</v>
      </c>
      <c r="AY61" s="224">
        <f t="shared" si="61"/>
        <v>0</v>
      </c>
      <c r="AZ61" s="143"/>
      <c r="BA61" s="224">
        <f t="shared" si="62"/>
        <v>0</v>
      </c>
      <c r="BB61" s="143"/>
      <c r="BC61" s="224">
        <f t="shared" si="63"/>
        <v>0</v>
      </c>
      <c r="BD61" s="143"/>
      <c r="BE61" s="224">
        <f t="shared" si="64"/>
        <v>0</v>
      </c>
      <c r="BF61" s="143"/>
      <c r="BG61" s="224">
        <f t="shared" si="65"/>
        <v>0</v>
      </c>
      <c r="BH61" s="148"/>
      <c r="BI61" s="224">
        <f t="shared" si="66"/>
        <v>0</v>
      </c>
      <c r="BJ61" s="142">
        <f t="shared" si="35"/>
        <v>70</v>
      </c>
      <c r="BK61" s="224">
        <f t="shared" si="36"/>
        <v>2100000</v>
      </c>
      <c r="BL61" s="227" t="s">
        <v>230</v>
      </c>
      <c r="BM61" s="273"/>
      <c r="BN61" s="117"/>
      <c r="BO61" s="146"/>
      <c r="BP61" s="69">
        <f t="shared" si="74"/>
        <v>2100000</v>
      </c>
      <c r="BQ61" s="146"/>
      <c r="BR61" s="98">
        <f t="shared" si="75"/>
        <v>2100000</v>
      </c>
      <c r="BS61" s="146"/>
      <c r="BT61" s="146"/>
      <c r="BU61" s="70"/>
      <c r="BV61" s="99">
        <f t="shared" si="76"/>
        <v>2100000</v>
      </c>
      <c r="BX61" s="145"/>
      <c r="BY61" s="145"/>
      <c r="BZ61" s="145"/>
      <c r="CA61" s="145"/>
      <c r="CB61" s="145"/>
      <c r="CC61" s="145"/>
      <c r="CD61" s="145"/>
      <c r="CE61" s="145"/>
    </row>
    <row r="62" spans="1:83" s="149" customFormat="1" ht="20.25" customHeight="1">
      <c r="A62" s="596"/>
      <c r="B62" s="93"/>
      <c r="C62" s="77" t="s">
        <v>387</v>
      </c>
      <c r="D62" s="30" t="s">
        <v>76</v>
      </c>
      <c r="E62" s="118">
        <v>30000</v>
      </c>
      <c r="F62" s="111">
        <f t="shared" si="40"/>
        <v>103</v>
      </c>
      <c r="G62" s="117">
        <f t="shared" si="41"/>
        <v>3090000</v>
      </c>
      <c r="H62" s="117">
        <f t="shared" si="42"/>
        <v>309000</v>
      </c>
      <c r="I62" s="117">
        <f t="shared" si="43"/>
        <v>2472000</v>
      </c>
      <c r="J62" s="117"/>
      <c r="K62" s="117"/>
      <c r="L62" s="117"/>
      <c r="M62" s="117"/>
      <c r="N62" s="117"/>
      <c r="O62" s="117"/>
      <c r="P62" s="117">
        <f t="shared" si="44"/>
        <v>309000</v>
      </c>
      <c r="Q62" s="117"/>
      <c r="R62" s="148"/>
      <c r="S62" s="148"/>
      <c r="T62" s="148"/>
      <c r="U62" s="148"/>
      <c r="V62" s="110">
        <f t="shared" si="70"/>
        <v>0</v>
      </c>
      <c r="W62" s="110">
        <f t="shared" si="71"/>
        <v>0</v>
      </c>
      <c r="X62" s="110">
        <f t="shared" si="72"/>
        <v>0</v>
      </c>
      <c r="Y62" s="110">
        <f t="shared" si="73"/>
        <v>0</v>
      </c>
      <c r="Z62" s="148">
        <v>20</v>
      </c>
      <c r="AA62" s="224">
        <f t="shared" si="49"/>
        <v>600000</v>
      </c>
      <c r="AB62" s="148"/>
      <c r="AC62" s="224">
        <f t="shared" si="50"/>
        <v>0</v>
      </c>
      <c r="AD62" s="148">
        <v>10</v>
      </c>
      <c r="AE62" s="224">
        <f t="shared" si="51"/>
        <v>300000</v>
      </c>
      <c r="AF62" s="148">
        <v>20</v>
      </c>
      <c r="AG62" s="224">
        <f t="shared" si="52"/>
        <v>600000</v>
      </c>
      <c r="AH62" s="148">
        <v>10</v>
      </c>
      <c r="AI62" s="224">
        <f t="shared" si="53"/>
        <v>300000</v>
      </c>
      <c r="AJ62" s="148"/>
      <c r="AK62" s="224">
        <f t="shared" si="54"/>
        <v>0</v>
      </c>
      <c r="AL62" s="148">
        <v>10</v>
      </c>
      <c r="AM62" s="224">
        <f t="shared" si="55"/>
        <v>300000</v>
      </c>
      <c r="AN62" s="148">
        <v>5</v>
      </c>
      <c r="AO62" s="224">
        <f t="shared" si="56"/>
        <v>150000</v>
      </c>
      <c r="AP62" s="148">
        <v>5</v>
      </c>
      <c r="AQ62" s="224">
        <f t="shared" si="57"/>
        <v>150000</v>
      </c>
      <c r="AR62" s="148">
        <v>5</v>
      </c>
      <c r="AS62" s="224">
        <f t="shared" si="58"/>
        <v>150000</v>
      </c>
      <c r="AT62" s="148">
        <v>2</v>
      </c>
      <c r="AU62" s="224">
        <f t="shared" si="59"/>
        <v>60000</v>
      </c>
      <c r="AV62" s="148"/>
      <c r="AW62" s="224">
        <f t="shared" si="60"/>
        <v>0</v>
      </c>
      <c r="AX62" s="49">
        <v>0</v>
      </c>
      <c r="AY62" s="224">
        <f t="shared" si="61"/>
        <v>0</v>
      </c>
      <c r="AZ62" s="143"/>
      <c r="BA62" s="224">
        <f t="shared" si="62"/>
        <v>0</v>
      </c>
      <c r="BB62" s="143">
        <v>5</v>
      </c>
      <c r="BC62" s="224">
        <f t="shared" si="63"/>
        <v>150000</v>
      </c>
      <c r="BD62" s="143">
        <v>10</v>
      </c>
      <c r="BE62" s="224">
        <f t="shared" si="64"/>
        <v>300000</v>
      </c>
      <c r="BF62" s="143">
        <v>1</v>
      </c>
      <c r="BG62" s="224">
        <f t="shared" si="65"/>
        <v>30000</v>
      </c>
      <c r="BH62" s="148"/>
      <c r="BI62" s="224">
        <f t="shared" si="66"/>
        <v>0</v>
      </c>
      <c r="BJ62" s="142">
        <f t="shared" si="35"/>
        <v>103</v>
      </c>
      <c r="BK62" s="224">
        <f t="shared" si="36"/>
        <v>3090000</v>
      </c>
      <c r="BL62" s="227" t="s">
        <v>230</v>
      </c>
      <c r="BM62" s="273"/>
      <c r="BN62" s="117"/>
      <c r="BO62" s="146"/>
      <c r="BP62" s="69">
        <f t="shared" si="74"/>
        <v>3090000</v>
      </c>
      <c r="BQ62" s="146"/>
      <c r="BR62" s="98">
        <f t="shared" si="75"/>
        <v>3090000</v>
      </c>
      <c r="BS62" s="146"/>
      <c r="BT62" s="146"/>
      <c r="BU62" s="70"/>
      <c r="BV62" s="99">
        <f t="shared" si="76"/>
        <v>3090000</v>
      </c>
      <c r="BX62" s="145"/>
      <c r="BY62" s="145"/>
      <c r="BZ62" s="145"/>
      <c r="CA62" s="145"/>
      <c r="CB62" s="145"/>
      <c r="CC62" s="145"/>
      <c r="CD62" s="145"/>
      <c r="CE62" s="145"/>
    </row>
    <row r="63" spans="1:83" s="149" customFormat="1" ht="20.25" customHeight="1">
      <c r="A63" s="634"/>
      <c r="B63" s="125"/>
      <c r="C63" s="441" t="s">
        <v>3</v>
      </c>
      <c r="D63" s="442"/>
      <c r="E63" s="443"/>
      <c r="F63" s="445">
        <f t="shared" ref="F63:AK63" si="77">SUM(F41:F62)</f>
        <v>4688.3999999999996</v>
      </c>
      <c r="G63" s="445">
        <f t="shared" si="77"/>
        <v>127258700</v>
      </c>
      <c r="H63" s="445">
        <f t="shared" si="77"/>
        <v>12725870</v>
      </c>
      <c r="I63" s="445">
        <f t="shared" si="77"/>
        <v>101806960</v>
      </c>
      <c r="J63" s="445">
        <f t="shared" si="77"/>
        <v>0</v>
      </c>
      <c r="K63" s="445">
        <f t="shared" si="77"/>
        <v>0</v>
      </c>
      <c r="L63" s="445">
        <f t="shared" si="77"/>
        <v>0</v>
      </c>
      <c r="M63" s="445">
        <f t="shared" si="77"/>
        <v>0</v>
      </c>
      <c r="N63" s="445">
        <f t="shared" si="77"/>
        <v>0</v>
      </c>
      <c r="O63" s="445">
        <f t="shared" si="77"/>
        <v>0</v>
      </c>
      <c r="P63" s="445">
        <f t="shared" si="77"/>
        <v>12725870</v>
      </c>
      <c r="Q63" s="445">
        <f t="shared" si="77"/>
        <v>0</v>
      </c>
      <c r="R63" s="445">
        <f t="shared" si="77"/>
        <v>756.75</v>
      </c>
      <c r="S63" s="445">
        <f t="shared" si="77"/>
        <v>1727.4999999999998</v>
      </c>
      <c r="T63" s="445">
        <f t="shared" si="77"/>
        <v>2059.15</v>
      </c>
      <c r="U63" s="445">
        <f t="shared" si="77"/>
        <v>0</v>
      </c>
      <c r="V63" s="445">
        <f t="shared" si="77"/>
        <v>35808700</v>
      </c>
      <c r="W63" s="445">
        <f t="shared" si="77"/>
        <v>29767350</v>
      </c>
      <c r="X63" s="445">
        <f t="shared" si="77"/>
        <v>69076650</v>
      </c>
      <c r="Y63" s="445">
        <f t="shared" si="77"/>
        <v>0</v>
      </c>
      <c r="Z63" s="445">
        <f t="shared" si="77"/>
        <v>455</v>
      </c>
      <c r="AA63" s="445">
        <f t="shared" si="77"/>
        <v>17966000</v>
      </c>
      <c r="AB63" s="445">
        <f t="shared" si="77"/>
        <v>148</v>
      </c>
      <c r="AC63" s="445">
        <f t="shared" si="77"/>
        <v>5545800</v>
      </c>
      <c r="AD63" s="445">
        <f t="shared" si="77"/>
        <v>777</v>
      </c>
      <c r="AE63" s="445">
        <f t="shared" si="77"/>
        <v>14489600</v>
      </c>
      <c r="AF63" s="445">
        <f t="shared" si="77"/>
        <v>329</v>
      </c>
      <c r="AG63" s="445">
        <f t="shared" si="77"/>
        <v>8916100</v>
      </c>
      <c r="AH63" s="445">
        <f t="shared" si="77"/>
        <v>506</v>
      </c>
      <c r="AI63" s="445">
        <f t="shared" si="77"/>
        <v>6621300</v>
      </c>
      <c r="AJ63" s="445">
        <f t="shared" si="77"/>
        <v>113</v>
      </c>
      <c r="AK63" s="445">
        <f t="shared" si="77"/>
        <v>3941100</v>
      </c>
      <c r="AL63" s="445">
        <f t="shared" ref="AL63:BK63" si="78">SUM(AL41:AL62)</f>
        <v>257.39999999999998</v>
      </c>
      <c r="AM63" s="445">
        <f t="shared" si="78"/>
        <v>4525900</v>
      </c>
      <c r="AN63" s="445">
        <f t="shared" si="78"/>
        <v>137</v>
      </c>
      <c r="AO63" s="445">
        <f t="shared" si="78"/>
        <v>3921500</v>
      </c>
      <c r="AP63" s="445">
        <f t="shared" si="78"/>
        <v>104</v>
      </c>
      <c r="AQ63" s="445">
        <f t="shared" si="78"/>
        <v>2572500</v>
      </c>
      <c r="AR63" s="445">
        <f t="shared" si="78"/>
        <v>240</v>
      </c>
      <c r="AS63" s="445">
        <f t="shared" si="78"/>
        <v>9930000</v>
      </c>
      <c r="AT63" s="445">
        <f t="shared" si="78"/>
        <v>240</v>
      </c>
      <c r="AU63" s="445">
        <f t="shared" si="78"/>
        <v>9179500</v>
      </c>
      <c r="AV63" s="445">
        <f t="shared" si="78"/>
        <v>303</v>
      </c>
      <c r="AW63" s="445">
        <f t="shared" si="78"/>
        <v>10136200</v>
      </c>
      <c r="AX63" s="445">
        <f t="shared" si="78"/>
        <v>271</v>
      </c>
      <c r="AY63" s="445">
        <f t="shared" si="78"/>
        <v>8148500</v>
      </c>
      <c r="AZ63" s="445">
        <f t="shared" si="78"/>
        <v>88</v>
      </c>
      <c r="BA63" s="445">
        <f t="shared" si="78"/>
        <v>3336300</v>
      </c>
      <c r="BB63" s="445">
        <f t="shared" si="78"/>
        <v>194</v>
      </c>
      <c r="BC63" s="445">
        <f t="shared" si="78"/>
        <v>5771500</v>
      </c>
      <c r="BD63" s="445">
        <f t="shared" si="78"/>
        <v>327</v>
      </c>
      <c r="BE63" s="445">
        <f t="shared" si="78"/>
        <v>4216400</v>
      </c>
      <c r="BF63" s="445">
        <f t="shared" si="78"/>
        <v>199</v>
      </c>
      <c r="BG63" s="445">
        <f t="shared" si="78"/>
        <v>8040500</v>
      </c>
      <c r="BH63" s="445">
        <f t="shared" si="78"/>
        <v>0</v>
      </c>
      <c r="BI63" s="445">
        <f t="shared" si="78"/>
        <v>0</v>
      </c>
      <c r="BJ63" s="445">
        <f t="shared" si="78"/>
        <v>4688.3999999999996</v>
      </c>
      <c r="BK63" s="445">
        <f t="shared" si="78"/>
        <v>127258700</v>
      </c>
      <c r="BL63" s="445"/>
      <c r="BM63" s="445"/>
      <c r="BN63" s="445">
        <f t="shared" ref="BN63:BV63" si="79">SUM(BN41:BN62)</f>
        <v>0</v>
      </c>
      <c r="BO63" s="445">
        <f t="shared" si="79"/>
        <v>0</v>
      </c>
      <c r="BP63" s="445">
        <f t="shared" si="79"/>
        <v>127258700</v>
      </c>
      <c r="BQ63" s="445">
        <f t="shared" si="79"/>
        <v>0</v>
      </c>
      <c r="BR63" s="445">
        <f t="shared" si="79"/>
        <v>127258700</v>
      </c>
      <c r="BS63" s="445">
        <f t="shared" si="79"/>
        <v>0</v>
      </c>
      <c r="BT63" s="445">
        <f t="shared" si="79"/>
        <v>0</v>
      </c>
      <c r="BU63" s="445">
        <f t="shared" si="79"/>
        <v>0</v>
      </c>
      <c r="BV63" s="445">
        <f t="shared" si="79"/>
        <v>127258700</v>
      </c>
      <c r="BX63" s="145"/>
      <c r="BY63" s="145"/>
      <c r="BZ63" s="145"/>
      <c r="CA63" s="145"/>
      <c r="CB63" s="145"/>
      <c r="CC63" s="145"/>
      <c r="CD63" s="145"/>
      <c r="CE63" s="145"/>
    </row>
    <row r="64" spans="1:83" s="149" customFormat="1" ht="20.25" customHeight="1">
      <c r="A64" s="596"/>
      <c r="B64" s="93"/>
      <c r="C64" s="130" t="s">
        <v>378</v>
      </c>
      <c r="D64" s="93"/>
      <c r="E64" s="118"/>
      <c r="F64" s="111"/>
      <c r="G64" s="117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48"/>
      <c r="S64" s="148"/>
      <c r="T64" s="148"/>
      <c r="U64" s="148"/>
      <c r="V64" s="150"/>
      <c r="W64" s="150"/>
      <c r="X64" s="150"/>
      <c r="Y64" s="150"/>
      <c r="Z64" s="148"/>
      <c r="AA64" s="224">
        <f t="shared" ref="AA64:AA80" si="80">Z64*E64</f>
        <v>0</v>
      </c>
      <c r="AB64" s="148"/>
      <c r="AC64" s="224">
        <f t="shared" ref="AC64:AC80" si="81">AB64*E64</f>
        <v>0</v>
      </c>
      <c r="AD64" s="148"/>
      <c r="AE64" s="224">
        <f t="shared" ref="AE64:AE80" si="82">AD64*E64</f>
        <v>0</v>
      </c>
      <c r="AF64" s="148"/>
      <c r="AG64" s="224">
        <f t="shared" ref="AG64:AG80" si="83">AF64*E64</f>
        <v>0</v>
      </c>
      <c r="AH64" s="148"/>
      <c r="AI64" s="224">
        <f t="shared" ref="AI64:AI80" si="84">AH64*E64</f>
        <v>0</v>
      </c>
      <c r="AJ64" s="148"/>
      <c r="AK64" s="224">
        <f t="shared" ref="AK64:AK80" si="85">AJ64*E64</f>
        <v>0</v>
      </c>
      <c r="AL64" s="148"/>
      <c r="AM64" s="224">
        <f t="shared" ref="AM64:AM80" si="86">AL64*E64</f>
        <v>0</v>
      </c>
      <c r="AN64" s="148"/>
      <c r="AO64" s="224">
        <f t="shared" ref="AO64:AO80" si="87">AN64*E64</f>
        <v>0</v>
      </c>
      <c r="AP64" s="148"/>
      <c r="AQ64" s="224">
        <f t="shared" ref="AQ64:AQ80" si="88">AP64*E64</f>
        <v>0</v>
      </c>
      <c r="AR64" s="148"/>
      <c r="AS64" s="224">
        <f t="shared" ref="AS64:AS80" si="89">AR64*E64</f>
        <v>0</v>
      </c>
      <c r="AT64" s="148"/>
      <c r="AU64" s="224">
        <f t="shared" ref="AU64:AU80" si="90">AT64*E64</f>
        <v>0</v>
      </c>
      <c r="AV64" s="143"/>
      <c r="AW64" s="224">
        <f t="shared" ref="AW64:AW80" si="91">AV64*E64</f>
        <v>0</v>
      </c>
      <c r="AX64" s="49"/>
      <c r="AY64" s="224">
        <f t="shared" ref="AY64:AY80" si="92">AX64*E64</f>
        <v>0</v>
      </c>
      <c r="AZ64" s="143"/>
      <c r="BA64" s="224">
        <f t="shared" ref="BA64:BA80" si="93">AZ64*E64</f>
        <v>0</v>
      </c>
      <c r="BB64" s="143"/>
      <c r="BC64" s="224">
        <f t="shared" ref="BC64:BC80" si="94">BB64*E64</f>
        <v>0</v>
      </c>
      <c r="BD64" s="143"/>
      <c r="BE64" s="224">
        <f t="shared" ref="BE64:BE80" si="95">BD64*E64</f>
        <v>0</v>
      </c>
      <c r="BF64" s="148"/>
      <c r="BG64" s="224">
        <f t="shared" ref="BG64:BG80" si="96">BF64*E64</f>
        <v>0</v>
      </c>
      <c r="BH64" s="148"/>
      <c r="BI64" s="224">
        <f t="shared" ref="BI64:BI80" si="97">BH64*E64</f>
        <v>0</v>
      </c>
      <c r="BJ64" s="142"/>
      <c r="BK64" s="224"/>
      <c r="BL64" s="161"/>
      <c r="BM64" s="273"/>
      <c r="BN64" s="117"/>
      <c r="BO64" s="146"/>
      <c r="BP64" s="146"/>
      <c r="BQ64" s="146"/>
      <c r="BR64" s="70"/>
      <c r="BS64" s="146"/>
      <c r="BT64" s="146"/>
      <c r="BU64" s="70"/>
      <c r="BV64" s="107"/>
      <c r="BX64" s="145"/>
      <c r="BY64" s="145"/>
      <c r="BZ64" s="145"/>
      <c r="CA64" s="145"/>
      <c r="CB64" s="145"/>
      <c r="CC64" s="145"/>
      <c r="CD64" s="145"/>
      <c r="CE64" s="145"/>
    </row>
    <row r="65" spans="1:83" s="149" customFormat="1" ht="20.25" customHeight="1">
      <c r="A65" s="596"/>
      <c r="B65" s="30"/>
      <c r="C65" s="30" t="s">
        <v>381</v>
      </c>
      <c r="D65" s="30" t="s">
        <v>76</v>
      </c>
      <c r="E65" s="116">
        <v>50000</v>
      </c>
      <c r="F65" s="111">
        <f t="shared" ref="F65:F80" si="98">BJ65</f>
        <v>20</v>
      </c>
      <c r="G65" s="117">
        <f t="shared" ref="G65:G80" si="99">F65*E65</f>
        <v>1000000</v>
      </c>
      <c r="H65" s="117">
        <f t="shared" ref="H65:H80" si="100">G65*0.1</f>
        <v>100000</v>
      </c>
      <c r="I65" s="117">
        <f t="shared" ref="I65:I80" si="101">G65*0.8</f>
        <v>800000</v>
      </c>
      <c r="J65" s="117"/>
      <c r="K65" s="117"/>
      <c r="L65" s="117"/>
      <c r="M65" s="117"/>
      <c r="N65" s="117"/>
      <c r="O65" s="117"/>
      <c r="P65" s="117">
        <f>G65*0.1</f>
        <v>100000</v>
      </c>
      <c r="Q65" s="117"/>
      <c r="R65" s="112"/>
      <c r="S65" s="112">
        <f>F65*0.6</f>
        <v>12</v>
      </c>
      <c r="T65" s="112">
        <f>F65*0.4</f>
        <v>8</v>
      </c>
      <c r="U65" s="112"/>
      <c r="V65" s="110">
        <f t="shared" ref="V65:V79" si="102">R65*E65</f>
        <v>0</v>
      </c>
      <c r="W65" s="110">
        <f t="shared" ref="W65:W77" si="103">S65*E65</f>
        <v>600000</v>
      </c>
      <c r="X65" s="110">
        <f t="shared" ref="X65:X77" si="104">T65*E65</f>
        <v>400000</v>
      </c>
      <c r="Y65" s="110">
        <f t="shared" ref="Y65:Y79" si="105">U65*E65</f>
        <v>0</v>
      </c>
      <c r="Z65" s="112">
        <v>4</v>
      </c>
      <c r="AA65" s="224">
        <f t="shared" si="80"/>
        <v>200000</v>
      </c>
      <c r="AB65" s="112">
        <v>0</v>
      </c>
      <c r="AC65" s="224">
        <f t="shared" si="81"/>
        <v>0</v>
      </c>
      <c r="AD65" s="112"/>
      <c r="AE65" s="224">
        <f t="shared" si="82"/>
        <v>0</v>
      </c>
      <c r="AF65" s="112">
        <v>1</v>
      </c>
      <c r="AG65" s="224">
        <f t="shared" si="83"/>
        <v>50000</v>
      </c>
      <c r="AH65" s="112"/>
      <c r="AI65" s="224">
        <f t="shared" si="84"/>
        <v>0</v>
      </c>
      <c r="AJ65" s="112">
        <v>0</v>
      </c>
      <c r="AK65" s="224">
        <f t="shared" si="85"/>
        <v>0</v>
      </c>
      <c r="AL65" s="112">
        <v>5</v>
      </c>
      <c r="AM65" s="224">
        <f t="shared" si="86"/>
        <v>250000</v>
      </c>
      <c r="AN65" s="112">
        <v>0</v>
      </c>
      <c r="AO65" s="224">
        <f t="shared" si="87"/>
        <v>0</v>
      </c>
      <c r="AP65" s="112">
        <v>1</v>
      </c>
      <c r="AQ65" s="224">
        <f t="shared" si="88"/>
        <v>50000</v>
      </c>
      <c r="AR65" s="112">
        <v>3</v>
      </c>
      <c r="AS65" s="224">
        <f t="shared" si="89"/>
        <v>150000</v>
      </c>
      <c r="AT65" s="112">
        <v>0</v>
      </c>
      <c r="AU65" s="224">
        <f t="shared" si="90"/>
        <v>0</v>
      </c>
      <c r="AV65" s="112">
        <v>2</v>
      </c>
      <c r="AW65" s="224">
        <f t="shared" si="91"/>
        <v>100000</v>
      </c>
      <c r="AX65" s="43"/>
      <c r="AY65" s="224">
        <f t="shared" si="92"/>
        <v>0</v>
      </c>
      <c r="AZ65" s="112"/>
      <c r="BA65" s="224">
        <f t="shared" si="93"/>
        <v>0</v>
      </c>
      <c r="BB65" s="112">
        <v>0</v>
      </c>
      <c r="BC65" s="224">
        <f t="shared" si="94"/>
        <v>0</v>
      </c>
      <c r="BD65" s="112">
        <v>2</v>
      </c>
      <c r="BE65" s="224">
        <f t="shared" si="95"/>
        <v>100000</v>
      </c>
      <c r="BF65" s="112">
        <v>2</v>
      </c>
      <c r="BG65" s="224">
        <f t="shared" si="96"/>
        <v>100000</v>
      </c>
      <c r="BH65" s="112"/>
      <c r="BI65" s="224">
        <f t="shared" si="97"/>
        <v>0</v>
      </c>
      <c r="BJ65" s="142">
        <f t="shared" si="35"/>
        <v>20</v>
      </c>
      <c r="BK65" s="224">
        <f t="shared" si="36"/>
        <v>1000000</v>
      </c>
      <c r="BL65" s="158" t="s">
        <v>230</v>
      </c>
      <c r="BM65" s="273"/>
      <c r="BN65" s="117"/>
      <c r="BO65" s="146"/>
      <c r="BP65" s="179">
        <f t="shared" ref="BP65:BP79" si="106">G65</f>
        <v>1000000</v>
      </c>
      <c r="BQ65" s="146"/>
      <c r="BR65" s="70">
        <f t="shared" ref="BR65:BR79" si="107">BN65+BO65+BP65+BQ65</f>
        <v>1000000</v>
      </c>
      <c r="BS65" s="146"/>
      <c r="BT65" s="146"/>
      <c r="BU65" s="70"/>
      <c r="BV65" s="107">
        <f>BR65+BU65</f>
        <v>1000000</v>
      </c>
      <c r="BX65" s="145"/>
      <c r="BY65" s="145"/>
      <c r="BZ65" s="145"/>
      <c r="CA65" s="145"/>
      <c r="CB65" s="145"/>
      <c r="CC65" s="145"/>
      <c r="CD65" s="145"/>
      <c r="CE65" s="145"/>
    </row>
    <row r="66" spans="1:83" s="149" customFormat="1" ht="20.25" customHeight="1">
      <c r="A66" s="596"/>
      <c r="B66" s="93"/>
      <c r="C66" s="77" t="s">
        <v>363</v>
      </c>
      <c r="D66" s="30" t="s">
        <v>76</v>
      </c>
      <c r="E66" s="118">
        <v>20000</v>
      </c>
      <c r="F66" s="111">
        <f t="shared" si="98"/>
        <v>76</v>
      </c>
      <c r="G66" s="117">
        <f t="shared" si="99"/>
        <v>1520000</v>
      </c>
      <c r="H66" s="117">
        <f t="shared" si="100"/>
        <v>152000</v>
      </c>
      <c r="I66" s="117">
        <f t="shared" si="101"/>
        <v>1216000</v>
      </c>
      <c r="J66" s="123"/>
      <c r="K66" s="123"/>
      <c r="L66" s="123"/>
      <c r="M66" s="123"/>
      <c r="N66" s="123"/>
      <c r="O66" s="123"/>
      <c r="P66" s="117">
        <f t="shared" ref="P66:P80" si="108">G66*0.1</f>
        <v>152000</v>
      </c>
      <c r="Q66" s="117"/>
      <c r="R66" s="113">
        <f>F66*0.15</f>
        <v>11.4</v>
      </c>
      <c r="S66" s="113">
        <f>F66*0.7</f>
        <v>53.199999999999996</v>
      </c>
      <c r="T66" s="113">
        <f>F66:F66*0.15</f>
        <v>11.4</v>
      </c>
      <c r="U66" s="148"/>
      <c r="V66" s="110">
        <f t="shared" si="102"/>
        <v>228000</v>
      </c>
      <c r="W66" s="110">
        <f t="shared" si="103"/>
        <v>1064000</v>
      </c>
      <c r="X66" s="110">
        <f t="shared" si="104"/>
        <v>228000</v>
      </c>
      <c r="Y66" s="110">
        <f t="shared" si="105"/>
        <v>0</v>
      </c>
      <c r="Z66" s="148">
        <v>0</v>
      </c>
      <c r="AA66" s="224">
        <f t="shared" si="80"/>
        <v>0</v>
      </c>
      <c r="AB66" s="148">
        <v>0</v>
      </c>
      <c r="AC66" s="224">
        <f t="shared" si="81"/>
        <v>0</v>
      </c>
      <c r="AD66" s="148">
        <v>25</v>
      </c>
      <c r="AE66" s="224">
        <f t="shared" si="82"/>
        <v>500000</v>
      </c>
      <c r="AF66" s="148"/>
      <c r="AG66" s="224">
        <f t="shared" si="83"/>
        <v>0</v>
      </c>
      <c r="AH66" s="148">
        <v>0</v>
      </c>
      <c r="AI66" s="224">
        <f t="shared" si="84"/>
        <v>0</v>
      </c>
      <c r="AJ66" s="148">
        <v>10</v>
      </c>
      <c r="AK66" s="224">
        <f t="shared" si="85"/>
        <v>200000</v>
      </c>
      <c r="AL66" s="148">
        <v>0</v>
      </c>
      <c r="AM66" s="224">
        <f t="shared" si="86"/>
        <v>0</v>
      </c>
      <c r="AN66" s="148">
        <v>2</v>
      </c>
      <c r="AO66" s="224">
        <f t="shared" si="87"/>
        <v>40000</v>
      </c>
      <c r="AP66" s="148">
        <v>4</v>
      </c>
      <c r="AQ66" s="224">
        <f t="shared" si="88"/>
        <v>80000</v>
      </c>
      <c r="AR66" s="148">
        <v>5</v>
      </c>
      <c r="AS66" s="224">
        <f t="shared" si="89"/>
        <v>100000</v>
      </c>
      <c r="AT66" s="148">
        <v>0</v>
      </c>
      <c r="AU66" s="224">
        <f t="shared" si="90"/>
        <v>0</v>
      </c>
      <c r="AV66" s="143">
        <v>0</v>
      </c>
      <c r="AW66" s="224">
        <f t="shared" si="91"/>
        <v>0</v>
      </c>
      <c r="AX66" s="49">
        <v>0</v>
      </c>
      <c r="AY66" s="224">
        <f t="shared" si="92"/>
        <v>0</v>
      </c>
      <c r="AZ66" s="143">
        <v>0</v>
      </c>
      <c r="BA66" s="224">
        <f t="shared" si="93"/>
        <v>0</v>
      </c>
      <c r="BB66" s="143">
        <v>5</v>
      </c>
      <c r="BC66" s="224">
        <f t="shared" si="94"/>
        <v>100000</v>
      </c>
      <c r="BD66" s="143">
        <v>20</v>
      </c>
      <c r="BE66" s="224">
        <f t="shared" si="95"/>
        <v>400000</v>
      </c>
      <c r="BF66" s="148">
        <v>5</v>
      </c>
      <c r="BG66" s="224">
        <f t="shared" si="96"/>
        <v>100000</v>
      </c>
      <c r="BH66" s="148"/>
      <c r="BI66" s="224">
        <f t="shared" si="97"/>
        <v>0</v>
      </c>
      <c r="BJ66" s="142">
        <f t="shared" ref="BJ66:BJ84" si="109">BH66+BF66+BD66+BB66+AZ66+AX66+AV66+AT66+AR66+AP66+AN66+AL66+AJ66+AH66+AF66+AD66+AB66+Z66</f>
        <v>76</v>
      </c>
      <c r="BK66" s="224">
        <f t="shared" ref="BK66:BK84" si="110">BJ66*E66</f>
        <v>1520000</v>
      </c>
      <c r="BL66" s="158" t="s">
        <v>230</v>
      </c>
      <c r="BM66" s="273"/>
      <c r="BN66" s="117"/>
      <c r="BO66" s="146"/>
      <c r="BP66" s="179">
        <f t="shared" si="106"/>
        <v>1520000</v>
      </c>
      <c r="BQ66" s="146"/>
      <c r="BR66" s="70">
        <f t="shared" si="107"/>
        <v>1520000</v>
      </c>
      <c r="BS66" s="146"/>
      <c r="BT66" s="146"/>
      <c r="BU66" s="70"/>
      <c r="BV66" s="107">
        <f>BR66+BU66</f>
        <v>1520000</v>
      </c>
      <c r="BX66" s="145"/>
      <c r="BY66" s="145"/>
      <c r="BZ66" s="145"/>
      <c r="CA66" s="145"/>
      <c r="CB66" s="145"/>
      <c r="CC66" s="145"/>
      <c r="CD66" s="145"/>
      <c r="CE66" s="145"/>
    </row>
    <row r="67" spans="1:83" s="149" customFormat="1" ht="20.25" customHeight="1">
      <c r="A67" s="596"/>
      <c r="B67" s="93"/>
      <c r="C67" s="77" t="s">
        <v>356</v>
      </c>
      <c r="D67" s="30" t="s">
        <v>76</v>
      </c>
      <c r="E67" s="118">
        <v>50000</v>
      </c>
      <c r="F67" s="111">
        <f t="shared" si="98"/>
        <v>93</v>
      </c>
      <c r="G67" s="117">
        <f t="shared" si="99"/>
        <v>4650000</v>
      </c>
      <c r="H67" s="117">
        <f t="shared" si="100"/>
        <v>465000</v>
      </c>
      <c r="I67" s="117">
        <f t="shared" si="101"/>
        <v>3720000</v>
      </c>
      <c r="J67" s="123"/>
      <c r="K67" s="123"/>
      <c r="L67" s="123"/>
      <c r="M67" s="123"/>
      <c r="N67" s="123"/>
      <c r="O67" s="123"/>
      <c r="P67" s="117">
        <f t="shared" si="108"/>
        <v>465000</v>
      </c>
      <c r="Q67" s="117"/>
      <c r="R67" s="148"/>
      <c r="S67" s="148"/>
      <c r="T67" s="148">
        <f>F67</f>
        <v>93</v>
      </c>
      <c r="U67" s="148"/>
      <c r="V67" s="110">
        <f t="shared" si="102"/>
        <v>0</v>
      </c>
      <c r="W67" s="110">
        <f t="shared" si="103"/>
        <v>0</v>
      </c>
      <c r="X67" s="110">
        <f t="shared" si="104"/>
        <v>4650000</v>
      </c>
      <c r="Y67" s="110">
        <f t="shared" si="105"/>
        <v>0</v>
      </c>
      <c r="Z67" s="148">
        <v>0</v>
      </c>
      <c r="AA67" s="224">
        <f t="shared" si="80"/>
        <v>0</v>
      </c>
      <c r="AB67" s="148">
        <v>5</v>
      </c>
      <c r="AC67" s="224">
        <f t="shared" si="81"/>
        <v>250000</v>
      </c>
      <c r="AD67" s="148">
        <v>20</v>
      </c>
      <c r="AE67" s="224">
        <f t="shared" si="82"/>
        <v>1000000</v>
      </c>
      <c r="AF67" s="148">
        <v>5</v>
      </c>
      <c r="AG67" s="224">
        <f t="shared" si="83"/>
        <v>250000</v>
      </c>
      <c r="AH67" s="148">
        <v>0</v>
      </c>
      <c r="AI67" s="224">
        <f t="shared" si="84"/>
        <v>0</v>
      </c>
      <c r="AJ67" s="148">
        <v>0</v>
      </c>
      <c r="AK67" s="224">
        <f t="shared" si="85"/>
        <v>0</v>
      </c>
      <c r="AL67" s="148">
        <v>20</v>
      </c>
      <c r="AM67" s="224">
        <f t="shared" si="86"/>
        <v>1000000</v>
      </c>
      <c r="AN67" s="148">
        <v>5</v>
      </c>
      <c r="AO67" s="224">
        <f t="shared" si="87"/>
        <v>250000</v>
      </c>
      <c r="AP67" s="148">
        <v>5</v>
      </c>
      <c r="AQ67" s="224">
        <f t="shared" si="88"/>
        <v>250000</v>
      </c>
      <c r="AR67" s="148">
        <v>15</v>
      </c>
      <c r="AS67" s="224">
        <f t="shared" si="89"/>
        <v>750000</v>
      </c>
      <c r="AT67" s="148">
        <v>5</v>
      </c>
      <c r="AU67" s="224">
        <f t="shared" si="90"/>
        <v>250000</v>
      </c>
      <c r="AV67" s="143">
        <v>2</v>
      </c>
      <c r="AW67" s="224">
        <f t="shared" si="91"/>
        <v>100000</v>
      </c>
      <c r="AX67" s="49">
        <v>0</v>
      </c>
      <c r="AY67" s="224">
        <f t="shared" si="92"/>
        <v>0</v>
      </c>
      <c r="AZ67" s="143">
        <v>5</v>
      </c>
      <c r="BA67" s="224">
        <f t="shared" si="93"/>
        <v>250000</v>
      </c>
      <c r="BB67" s="143">
        <v>5</v>
      </c>
      <c r="BC67" s="224">
        <f t="shared" si="94"/>
        <v>250000</v>
      </c>
      <c r="BD67" s="143">
        <v>0</v>
      </c>
      <c r="BE67" s="224">
        <f t="shared" si="95"/>
        <v>0</v>
      </c>
      <c r="BF67" s="148">
        <v>1</v>
      </c>
      <c r="BG67" s="224">
        <f t="shared" si="96"/>
        <v>50000</v>
      </c>
      <c r="BH67" s="148"/>
      <c r="BI67" s="224">
        <f t="shared" si="97"/>
        <v>0</v>
      </c>
      <c r="BJ67" s="142">
        <f t="shared" si="109"/>
        <v>93</v>
      </c>
      <c r="BK67" s="224">
        <f t="shared" si="110"/>
        <v>4650000</v>
      </c>
      <c r="BL67" s="158" t="s">
        <v>230</v>
      </c>
      <c r="BM67" s="273"/>
      <c r="BN67" s="117"/>
      <c r="BO67" s="146"/>
      <c r="BP67" s="179">
        <f t="shared" si="106"/>
        <v>4650000</v>
      </c>
      <c r="BQ67" s="146"/>
      <c r="BR67" s="70">
        <f t="shared" si="107"/>
        <v>4650000</v>
      </c>
      <c r="BS67" s="146"/>
      <c r="BT67" s="146"/>
      <c r="BU67" s="70"/>
      <c r="BV67" s="107">
        <f>BR67+BU67</f>
        <v>4650000</v>
      </c>
      <c r="BX67" s="145"/>
      <c r="BY67" s="145"/>
      <c r="BZ67" s="145"/>
      <c r="CA67" s="145"/>
      <c r="CB67" s="145"/>
      <c r="CC67" s="145"/>
      <c r="CD67" s="145"/>
      <c r="CE67" s="145"/>
    </row>
    <row r="68" spans="1:83" s="149" customFormat="1" ht="20.25" customHeight="1">
      <c r="A68" s="596"/>
      <c r="B68" s="93"/>
      <c r="C68" s="93" t="s">
        <v>357</v>
      </c>
      <c r="D68" s="93" t="s">
        <v>76</v>
      </c>
      <c r="E68" s="118">
        <v>50000</v>
      </c>
      <c r="F68" s="221">
        <f t="shared" si="98"/>
        <v>101</v>
      </c>
      <c r="G68" s="123">
        <f t="shared" si="99"/>
        <v>5050000</v>
      </c>
      <c r="H68" s="123">
        <f t="shared" si="100"/>
        <v>505000</v>
      </c>
      <c r="I68" s="123">
        <f t="shared" si="101"/>
        <v>4040000</v>
      </c>
      <c r="J68" s="123"/>
      <c r="K68" s="123"/>
      <c r="L68" s="123"/>
      <c r="M68" s="123"/>
      <c r="N68" s="123"/>
      <c r="O68" s="123"/>
      <c r="P68" s="123">
        <f t="shared" si="108"/>
        <v>505000</v>
      </c>
      <c r="Q68" s="123"/>
      <c r="R68" s="148"/>
      <c r="S68" s="148"/>
      <c r="T68" s="148">
        <f>F68</f>
        <v>101</v>
      </c>
      <c r="U68" s="148"/>
      <c r="V68" s="223">
        <f t="shared" si="102"/>
        <v>0</v>
      </c>
      <c r="W68" s="223">
        <f t="shared" si="103"/>
        <v>0</v>
      </c>
      <c r="X68" s="223">
        <f t="shared" si="104"/>
        <v>5050000</v>
      </c>
      <c r="Y68" s="223">
        <f t="shared" si="105"/>
        <v>0</v>
      </c>
      <c r="Z68" s="148">
        <v>0</v>
      </c>
      <c r="AA68" s="224">
        <f t="shared" si="80"/>
        <v>0</v>
      </c>
      <c r="AB68" s="148">
        <v>5</v>
      </c>
      <c r="AC68" s="224">
        <f t="shared" si="81"/>
        <v>250000</v>
      </c>
      <c r="AD68" s="148">
        <v>20</v>
      </c>
      <c r="AE68" s="224">
        <f t="shared" si="82"/>
        <v>1000000</v>
      </c>
      <c r="AF68" s="148">
        <v>5</v>
      </c>
      <c r="AG68" s="224">
        <f t="shared" si="83"/>
        <v>250000</v>
      </c>
      <c r="AH68" s="148">
        <v>0</v>
      </c>
      <c r="AI68" s="224">
        <f t="shared" si="84"/>
        <v>0</v>
      </c>
      <c r="AJ68" s="148">
        <v>0</v>
      </c>
      <c r="AK68" s="224">
        <f t="shared" si="85"/>
        <v>0</v>
      </c>
      <c r="AL68" s="148">
        <v>20</v>
      </c>
      <c r="AM68" s="224">
        <f t="shared" si="86"/>
        <v>1000000</v>
      </c>
      <c r="AN68" s="148">
        <v>5</v>
      </c>
      <c r="AO68" s="224">
        <f t="shared" si="87"/>
        <v>250000</v>
      </c>
      <c r="AP68" s="148">
        <v>5</v>
      </c>
      <c r="AQ68" s="224">
        <f t="shared" si="88"/>
        <v>250000</v>
      </c>
      <c r="AR68" s="148">
        <v>15</v>
      </c>
      <c r="AS68" s="224">
        <f t="shared" si="89"/>
        <v>750000</v>
      </c>
      <c r="AT68" s="148">
        <v>5</v>
      </c>
      <c r="AU68" s="224">
        <f t="shared" si="90"/>
        <v>250000</v>
      </c>
      <c r="AV68" s="148">
        <v>5</v>
      </c>
      <c r="AW68" s="224">
        <f t="shared" si="91"/>
        <v>250000</v>
      </c>
      <c r="AX68" s="150">
        <v>0</v>
      </c>
      <c r="AY68" s="224">
        <f t="shared" si="92"/>
        <v>0</v>
      </c>
      <c r="AZ68" s="148">
        <v>5</v>
      </c>
      <c r="BA68" s="224">
        <f t="shared" si="93"/>
        <v>250000</v>
      </c>
      <c r="BB68" s="148">
        <v>5</v>
      </c>
      <c r="BC68" s="224">
        <f t="shared" si="94"/>
        <v>250000</v>
      </c>
      <c r="BD68" s="148">
        <v>5</v>
      </c>
      <c r="BE68" s="224">
        <f t="shared" si="95"/>
        <v>250000</v>
      </c>
      <c r="BF68" s="148">
        <v>1</v>
      </c>
      <c r="BG68" s="224">
        <f t="shared" si="96"/>
        <v>50000</v>
      </c>
      <c r="BH68" s="148"/>
      <c r="BI68" s="224">
        <f t="shared" si="97"/>
        <v>0</v>
      </c>
      <c r="BJ68" s="142">
        <f t="shared" si="109"/>
        <v>101</v>
      </c>
      <c r="BK68" s="224">
        <f t="shared" si="110"/>
        <v>5050000</v>
      </c>
      <c r="BL68" s="158" t="s">
        <v>230</v>
      </c>
      <c r="BM68" s="273"/>
      <c r="BN68" s="123"/>
      <c r="BO68" s="228"/>
      <c r="BP68" s="69">
        <f t="shared" si="106"/>
        <v>5050000</v>
      </c>
      <c r="BQ68" s="228"/>
      <c r="BR68" s="98">
        <f t="shared" si="107"/>
        <v>5050000</v>
      </c>
      <c r="BS68" s="228"/>
      <c r="BT68" s="228"/>
      <c r="BU68" s="98"/>
      <c r="BV68" s="99">
        <f>BR68+BU68</f>
        <v>5050000</v>
      </c>
    </row>
    <row r="69" spans="1:83" s="149" customFormat="1" ht="20.25" customHeight="1">
      <c r="A69" s="596"/>
      <c r="B69" s="93"/>
      <c r="C69" s="93" t="s">
        <v>400</v>
      </c>
      <c r="D69" s="93" t="s">
        <v>76</v>
      </c>
      <c r="E69" s="118">
        <v>50000</v>
      </c>
      <c r="F69" s="221">
        <f t="shared" si="98"/>
        <v>97.5</v>
      </c>
      <c r="G69" s="123">
        <f t="shared" si="99"/>
        <v>4875000</v>
      </c>
      <c r="H69" s="123">
        <f t="shared" si="100"/>
        <v>487500</v>
      </c>
      <c r="I69" s="123">
        <f t="shared" si="101"/>
        <v>3900000</v>
      </c>
      <c r="J69" s="123"/>
      <c r="K69" s="123"/>
      <c r="L69" s="123"/>
      <c r="M69" s="123"/>
      <c r="N69" s="123"/>
      <c r="O69" s="123"/>
      <c r="P69" s="123">
        <f t="shared" si="108"/>
        <v>487500</v>
      </c>
      <c r="Q69" s="123"/>
      <c r="R69" s="222"/>
      <c r="S69" s="222">
        <f>F69*0.7</f>
        <v>68.25</v>
      </c>
      <c r="T69" s="222"/>
      <c r="U69" s="148">
        <f>F69*0.3</f>
        <v>29.25</v>
      </c>
      <c r="V69" s="223">
        <f t="shared" si="102"/>
        <v>0</v>
      </c>
      <c r="W69" s="223">
        <f t="shared" si="103"/>
        <v>3412500</v>
      </c>
      <c r="X69" s="223">
        <f t="shared" si="104"/>
        <v>0</v>
      </c>
      <c r="Y69" s="223">
        <f t="shared" si="105"/>
        <v>1462500</v>
      </c>
      <c r="Z69" s="148">
        <v>0.5</v>
      </c>
      <c r="AA69" s="224">
        <f t="shared" si="80"/>
        <v>25000</v>
      </c>
      <c r="AB69" s="148">
        <v>0</v>
      </c>
      <c r="AC69" s="224">
        <f t="shared" si="81"/>
        <v>0</v>
      </c>
      <c r="AD69" s="148">
        <v>10</v>
      </c>
      <c r="AE69" s="224">
        <f t="shared" si="82"/>
        <v>500000</v>
      </c>
      <c r="AF69" s="148">
        <v>2</v>
      </c>
      <c r="AG69" s="224">
        <f t="shared" si="83"/>
        <v>100000</v>
      </c>
      <c r="AH69" s="148">
        <v>50</v>
      </c>
      <c r="AI69" s="224">
        <f t="shared" si="84"/>
        <v>2500000</v>
      </c>
      <c r="AJ69" s="148">
        <v>0</v>
      </c>
      <c r="AK69" s="224">
        <f t="shared" si="85"/>
        <v>0</v>
      </c>
      <c r="AL69" s="148">
        <v>10</v>
      </c>
      <c r="AM69" s="224">
        <f t="shared" si="86"/>
        <v>500000</v>
      </c>
      <c r="AN69" s="148">
        <v>2</v>
      </c>
      <c r="AO69" s="224">
        <f t="shared" si="87"/>
        <v>100000</v>
      </c>
      <c r="AP69" s="148">
        <v>5</v>
      </c>
      <c r="AQ69" s="224">
        <f t="shared" si="88"/>
        <v>250000</v>
      </c>
      <c r="AR69" s="148">
        <v>10</v>
      </c>
      <c r="AS69" s="224">
        <f t="shared" si="89"/>
        <v>500000</v>
      </c>
      <c r="AT69" s="148">
        <v>0</v>
      </c>
      <c r="AU69" s="224">
        <f t="shared" si="90"/>
        <v>0</v>
      </c>
      <c r="AV69" s="148">
        <v>0</v>
      </c>
      <c r="AW69" s="224">
        <f t="shared" si="91"/>
        <v>0</v>
      </c>
      <c r="AX69" s="150">
        <v>0</v>
      </c>
      <c r="AY69" s="224">
        <f t="shared" si="92"/>
        <v>0</v>
      </c>
      <c r="AZ69" s="148">
        <v>2</v>
      </c>
      <c r="BA69" s="224">
        <f t="shared" si="93"/>
        <v>100000</v>
      </c>
      <c r="BB69" s="148">
        <v>0</v>
      </c>
      <c r="BC69" s="224">
        <f t="shared" si="94"/>
        <v>0</v>
      </c>
      <c r="BD69" s="148">
        <v>4</v>
      </c>
      <c r="BE69" s="224">
        <f t="shared" si="95"/>
        <v>200000</v>
      </c>
      <c r="BF69" s="148">
        <v>2</v>
      </c>
      <c r="BG69" s="224">
        <f t="shared" si="96"/>
        <v>100000</v>
      </c>
      <c r="BH69" s="148"/>
      <c r="BI69" s="224">
        <f t="shared" si="97"/>
        <v>0</v>
      </c>
      <c r="BJ69" s="142">
        <f t="shared" si="109"/>
        <v>97.5</v>
      </c>
      <c r="BK69" s="224">
        <f t="shared" si="110"/>
        <v>4875000</v>
      </c>
      <c r="BL69" s="158" t="s">
        <v>230</v>
      </c>
      <c r="BM69" s="273"/>
      <c r="BN69" s="123"/>
      <c r="BO69" s="228"/>
      <c r="BP69" s="69">
        <f t="shared" si="106"/>
        <v>4875000</v>
      </c>
      <c r="BQ69" s="228"/>
      <c r="BR69" s="98">
        <f t="shared" si="107"/>
        <v>4875000</v>
      </c>
      <c r="BS69" s="228"/>
      <c r="BT69" s="228"/>
      <c r="BU69" s="98"/>
      <c r="BV69" s="99">
        <f>BR69+BU69</f>
        <v>4875000</v>
      </c>
    </row>
    <row r="70" spans="1:83" s="149" customFormat="1" ht="20.25" customHeight="1">
      <c r="A70" s="596"/>
      <c r="B70" s="93"/>
      <c r="C70" s="93" t="s">
        <v>358</v>
      </c>
      <c r="D70" s="93" t="s">
        <v>76</v>
      </c>
      <c r="E70" s="118">
        <v>50000</v>
      </c>
      <c r="F70" s="221">
        <f t="shared" si="98"/>
        <v>6</v>
      </c>
      <c r="G70" s="123">
        <f t="shared" si="99"/>
        <v>300000</v>
      </c>
      <c r="H70" s="123">
        <f t="shared" si="100"/>
        <v>30000</v>
      </c>
      <c r="I70" s="123">
        <f t="shared" si="101"/>
        <v>240000</v>
      </c>
      <c r="J70" s="123"/>
      <c r="K70" s="123"/>
      <c r="L70" s="123"/>
      <c r="M70" s="123"/>
      <c r="N70" s="123"/>
      <c r="O70" s="123"/>
      <c r="P70" s="123">
        <f t="shared" si="108"/>
        <v>30000</v>
      </c>
      <c r="Q70" s="123"/>
      <c r="R70" s="222">
        <f>F70*0.65</f>
        <v>3.9000000000000004</v>
      </c>
      <c r="S70" s="222">
        <f>F70*0.35</f>
        <v>2.0999999999999996</v>
      </c>
      <c r="T70" s="148"/>
      <c r="U70" s="148"/>
      <c r="V70" s="223">
        <f t="shared" si="102"/>
        <v>195000.00000000003</v>
      </c>
      <c r="W70" s="223">
        <f t="shared" si="103"/>
        <v>104999.99999999999</v>
      </c>
      <c r="X70" s="223">
        <f t="shared" si="104"/>
        <v>0</v>
      </c>
      <c r="Y70" s="223">
        <f t="shared" si="105"/>
        <v>0</v>
      </c>
      <c r="Z70" s="148">
        <v>0</v>
      </c>
      <c r="AA70" s="224">
        <f t="shared" si="80"/>
        <v>0</v>
      </c>
      <c r="AB70" s="148">
        <v>0</v>
      </c>
      <c r="AC70" s="224">
        <f t="shared" si="81"/>
        <v>0</v>
      </c>
      <c r="AD70" s="148">
        <v>2</v>
      </c>
      <c r="AE70" s="224">
        <f t="shared" si="82"/>
        <v>100000</v>
      </c>
      <c r="AF70" s="148">
        <v>2</v>
      </c>
      <c r="AG70" s="224">
        <f t="shared" si="83"/>
        <v>100000</v>
      </c>
      <c r="AH70" s="148">
        <v>0</v>
      </c>
      <c r="AI70" s="224">
        <f t="shared" si="84"/>
        <v>0</v>
      </c>
      <c r="AJ70" s="148">
        <v>0</v>
      </c>
      <c r="AK70" s="224">
        <f t="shared" si="85"/>
        <v>0</v>
      </c>
      <c r="AL70" s="148">
        <v>0</v>
      </c>
      <c r="AM70" s="224">
        <f t="shared" si="86"/>
        <v>0</v>
      </c>
      <c r="AN70" s="148">
        <v>0</v>
      </c>
      <c r="AO70" s="224">
        <f t="shared" si="87"/>
        <v>0</v>
      </c>
      <c r="AP70" s="148">
        <v>1</v>
      </c>
      <c r="AQ70" s="224">
        <f t="shared" si="88"/>
        <v>50000</v>
      </c>
      <c r="AR70" s="148">
        <v>0</v>
      </c>
      <c r="AS70" s="224">
        <f t="shared" si="89"/>
        <v>0</v>
      </c>
      <c r="AT70" s="148">
        <v>0</v>
      </c>
      <c r="AU70" s="224">
        <f t="shared" si="90"/>
        <v>0</v>
      </c>
      <c r="AV70" s="148">
        <v>1</v>
      </c>
      <c r="AW70" s="224">
        <f t="shared" si="91"/>
        <v>50000</v>
      </c>
      <c r="AX70" s="150">
        <v>0</v>
      </c>
      <c r="AY70" s="224">
        <f t="shared" si="92"/>
        <v>0</v>
      </c>
      <c r="AZ70" s="148">
        <v>0</v>
      </c>
      <c r="BA70" s="224">
        <f t="shared" si="93"/>
        <v>0</v>
      </c>
      <c r="BB70" s="148">
        <v>0</v>
      </c>
      <c r="BC70" s="224">
        <f t="shared" si="94"/>
        <v>0</v>
      </c>
      <c r="BD70" s="148">
        <v>0</v>
      </c>
      <c r="BE70" s="224">
        <f t="shared" si="95"/>
        <v>0</v>
      </c>
      <c r="BF70" s="148">
        <v>0</v>
      </c>
      <c r="BG70" s="224">
        <f t="shared" si="96"/>
        <v>0</v>
      </c>
      <c r="BH70" s="148"/>
      <c r="BI70" s="224">
        <f t="shared" si="97"/>
        <v>0</v>
      </c>
      <c r="BJ70" s="142">
        <f t="shared" si="109"/>
        <v>6</v>
      </c>
      <c r="BK70" s="224">
        <f t="shared" si="110"/>
        <v>300000</v>
      </c>
      <c r="BL70" s="158" t="s">
        <v>230</v>
      </c>
      <c r="BM70" s="273"/>
      <c r="BN70" s="123"/>
      <c r="BO70" s="228"/>
      <c r="BP70" s="69">
        <f t="shared" si="106"/>
        <v>300000</v>
      </c>
      <c r="BQ70" s="228"/>
      <c r="BR70" s="98">
        <f t="shared" si="107"/>
        <v>300000</v>
      </c>
      <c r="BS70" s="228"/>
      <c r="BT70" s="228"/>
      <c r="BU70" s="98"/>
      <c r="BV70" s="99">
        <f t="shared" ref="BV70:BV79" si="111">BR70+BU70</f>
        <v>300000</v>
      </c>
    </row>
    <row r="71" spans="1:83" s="149" customFormat="1" ht="20.25" customHeight="1">
      <c r="A71" s="596"/>
      <c r="B71" s="93"/>
      <c r="C71" s="93" t="s">
        <v>359</v>
      </c>
      <c r="D71" s="93" t="s">
        <v>76</v>
      </c>
      <c r="E71" s="118">
        <v>62500</v>
      </c>
      <c r="F71" s="221">
        <f t="shared" si="98"/>
        <v>8</v>
      </c>
      <c r="G71" s="123">
        <f t="shared" si="99"/>
        <v>500000</v>
      </c>
      <c r="H71" s="123">
        <f t="shared" si="100"/>
        <v>50000</v>
      </c>
      <c r="I71" s="123">
        <f t="shared" si="101"/>
        <v>400000</v>
      </c>
      <c r="J71" s="123"/>
      <c r="K71" s="123"/>
      <c r="L71" s="123"/>
      <c r="M71" s="123"/>
      <c r="N71" s="123"/>
      <c r="O71" s="123"/>
      <c r="P71" s="123">
        <f t="shared" si="108"/>
        <v>50000</v>
      </c>
      <c r="Q71" s="123"/>
      <c r="R71" s="148"/>
      <c r="S71" s="148"/>
      <c r="T71" s="148">
        <f>F71</f>
        <v>8</v>
      </c>
      <c r="U71" s="148"/>
      <c r="V71" s="223">
        <f t="shared" si="102"/>
        <v>0</v>
      </c>
      <c r="W71" s="223">
        <f t="shared" si="103"/>
        <v>0</v>
      </c>
      <c r="X71" s="223">
        <f t="shared" si="104"/>
        <v>500000</v>
      </c>
      <c r="Y71" s="223">
        <f t="shared" si="105"/>
        <v>0</v>
      </c>
      <c r="Z71" s="148">
        <v>0</v>
      </c>
      <c r="AA71" s="224">
        <f t="shared" si="80"/>
        <v>0</v>
      </c>
      <c r="AB71" s="148">
        <v>0</v>
      </c>
      <c r="AC71" s="224">
        <f t="shared" si="81"/>
        <v>0</v>
      </c>
      <c r="AD71" s="148">
        <v>0</v>
      </c>
      <c r="AE71" s="224">
        <f t="shared" si="82"/>
        <v>0</v>
      </c>
      <c r="AF71" s="148">
        <v>2</v>
      </c>
      <c r="AG71" s="224">
        <f t="shared" si="83"/>
        <v>125000</v>
      </c>
      <c r="AH71" s="148">
        <v>0</v>
      </c>
      <c r="AI71" s="224">
        <f t="shared" si="84"/>
        <v>0</v>
      </c>
      <c r="AJ71" s="148">
        <v>0</v>
      </c>
      <c r="AK71" s="224">
        <f t="shared" si="85"/>
        <v>0</v>
      </c>
      <c r="AL71" s="148">
        <v>0</v>
      </c>
      <c r="AM71" s="224">
        <f t="shared" si="86"/>
        <v>0</v>
      </c>
      <c r="AN71" s="148">
        <v>2</v>
      </c>
      <c r="AO71" s="224">
        <f t="shared" si="87"/>
        <v>125000</v>
      </c>
      <c r="AP71" s="148">
        <v>1</v>
      </c>
      <c r="AQ71" s="224">
        <f t="shared" si="88"/>
        <v>62500</v>
      </c>
      <c r="AR71" s="148">
        <v>0</v>
      </c>
      <c r="AS71" s="224">
        <f t="shared" si="89"/>
        <v>0</v>
      </c>
      <c r="AT71" s="148">
        <v>0</v>
      </c>
      <c r="AU71" s="224">
        <f t="shared" si="90"/>
        <v>0</v>
      </c>
      <c r="AV71" s="148">
        <v>1</v>
      </c>
      <c r="AW71" s="224">
        <f t="shared" si="91"/>
        <v>62500</v>
      </c>
      <c r="AX71" s="150">
        <v>0</v>
      </c>
      <c r="AY71" s="224">
        <f t="shared" si="92"/>
        <v>0</v>
      </c>
      <c r="AZ71" s="148">
        <v>0</v>
      </c>
      <c r="BA71" s="224">
        <f t="shared" si="93"/>
        <v>0</v>
      </c>
      <c r="BB71" s="148">
        <v>0</v>
      </c>
      <c r="BC71" s="224">
        <f t="shared" si="94"/>
        <v>0</v>
      </c>
      <c r="BD71" s="148">
        <v>2</v>
      </c>
      <c r="BE71" s="224">
        <f t="shared" si="95"/>
        <v>125000</v>
      </c>
      <c r="BF71" s="148">
        <v>0</v>
      </c>
      <c r="BG71" s="224">
        <f t="shared" si="96"/>
        <v>0</v>
      </c>
      <c r="BH71" s="148"/>
      <c r="BI71" s="224">
        <f t="shared" si="97"/>
        <v>0</v>
      </c>
      <c r="BJ71" s="142">
        <f t="shared" si="109"/>
        <v>8</v>
      </c>
      <c r="BK71" s="224">
        <f t="shared" si="110"/>
        <v>500000</v>
      </c>
      <c r="BL71" s="158" t="s">
        <v>230</v>
      </c>
      <c r="BM71" s="273"/>
      <c r="BN71" s="123"/>
      <c r="BO71" s="228"/>
      <c r="BP71" s="69">
        <f t="shared" si="106"/>
        <v>500000</v>
      </c>
      <c r="BQ71" s="228"/>
      <c r="BR71" s="98">
        <f t="shared" si="107"/>
        <v>500000</v>
      </c>
      <c r="BS71" s="228"/>
      <c r="BT71" s="228"/>
      <c r="BU71" s="98"/>
      <c r="BV71" s="99">
        <f t="shared" si="111"/>
        <v>500000</v>
      </c>
    </row>
    <row r="72" spans="1:83" s="149" customFormat="1" ht="20.25" customHeight="1">
      <c r="A72" s="596"/>
      <c r="B72" s="93"/>
      <c r="C72" s="93" t="s">
        <v>360</v>
      </c>
      <c r="D72" s="93" t="s">
        <v>76</v>
      </c>
      <c r="E72" s="118">
        <v>62500</v>
      </c>
      <c r="F72" s="221">
        <f t="shared" si="98"/>
        <v>9</v>
      </c>
      <c r="G72" s="123">
        <f t="shared" si="99"/>
        <v>562500</v>
      </c>
      <c r="H72" s="123">
        <f t="shared" si="100"/>
        <v>56250</v>
      </c>
      <c r="I72" s="123">
        <f t="shared" si="101"/>
        <v>450000</v>
      </c>
      <c r="J72" s="123"/>
      <c r="K72" s="123"/>
      <c r="L72" s="123"/>
      <c r="M72" s="123"/>
      <c r="N72" s="123"/>
      <c r="O72" s="123"/>
      <c r="P72" s="123">
        <f t="shared" si="108"/>
        <v>56250</v>
      </c>
      <c r="Q72" s="123"/>
      <c r="R72" s="148"/>
      <c r="S72" s="148"/>
      <c r="T72" s="148">
        <f>F72</f>
        <v>9</v>
      </c>
      <c r="U72" s="148"/>
      <c r="V72" s="223">
        <f t="shared" si="102"/>
        <v>0</v>
      </c>
      <c r="W72" s="223">
        <f t="shared" si="103"/>
        <v>0</v>
      </c>
      <c r="X72" s="223">
        <f t="shared" si="104"/>
        <v>562500</v>
      </c>
      <c r="Y72" s="223">
        <f t="shared" si="105"/>
        <v>0</v>
      </c>
      <c r="Z72" s="148">
        <v>0</v>
      </c>
      <c r="AA72" s="224">
        <f t="shared" si="80"/>
        <v>0</v>
      </c>
      <c r="AB72" s="148">
        <v>0</v>
      </c>
      <c r="AC72" s="224">
        <f t="shared" si="81"/>
        <v>0</v>
      </c>
      <c r="AD72" s="148">
        <v>3</v>
      </c>
      <c r="AE72" s="224">
        <f t="shared" si="82"/>
        <v>187500</v>
      </c>
      <c r="AF72" s="148">
        <v>2</v>
      </c>
      <c r="AG72" s="224">
        <f t="shared" si="83"/>
        <v>125000</v>
      </c>
      <c r="AH72" s="148">
        <v>0</v>
      </c>
      <c r="AI72" s="224">
        <f t="shared" si="84"/>
        <v>0</v>
      </c>
      <c r="AJ72" s="148">
        <v>0</v>
      </c>
      <c r="AK72" s="224">
        <f t="shared" si="85"/>
        <v>0</v>
      </c>
      <c r="AL72" s="148">
        <v>0</v>
      </c>
      <c r="AM72" s="224">
        <f t="shared" si="86"/>
        <v>0</v>
      </c>
      <c r="AN72" s="148">
        <v>0</v>
      </c>
      <c r="AO72" s="224">
        <f t="shared" si="87"/>
        <v>0</v>
      </c>
      <c r="AP72" s="148">
        <v>1</v>
      </c>
      <c r="AQ72" s="224">
        <f t="shared" si="88"/>
        <v>62500</v>
      </c>
      <c r="AR72" s="148">
        <v>0</v>
      </c>
      <c r="AS72" s="224">
        <f t="shared" si="89"/>
        <v>0</v>
      </c>
      <c r="AT72" s="148">
        <v>0</v>
      </c>
      <c r="AU72" s="224">
        <f t="shared" si="90"/>
        <v>0</v>
      </c>
      <c r="AV72" s="148">
        <v>0</v>
      </c>
      <c r="AW72" s="224">
        <f t="shared" si="91"/>
        <v>0</v>
      </c>
      <c r="AX72" s="150">
        <v>0</v>
      </c>
      <c r="AY72" s="224">
        <f t="shared" si="92"/>
        <v>0</v>
      </c>
      <c r="AZ72" s="148">
        <v>1</v>
      </c>
      <c r="BA72" s="224">
        <f t="shared" si="93"/>
        <v>62500</v>
      </c>
      <c r="BB72" s="148">
        <v>2</v>
      </c>
      <c r="BC72" s="224">
        <f t="shared" si="94"/>
        <v>125000</v>
      </c>
      <c r="BD72" s="148">
        <v>0</v>
      </c>
      <c r="BE72" s="224">
        <f t="shared" si="95"/>
        <v>0</v>
      </c>
      <c r="BF72" s="148">
        <v>0</v>
      </c>
      <c r="BG72" s="224">
        <f t="shared" si="96"/>
        <v>0</v>
      </c>
      <c r="BH72" s="148"/>
      <c r="BI72" s="224">
        <f t="shared" si="97"/>
        <v>0</v>
      </c>
      <c r="BJ72" s="142">
        <f t="shared" si="109"/>
        <v>9</v>
      </c>
      <c r="BK72" s="224">
        <f t="shared" si="110"/>
        <v>562500</v>
      </c>
      <c r="BL72" s="158" t="s">
        <v>230</v>
      </c>
      <c r="BM72" s="273"/>
      <c r="BN72" s="123"/>
      <c r="BO72" s="228"/>
      <c r="BP72" s="69">
        <f t="shared" si="106"/>
        <v>562500</v>
      </c>
      <c r="BQ72" s="228"/>
      <c r="BR72" s="98">
        <f t="shared" si="107"/>
        <v>562500</v>
      </c>
      <c r="BS72" s="228"/>
      <c r="BT72" s="228"/>
      <c r="BU72" s="98"/>
      <c r="BV72" s="99">
        <f t="shared" si="111"/>
        <v>562500</v>
      </c>
    </row>
    <row r="73" spans="1:83" s="149" customFormat="1" ht="20.25" customHeight="1">
      <c r="A73" s="596"/>
      <c r="B73" s="93"/>
      <c r="C73" s="93" t="s">
        <v>364</v>
      </c>
      <c r="D73" s="93" t="s">
        <v>76</v>
      </c>
      <c r="E73" s="118">
        <v>50000</v>
      </c>
      <c r="F73" s="221">
        <f t="shared" si="98"/>
        <v>16</v>
      </c>
      <c r="G73" s="123">
        <f t="shared" si="99"/>
        <v>800000</v>
      </c>
      <c r="H73" s="123">
        <f t="shared" si="100"/>
        <v>80000</v>
      </c>
      <c r="I73" s="123">
        <f t="shared" si="101"/>
        <v>640000</v>
      </c>
      <c r="J73" s="123"/>
      <c r="K73" s="123"/>
      <c r="L73" s="123"/>
      <c r="M73" s="123"/>
      <c r="N73" s="123"/>
      <c r="O73" s="123"/>
      <c r="P73" s="123">
        <f t="shared" si="108"/>
        <v>80000</v>
      </c>
      <c r="Q73" s="123"/>
      <c r="R73" s="148"/>
      <c r="S73" s="148"/>
      <c r="T73" s="148">
        <f>F73</f>
        <v>16</v>
      </c>
      <c r="U73" s="148"/>
      <c r="V73" s="223">
        <f t="shared" si="102"/>
        <v>0</v>
      </c>
      <c r="W73" s="223">
        <f t="shared" si="103"/>
        <v>0</v>
      </c>
      <c r="X73" s="223">
        <f t="shared" si="104"/>
        <v>800000</v>
      </c>
      <c r="Y73" s="223">
        <f t="shared" si="105"/>
        <v>0</v>
      </c>
      <c r="Z73" s="148">
        <v>0</v>
      </c>
      <c r="AA73" s="224">
        <f t="shared" si="80"/>
        <v>0</v>
      </c>
      <c r="AB73" s="148">
        <v>0</v>
      </c>
      <c r="AC73" s="224">
        <f t="shared" si="81"/>
        <v>0</v>
      </c>
      <c r="AD73" s="148">
        <v>4</v>
      </c>
      <c r="AE73" s="224">
        <f t="shared" si="82"/>
        <v>200000</v>
      </c>
      <c r="AF73" s="148">
        <v>5</v>
      </c>
      <c r="AG73" s="224">
        <f t="shared" si="83"/>
        <v>250000</v>
      </c>
      <c r="AH73" s="148">
        <v>0</v>
      </c>
      <c r="AI73" s="224">
        <f t="shared" si="84"/>
        <v>0</v>
      </c>
      <c r="AJ73" s="148">
        <v>0</v>
      </c>
      <c r="AK73" s="224">
        <f t="shared" si="85"/>
        <v>0</v>
      </c>
      <c r="AL73" s="148">
        <v>0</v>
      </c>
      <c r="AM73" s="224">
        <f t="shared" si="86"/>
        <v>0</v>
      </c>
      <c r="AN73" s="148">
        <v>0</v>
      </c>
      <c r="AO73" s="224">
        <f t="shared" si="87"/>
        <v>0</v>
      </c>
      <c r="AP73" s="148">
        <v>2</v>
      </c>
      <c r="AQ73" s="224">
        <f t="shared" si="88"/>
        <v>100000</v>
      </c>
      <c r="AR73" s="148">
        <v>0</v>
      </c>
      <c r="AS73" s="224">
        <f t="shared" si="89"/>
        <v>0</v>
      </c>
      <c r="AT73" s="676">
        <v>5</v>
      </c>
      <c r="AU73" s="224">
        <f t="shared" si="90"/>
        <v>250000</v>
      </c>
      <c r="AV73" s="148">
        <v>0</v>
      </c>
      <c r="AW73" s="224">
        <f t="shared" si="91"/>
        <v>0</v>
      </c>
      <c r="AX73" s="150">
        <v>0</v>
      </c>
      <c r="AY73" s="224">
        <f t="shared" si="92"/>
        <v>0</v>
      </c>
      <c r="AZ73" s="148">
        <v>0</v>
      </c>
      <c r="BA73" s="224">
        <f t="shared" si="93"/>
        <v>0</v>
      </c>
      <c r="BB73" s="148">
        <v>0</v>
      </c>
      <c r="BC73" s="224">
        <f t="shared" si="94"/>
        <v>0</v>
      </c>
      <c r="BD73" s="148">
        <v>0</v>
      </c>
      <c r="BE73" s="224">
        <f t="shared" si="95"/>
        <v>0</v>
      </c>
      <c r="BF73" s="148">
        <v>0</v>
      </c>
      <c r="BG73" s="224">
        <f t="shared" si="96"/>
        <v>0</v>
      </c>
      <c r="BH73" s="148"/>
      <c r="BI73" s="224">
        <f t="shared" si="97"/>
        <v>0</v>
      </c>
      <c r="BJ73" s="142">
        <f t="shared" si="109"/>
        <v>16</v>
      </c>
      <c r="BK73" s="224">
        <f t="shared" si="110"/>
        <v>800000</v>
      </c>
      <c r="BL73" s="158" t="s">
        <v>230</v>
      </c>
      <c r="BM73" s="273"/>
      <c r="BN73" s="123"/>
      <c r="BO73" s="228"/>
      <c r="BP73" s="69">
        <f t="shared" si="106"/>
        <v>800000</v>
      </c>
      <c r="BQ73" s="228"/>
      <c r="BR73" s="98">
        <f t="shared" si="107"/>
        <v>800000</v>
      </c>
      <c r="BS73" s="228"/>
      <c r="BT73" s="228"/>
      <c r="BU73" s="98"/>
      <c r="BV73" s="99">
        <f t="shared" si="111"/>
        <v>800000</v>
      </c>
    </row>
    <row r="74" spans="1:83" s="149" customFormat="1" ht="20.25" customHeight="1">
      <c r="A74" s="596"/>
      <c r="B74" s="93"/>
      <c r="C74" s="93" t="s">
        <v>399</v>
      </c>
      <c r="D74" s="93" t="s">
        <v>76</v>
      </c>
      <c r="E74" s="118">
        <v>50000</v>
      </c>
      <c r="F74" s="221">
        <f t="shared" si="98"/>
        <v>62</v>
      </c>
      <c r="G74" s="123">
        <f t="shared" si="99"/>
        <v>3100000</v>
      </c>
      <c r="H74" s="123">
        <f t="shared" si="100"/>
        <v>310000</v>
      </c>
      <c r="I74" s="123">
        <f t="shared" si="101"/>
        <v>2480000</v>
      </c>
      <c r="J74" s="123"/>
      <c r="K74" s="123"/>
      <c r="L74" s="123"/>
      <c r="M74" s="123"/>
      <c r="N74" s="123"/>
      <c r="O74" s="123"/>
      <c r="P74" s="123">
        <f t="shared" si="108"/>
        <v>310000</v>
      </c>
      <c r="Q74" s="123"/>
      <c r="R74" s="148"/>
      <c r="S74" s="148">
        <f>F74*0.5</f>
        <v>31</v>
      </c>
      <c r="T74" s="148"/>
      <c r="U74" s="148">
        <f>F74*0.5</f>
        <v>31</v>
      </c>
      <c r="V74" s="223">
        <f t="shared" si="102"/>
        <v>0</v>
      </c>
      <c r="W74" s="223">
        <f t="shared" si="103"/>
        <v>1550000</v>
      </c>
      <c r="X74" s="223">
        <f t="shared" si="104"/>
        <v>0</v>
      </c>
      <c r="Y74" s="223">
        <f t="shared" si="105"/>
        <v>1550000</v>
      </c>
      <c r="Z74" s="148">
        <v>0</v>
      </c>
      <c r="AA74" s="224">
        <f t="shared" si="80"/>
        <v>0</v>
      </c>
      <c r="AB74" s="148">
        <v>4</v>
      </c>
      <c r="AC74" s="224">
        <f t="shared" si="81"/>
        <v>200000</v>
      </c>
      <c r="AD74" s="148">
        <v>4</v>
      </c>
      <c r="AE74" s="224">
        <f t="shared" si="82"/>
        <v>200000</v>
      </c>
      <c r="AF74" s="148">
        <v>5</v>
      </c>
      <c r="AG74" s="224">
        <f t="shared" si="83"/>
        <v>250000</v>
      </c>
      <c r="AH74" s="148">
        <v>0</v>
      </c>
      <c r="AI74" s="224">
        <f t="shared" si="84"/>
        <v>0</v>
      </c>
      <c r="AJ74" s="148">
        <v>2</v>
      </c>
      <c r="AK74" s="224">
        <f t="shared" si="85"/>
        <v>100000</v>
      </c>
      <c r="AL74" s="148">
        <v>5</v>
      </c>
      <c r="AM74" s="224">
        <f t="shared" si="86"/>
        <v>250000</v>
      </c>
      <c r="AN74" s="148">
        <v>5</v>
      </c>
      <c r="AO74" s="224">
        <f t="shared" si="87"/>
        <v>250000</v>
      </c>
      <c r="AP74" s="148">
        <v>2</v>
      </c>
      <c r="AQ74" s="224">
        <f t="shared" si="88"/>
        <v>100000</v>
      </c>
      <c r="AR74" s="148">
        <v>5</v>
      </c>
      <c r="AS74" s="224">
        <f t="shared" si="89"/>
        <v>250000</v>
      </c>
      <c r="AT74" s="148">
        <v>10</v>
      </c>
      <c r="AU74" s="224">
        <f t="shared" si="90"/>
        <v>500000</v>
      </c>
      <c r="AV74" s="148">
        <v>6</v>
      </c>
      <c r="AW74" s="224">
        <f t="shared" si="91"/>
        <v>300000</v>
      </c>
      <c r="AX74" s="150">
        <v>0</v>
      </c>
      <c r="AY74" s="224">
        <f t="shared" si="92"/>
        <v>0</v>
      </c>
      <c r="AZ74" s="148">
        <v>3</v>
      </c>
      <c r="BA74" s="224">
        <f t="shared" si="93"/>
        <v>150000</v>
      </c>
      <c r="BB74" s="148">
        <v>5</v>
      </c>
      <c r="BC74" s="224">
        <f t="shared" si="94"/>
        <v>250000</v>
      </c>
      <c r="BD74" s="148">
        <v>4</v>
      </c>
      <c r="BE74" s="224">
        <f t="shared" si="95"/>
        <v>200000</v>
      </c>
      <c r="BF74" s="148">
        <v>2</v>
      </c>
      <c r="BG74" s="224">
        <f t="shared" si="96"/>
        <v>100000</v>
      </c>
      <c r="BH74" s="148"/>
      <c r="BI74" s="224">
        <f t="shared" si="97"/>
        <v>0</v>
      </c>
      <c r="BJ74" s="142">
        <f t="shared" si="109"/>
        <v>62</v>
      </c>
      <c r="BK74" s="224">
        <f t="shared" si="110"/>
        <v>3100000</v>
      </c>
      <c r="BL74" s="158" t="s">
        <v>230</v>
      </c>
      <c r="BM74" s="273"/>
      <c r="BN74" s="123"/>
      <c r="BO74" s="228"/>
      <c r="BP74" s="69">
        <f t="shared" si="106"/>
        <v>3100000</v>
      </c>
      <c r="BQ74" s="228"/>
      <c r="BR74" s="98">
        <f t="shared" si="107"/>
        <v>3100000</v>
      </c>
      <c r="BS74" s="228"/>
      <c r="BT74" s="228"/>
      <c r="BU74" s="98"/>
      <c r="BV74" s="99">
        <f t="shared" si="111"/>
        <v>3100000</v>
      </c>
    </row>
    <row r="75" spans="1:83" s="149" customFormat="1" ht="20.25" customHeight="1">
      <c r="A75" s="596"/>
      <c r="B75" s="93"/>
      <c r="C75" s="93" t="s">
        <v>375</v>
      </c>
      <c r="D75" s="93" t="s">
        <v>76</v>
      </c>
      <c r="E75" s="118">
        <v>50000</v>
      </c>
      <c r="F75" s="221">
        <f t="shared" si="98"/>
        <v>93</v>
      </c>
      <c r="G75" s="123">
        <f t="shared" si="99"/>
        <v>4650000</v>
      </c>
      <c r="H75" s="123">
        <f t="shared" si="100"/>
        <v>465000</v>
      </c>
      <c r="I75" s="123">
        <f t="shared" si="101"/>
        <v>3720000</v>
      </c>
      <c r="J75" s="123"/>
      <c r="K75" s="123"/>
      <c r="L75" s="123"/>
      <c r="M75" s="123"/>
      <c r="N75" s="123"/>
      <c r="O75" s="123"/>
      <c r="P75" s="123">
        <f t="shared" si="108"/>
        <v>465000</v>
      </c>
      <c r="Q75" s="123"/>
      <c r="R75" s="148"/>
      <c r="S75" s="148"/>
      <c r="T75" s="148">
        <f>F75</f>
        <v>93</v>
      </c>
      <c r="U75" s="148"/>
      <c r="V75" s="223">
        <f t="shared" si="102"/>
        <v>0</v>
      </c>
      <c r="W75" s="223">
        <f t="shared" si="103"/>
        <v>0</v>
      </c>
      <c r="X75" s="223">
        <f t="shared" si="104"/>
        <v>4650000</v>
      </c>
      <c r="Y75" s="223">
        <f t="shared" si="105"/>
        <v>0</v>
      </c>
      <c r="Z75" s="148">
        <v>0</v>
      </c>
      <c r="AA75" s="224">
        <f t="shared" si="80"/>
        <v>0</v>
      </c>
      <c r="AB75" s="148">
        <v>10</v>
      </c>
      <c r="AC75" s="224">
        <f t="shared" si="81"/>
        <v>500000</v>
      </c>
      <c r="AD75" s="148">
        <v>17</v>
      </c>
      <c r="AE75" s="224">
        <f t="shared" si="82"/>
        <v>850000</v>
      </c>
      <c r="AF75" s="148">
        <v>5</v>
      </c>
      <c r="AG75" s="224">
        <f t="shared" si="83"/>
        <v>250000</v>
      </c>
      <c r="AH75" s="148">
        <v>0</v>
      </c>
      <c r="AI75" s="224">
        <f t="shared" si="84"/>
        <v>0</v>
      </c>
      <c r="AJ75" s="148">
        <v>10</v>
      </c>
      <c r="AK75" s="224">
        <f t="shared" si="85"/>
        <v>500000</v>
      </c>
      <c r="AL75" s="148">
        <v>10</v>
      </c>
      <c r="AM75" s="224">
        <f t="shared" si="86"/>
        <v>500000</v>
      </c>
      <c r="AN75" s="148">
        <v>2</v>
      </c>
      <c r="AO75" s="224">
        <f t="shared" si="87"/>
        <v>100000</v>
      </c>
      <c r="AP75" s="148">
        <v>5</v>
      </c>
      <c r="AQ75" s="224">
        <f t="shared" si="88"/>
        <v>250000</v>
      </c>
      <c r="AR75" s="148">
        <v>5</v>
      </c>
      <c r="AS75" s="224">
        <f t="shared" si="89"/>
        <v>250000</v>
      </c>
      <c r="AT75" s="148">
        <v>10</v>
      </c>
      <c r="AU75" s="224">
        <f t="shared" si="90"/>
        <v>500000</v>
      </c>
      <c r="AV75" s="148">
        <v>1</v>
      </c>
      <c r="AW75" s="224">
        <f t="shared" si="91"/>
        <v>50000</v>
      </c>
      <c r="AX75" s="150">
        <v>5</v>
      </c>
      <c r="AY75" s="224">
        <f t="shared" si="92"/>
        <v>250000</v>
      </c>
      <c r="AZ75" s="148">
        <v>5</v>
      </c>
      <c r="BA75" s="224">
        <f t="shared" si="93"/>
        <v>250000</v>
      </c>
      <c r="BB75" s="148">
        <v>5</v>
      </c>
      <c r="BC75" s="224">
        <f t="shared" si="94"/>
        <v>250000</v>
      </c>
      <c r="BD75" s="148">
        <v>0</v>
      </c>
      <c r="BE75" s="224">
        <f t="shared" si="95"/>
        <v>0</v>
      </c>
      <c r="BF75" s="148">
        <v>3</v>
      </c>
      <c r="BG75" s="224">
        <f t="shared" si="96"/>
        <v>150000</v>
      </c>
      <c r="BH75" s="148"/>
      <c r="BI75" s="224">
        <f t="shared" si="97"/>
        <v>0</v>
      </c>
      <c r="BJ75" s="142">
        <f t="shared" si="109"/>
        <v>93</v>
      </c>
      <c r="BK75" s="224">
        <f t="shared" si="110"/>
        <v>4650000</v>
      </c>
      <c r="BL75" s="158" t="s">
        <v>230</v>
      </c>
      <c r="BM75" s="273"/>
      <c r="BN75" s="123"/>
      <c r="BO75" s="228"/>
      <c r="BP75" s="69">
        <f t="shared" si="106"/>
        <v>4650000</v>
      </c>
      <c r="BQ75" s="228"/>
      <c r="BR75" s="98">
        <f t="shared" si="107"/>
        <v>4650000</v>
      </c>
      <c r="BS75" s="228"/>
      <c r="BT75" s="228"/>
      <c r="BU75" s="98"/>
      <c r="BV75" s="99">
        <f t="shared" si="111"/>
        <v>4650000</v>
      </c>
    </row>
    <row r="76" spans="1:83" s="145" customFormat="1" ht="20.25" customHeight="1">
      <c r="A76" s="596"/>
      <c r="B76" s="30"/>
      <c r="C76" s="30" t="s">
        <v>376</v>
      </c>
      <c r="D76" s="30" t="s">
        <v>76</v>
      </c>
      <c r="E76" s="116">
        <v>50000</v>
      </c>
      <c r="F76" s="111">
        <f t="shared" si="98"/>
        <v>87</v>
      </c>
      <c r="G76" s="117">
        <f t="shared" si="99"/>
        <v>4350000</v>
      </c>
      <c r="H76" s="117">
        <f t="shared" si="100"/>
        <v>435000</v>
      </c>
      <c r="I76" s="117">
        <f t="shared" si="101"/>
        <v>3480000</v>
      </c>
      <c r="J76" s="117"/>
      <c r="K76" s="117"/>
      <c r="L76" s="117"/>
      <c r="M76" s="117"/>
      <c r="N76" s="117"/>
      <c r="O76" s="117"/>
      <c r="P76" s="117">
        <f t="shared" si="108"/>
        <v>435000</v>
      </c>
      <c r="Q76" s="117"/>
      <c r="R76" s="143"/>
      <c r="S76" s="143"/>
      <c r="T76" s="143">
        <f>F76</f>
        <v>87</v>
      </c>
      <c r="U76" s="143"/>
      <c r="V76" s="110">
        <f t="shared" si="102"/>
        <v>0</v>
      </c>
      <c r="W76" s="110">
        <f t="shared" si="103"/>
        <v>0</v>
      </c>
      <c r="X76" s="110">
        <f t="shared" si="104"/>
        <v>4350000</v>
      </c>
      <c r="Y76" s="110">
        <f t="shared" si="105"/>
        <v>0</v>
      </c>
      <c r="Z76" s="143">
        <v>0</v>
      </c>
      <c r="AA76" s="224">
        <f t="shared" si="80"/>
        <v>0</v>
      </c>
      <c r="AB76" s="143">
        <v>10</v>
      </c>
      <c r="AC76" s="224">
        <f t="shared" si="81"/>
        <v>500000</v>
      </c>
      <c r="AD76" s="143">
        <v>12</v>
      </c>
      <c r="AE76" s="224">
        <f t="shared" si="82"/>
        <v>600000</v>
      </c>
      <c r="AF76" s="143">
        <v>5</v>
      </c>
      <c r="AG76" s="224">
        <f t="shared" si="83"/>
        <v>250000</v>
      </c>
      <c r="AH76" s="143">
        <v>0</v>
      </c>
      <c r="AI76" s="224">
        <f t="shared" si="84"/>
        <v>0</v>
      </c>
      <c r="AJ76" s="143">
        <v>10</v>
      </c>
      <c r="AK76" s="224">
        <f t="shared" si="85"/>
        <v>500000</v>
      </c>
      <c r="AL76" s="143">
        <v>10</v>
      </c>
      <c r="AM76" s="224">
        <f t="shared" si="86"/>
        <v>500000</v>
      </c>
      <c r="AN76" s="143">
        <v>2</v>
      </c>
      <c r="AO76" s="224">
        <f t="shared" si="87"/>
        <v>100000</v>
      </c>
      <c r="AP76" s="143">
        <v>5</v>
      </c>
      <c r="AQ76" s="224">
        <f t="shared" si="88"/>
        <v>250000</v>
      </c>
      <c r="AR76" s="143">
        <v>5</v>
      </c>
      <c r="AS76" s="224">
        <f t="shared" si="89"/>
        <v>250000</v>
      </c>
      <c r="AT76" s="143">
        <v>10</v>
      </c>
      <c r="AU76" s="224">
        <f t="shared" si="90"/>
        <v>500000</v>
      </c>
      <c r="AV76" s="143">
        <v>3</v>
      </c>
      <c r="AW76" s="224">
        <f t="shared" si="91"/>
        <v>150000</v>
      </c>
      <c r="AX76" s="49">
        <v>3</v>
      </c>
      <c r="AY76" s="224">
        <f t="shared" si="92"/>
        <v>150000</v>
      </c>
      <c r="AZ76" s="143">
        <v>5</v>
      </c>
      <c r="BA76" s="224">
        <f t="shared" si="93"/>
        <v>250000</v>
      </c>
      <c r="BB76" s="143">
        <v>5</v>
      </c>
      <c r="BC76" s="224">
        <f t="shared" si="94"/>
        <v>250000</v>
      </c>
      <c r="BD76" s="143">
        <v>0</v>
      </c>
      <c r="BE76" s="224">
        <f t="shared" si="95"/>
        <v>0</v>
      </c>
      <c r="BF76" s="143">
        <v>2</v>
      </c>
      <c r="BG76" s="224">
        <f t="shared" si="96"/>
        <v>100000</v>
      </c>
      <c r="BH76" s="143"/>
      <c r="BI76" s="224">
        <f t="shared" si="97"/>
        <v>0</v>
      </c>
      <c r="BJ76" s="142">
        <f t="shared" si="109"/>
        <v>87</v>
      </c>
      <c r="BK76" s="224">
        <f t="shared" si="110"/>
        <v>4350000</v>
      </c>
      <c r="BL76" s="158" t="s">
        <v>230</v>
      </c>
      <c r="BM76" s="273"/>
      <c r="BN76" s="117"/>
      <c r="BO76" s="146"/>
      <c r="BP76" s="179">
        <f t="shared" si="106"/>
        <v>4350000</v>
      </c>
      <c r="BQ76" s="146"/>
      <c r="BR76" s="70">
        <f t="shared" si="107"/>
        <v>4350000</v>
      </c>
      <c r="BS76" s="146"/>
      <c r="BT76" s="146"/>
      <c r="BU76" s="70"/>
      <c r="BV76" s="107">
        <f t="shared" si="111"/>
        <v>4350000</v>
      </c>
    </row>
    <row r="77" spans="1:83" s="145" customFormat="1" ht="20.25" customHeight="1">
      <c r="A77" s="596"/>
      <c r="B77" s="30"/>
      <c r="C77" s="30" t="s">
        <v>377</v>
      </c>
      <c r="D77" s="30" t="s">
        <v>76</v>
      </c>
      <c r="E77" s="116">
        <v>50000</v>
      </c>
      <c r="F77" s="111">
        <f t="shared" si="98"/>
        <v>60</v>
      </c>
      <c r="G77" s="117">
        <f t="shared" si="99"/>
        <v>3000000</v>
      </c>
      <c r="H77" s="117">
        <f t="shared" si="100"/>
        <v>300000</v>
      </c>
      <c r="I77" s="117">
        <f t="shared" si="101"/>
        <v>2400000</v>
      </c>
      <c r="J77" s="117"/>
      <c r="K77" s="117"/>
      <c r="L77" s="117"/>
      <c r="M77" s="117"/>
      <c r="N77" s="117"/>
      <c r="O77" s="117"/>
      <c r="P77" s="117">
        <f t="shared" si="108"/>
        <v>300000</v>
      </c>
      <c r="Q77" s="117"/>
      <c r="R77" s="143"/>
      <c r="S77" s="143">
        <f>F77*0.8</f>
        <v>48</v>
      </c>
      <c r="T77" s="143">
        <f>F77*0.2</f>
        <v>12</v>
      </c>
      <c r="U77" s="143"/>
      <c r="V77" s="110">
        <f t="shared" si="102"/>
        <v>0</v>
      </c>
      <c r="W77" s="110">
        <f t="shared" si="103"/>
        <v>2400000</v>
      </c>
      <c r="X77" s="110">
        <f t="shared" si="104"/>
        <v>600000</v>
      </c>
      <c r="Y77" s="110">
        <f t="shared" si="105"/>
        <v>0</v>
      </c>
      <c r="Z77" s="143">
        <v>5</v>
      </c>
      <c r="AA77" s="224">
        <f t="shared" si="80"/>
        <v>250000</v>
      </c>
      <c r="AB77" s="143"/>
      <c r="AC77" s="224">
        <f t="shared" si="81"/>
        <v>0</v>
      </c>
      <c r="AD77" s="143">
        <v>6</v>
      </c>
      <c r="AE77" s="224">
        <f t="shared" si="82"/>
        <v>300000</v>
      </c>
      <c r="AF77" s="143">
        <v>5</v>
      </c>
      <c r="AG77" s="224">
        <f t="shared" si="83"/>
        <v>250000</v>
      </c>
      <c r="AH77" s="143">
        <v>0</v>
      </c>
      <c r="AI77" s="224">
        <f t="shared" si="84"/>
        <v>0</v>
      </c>
      <c r="AJ77" s="143">
        <v>0</v>
      </c>
      <c r="AK77" s="224">
        <f t="shared" si="85"/>
        <v>0</v>
      </c>
      <c r="AL77" s="143">
        <v>5</v>
      </c>
      <c r="AM77" s="224">
        <f t="shared" si="86"/>
        <v>250000</v>
      </c>
      <c r="AN77" s="143">
        <v>10</v>
      </c>
      <c r="AO77" s="224">
        <f t="shared" si="87"/>
        <v>500000</v>
      </c>
      <c r="AP77" s="143">
        <v>0</v>
      </c>
      <c r="AQ77" s="224">
        <f t="shared" si="88"/>
        <v>0</v>
      </c>
      <c r="AR77" s="143">
        <v>2</v>
      </c>
      <c r="AS77" s="224">
        <f t="shared" si="89"/>
        <v>100000</v>
      </c>
      <c r="AT77" s="143">
        <v>10</v>
      </c>
      <c r="AU77" s="224">
        <f t="shared" si="90"/>
        <v>500000</v>
      </c>
      <c r="AV77" s="143">
        <v>0</v>
      </c>
      <c r="AW77" s="224">
        <f t="shared" si="91"/>
        <v>0</v>
      </c>
      <c r="AX77" s="49">
        <v>0</v>
      </c>
      <c r="AY77" s="224">
        <f t="shared" si="92"/>
        <v>0</v>
      </c>
      <c r="AZ77" s="143">
        <v>3</v>
      </c>
      <c r="BA77" s="224">
        <f t="shared" si="93"/>
        <v>150000</v>
      </c>
      <c r="BB77" s="143">
        <v>3</v>
      </c>
      <c r="BC77" s="224">
        <f t="shared" si="94"/>
        <v>150000</v>
      </c>
      <c r="BD77" s="143">
        <v>10</v>
      </c>
      <c r="BE77" s="224">
        <f t="shared" si="95"/>
        <v>500000</v>
      </c>
      <c r="BF77" s="143">
        <v>1</v>
      </c>
      <c r="BG77" s="224">
        <f t="shared" si="96"/>
        <v>50000</v>
      </c>
      <c r="BH77" s="143"/>
      <c r="BI77" s="224">
        <f t="shared" si="97"/>
        <v>0</v>
      </c>
      <c r="BJ77" s="142">
        <f t="shared" si="109"/>
        <v>60</v>
      </c>
      <c r="BK77" s="224">
        <f t="shared" si="110"/>
        <v>3000000</v>
      </c>
      <c r="BL77" s="158" t="s">
        <v>230</v>
      </c>
      <c r="BM77" s="273"/>
      <c r="BN77" s="117"/>
      <c r="BO77" s="146"/>
      <c r="BP77" s="179">
        <f t="shared" si="106"/>
        <v>3000000</v>
      </c>
      <c r="BQ77" s="146"/>
      <c r="BR77" s="70">
        <f t="shared" si="107"/>
        <v>3000000</v>
      </c>
      <c r="BS77" s="146"/>
      <c r="BT77" s="146"/>
      <c r="BU77" s="70"/>
      <c r="BV77" s="107">
        <f t="shared" si="111"/>
        <v>3000000</v>
      </c>
    </row>
    <row r="78" spans="1:83" s="145" customFormat="1" ht="20.25" customHeight="1">
      <c r="A78" s="596"/>
      <c r="B78" s="30"/>
      <c r="C78" s="93" t="s">
        <v>426</v>
      </c>
      <c r="D78" s="30" t="s">
        <v>76</v>
      </c>
      <c r="E78" s="116">
        <v>15000</v>
      </c>
      <c r="F78" s="111">
        <f t="shared" si="98"/>
        <v>69</v>
      </c>
      <c r="G78" s="117">
        <f t="shared" si="99"/>
        <v>1035000</v>
      </c>
      <c r="H78" s="117">
        <f t="shared" si="100"/>
        <v>103500</v>
      </c>
      <c r="I78" s="117">
        <f t="shared" si="101"/>
        <v>828000</v>
      </c>
      <c r="J78" s="117"/>
      <c r="K78" s="117"/>
      <c r="L78" s="117"/>
      <c r="M78" s="117"/>
      <c r="N78" s="117"/>
      <c r="O78" s="117"/>
      <c r="P78" s="117">
        <f t="shared" si="108"/>
        <v>103500</v>
      </c>
      <c r="Q78" s="117"/>
      <c r="R78" s="143"/>
      <c r="S78" s="143"/>
      <c r="T78" s="143"/>
      <c r="U78" s="143"/>
      <c r="V78" s="110">
        <f t="shared" si="102"/>
        <v>0</v>
      </c>
      <c r="W78" s="110"/>
      <c r="X78" s="110"/>
      <c r="Y78" s="110">
        <f t="shared" si="105"/>
        <v>0</v>
      </c>
      <c r="Z78" s="143"/>
      <c r="AA78" s="224">
        <f t="shared" si="80"/>
        <v>0</v>
      </c>
      <c r="AB78" s="143">
        <v>2</v>
      </c>
      <c r="AC78" s="224">
        <f t="shared" si="81"/>
        <v>30000</v>
      </c>
      <c r="AD78" s="143">
        <v>50</v>
      </c>
      <c r="AE78" s="224">
        <f t="shared" si="82"/>
        <v>750000</v>
      </c>
      <c r="AF78" s="143"/>
      <c r="AG78" s="224">
        <f t="shared" si="83"/>
        <v>0</v>
      </c>
      <c r="AH78" s="143"/>
      <c r="AI78" s="224">
        <f t="shared" si="84"/>
        <v>0</v>
      </c>
      <c r="AJ78" s="143"/>
      <c r="AK78" s="224">
        <f t="shared" si="85"/>
        <v>0</v>
      </c>
      <c r="AL78" s="143"/>
      <c r="AM78" s="224">
        <f t="shared" si="86"/>
        <v>0</v>
      </c>
      <c r="AN78" s="143"/>
      <c r="AO78" s="224">
        <f t="shared" si="87"/>
        <v>0</v>
      </c>
      <c r="AP78" s="143"/>
      <c r="AQ78" s="224">
        <f t="shared" si="88"/>
        <v>0</v>
      </c>
      <c r="AR78" s="143">
        <v>5</v>
      </c>
      <c r="AS78" s="224">
        <f t="shared" si="89"/>
        <v>75000</v>
      </c>
      <c r="AT78" s="143"/>
      <c r="AU78" s="224">
        <f t="shared" si="90"/>
        <v>0</v>
      </c>
      <c r="AV78" s="143">
        <v>5</v>
      </c>
      <c r="AW78" s="224">
        <f t="shared" si="91"/>
        <v>75000</v>
      </c>
      <c r="AX78" s="49"/>
      <c r="AY78" s="224">
        <f t="shared" si="92"/>
        <v>0</v>
      </c>
      <c r="AZ78" s="143">
        <v>1</v>
      </c>
      <c r="BA78" s="224">
        <f t="shared" si="93"/>
        <v>15000</v>
      </c>
      <c r="BB78" s="143">
        <v>5</v>
      </c>
      <c r="BC78" s="224">
        <f t="shared" si="94"/>
        <v>75000</v>
      </c>
      <c r="BD78" s="143">
        <v>0</v>
      </c>
      <c r="BE78" s="224">
        <f t="shared" si="95"/>
        <v>0</v>
      </c>
      <c r="BF78" s="143">
        <v>1</v>
      </c>
      <c r="BG78" s="224">
        <f t="shared" si="96"/>
        <v>15000</v>
      </c>
      <c r="BH78" s="143"/>
      <c r="BI78" s="224">
        <f t="shared" si="97"/>
        <v>0</v>
      </c>
      <c r="BJ78" s="142">
        <f t="shared" si="109"/>
        <v>69</v>
      </c>
      <c r="BK78" s="224">
        <f t="shared" si="110"/>
        <v>1035000</v>
      </c>
      <c r="BL78" s="158" t="s">
        <v>230</v>
      </c>
      <c r="BM78" s="273"/>
      <c r="BN78" s="117"/>
      <c r="BO78" s="146"/>
      <c r="BP78" s="179">
        <f t="shared" si="106"/>
        <v>1035000</v>
      </c>
      <c r="BQ78" s="146"/>
      <c r="BR78" s="70">
        <f t="shared" si="107"/>
        <v>1035000</v>
      </c>
      <c r="BS78" s="146"/>
      <c r="BT78" s="146"/>
      <c r="BU78" s="70"/>
      <c r="BV78" s="107">
        <f t="shared" si="111"/>
        <v>1035000</v>
      </c>
    </row>
    <row r="79" spans="1:83" s="145" customFormat="1" ht="20.25" customHeight="1">
      <c r="A79" s="596"/>
      <c r="B79" s="30"/>
      <c r="C79" s="93" t="s">
        <v>688</v>
      </c>
      <c r="D79" s="30" t="s">
        <v>76</v>
      </c>
      <c r="E79" s="116">
        <v>37500</v>
      </c>
      <c r="F79" s="111">
        <f t="shared" si="98"/>
        <v>33</v>
      </c>
      <c r="G79" s="117">
        <f t="shared" si="99"/>
        <v>1237500</v>
      </c>
      <c r="H79" s="117">
        <f t="shared" si="100"/>
        <v>123750</v>
      </c>
      <c r="I79" s="117">
        <f t="shared" si="101"/>
        <v>990000</v>
      </c>
      <c r="J79" s="117"/>
      <c r="K79" s="117"/>
      <c r="L79" s="117"/>
      <c r="M79" s="117"/>
      <c r="N79" s="117"/>
      <c r="O79" s="117"/>
      <c r="P79" s="117">
        <f t="shared" si="108"/>
        <v>123750</v>
      </c>
      <c r="Q79" s="117"/>
      <c r="R79" s="143"/>
      <c r="S79" s="143"/>
      <c r="T79" s="143"/>
      <c r="U79" s="143"/>
      <c r="V79" s="110">
        <f t="shared" si="102"/>
        <v>0</v>
      </c>
      <c r="W79" s="110"/>
      <c r="X79" s="110"/>
      <c r="Y79" s="110">
        <f t="shared" si="105"/>
        <v>0</v>
      </c>
      <c r="Z79" s="143"/>
      <c r="AA79" s="224">
        <f t="shared" si="80"/>
        <v>0</v>
      </c>
      <c r="AB79" s="143"/>
      <c r="AC79" s="224">
        <f t="shared" si="81"/>
        <v>0</v>
      </c>
      <c r="AD79" s="143"/>
      <c r="AE79" s="224">
        <f t="shared" si="82"/>
        <v>0</v>
      </c>
      <c r="AF79" s="143"/>
      <c r="AG79" s="224">
        <f t="shared" si="83"/>
        <v>0</v>
      </c>
      <c r="AH79" s="143"/>
      <c r="AI79" s="224">
        <f t="shared" si="84"/>
        <v>0</v>
      </c>
      <c r="AJ79" s="143"/>
      <c r="AK79" s="224">
        <f t="shared" si="85"/>
        <v>0</v>
      </c>
      <c r="AL79" s="143"/>
      <c r="AM79" s="224">
        <f t="shared" si="86"/>
        <v>0</v>
      </c>
      <c r="AN79" s="143"/>
      <c r="AO79" s="224">
        <f t="shared" si="87"/>
        <v>0</v>
      </c>
      <c r="AP79" s="143"/>
      <c r="AQ79" s="224">
        <f t="shared" si="88"/>
        <v>0</v>
      </c>
      <c r="AR79" s="143">
        <v>2</v>
      </c>
      <c r="AS79" s="224">
        <f t="shared" si="89"/>
        <v>75000</v>
      </c>
      <c r="AT79" s="143">
        <v>30</v>
      </c>
      <c r="AU79" s="224">
        <f t="shared" si="90"/>
        <v>1125000</v>
      </c>
      <c r="AV79" s="143"/>
      <c r="AW79" s="224">
        <f t="shared" si="91"/>
        <v>0</v>
      </c>
      <c r="AX79" s="49"/>
      <c r="AY79" s="224">
        <f t="shared" si="92"/>
        <v>0</v>
      </c>
      <c r="AZ79" s="143">
        <v>1</v>
      </c>
      <c r="BA79" s="224">
        <f t="shared" si="93"/>
        <v>37500</v>
      </c>
      <c r="BB79" s="143"/>
      <c r="BC79" s="224">
        <f t="shared" si="94"/>
        <v>0</v>
      </c>
      <c r="BD79" s="143"/>
      <c r="BE79" s="224">
        <f t="shared" si="95"/>
        <v>0</v>
      </c>
      <c r="BF79" s="143"/>
      <c r="BG79" s="224">
        <f t="shared" si="96"/>
        <v>0</v>
      </c>
      <c r="BH79" s="143"/>
      <c r="BI79" s="224">
        <f t="shared" si="97"/>
        <v>0</v>
      </c>
      <c r="BJ79" s="142">
        <f t="shared" si="109"/>
        <v>33</v>
      </c>
      <c r="BK79" s="224">
        <f t="shared" si="110"/>
        <v>1237500</v>
      </c>
      <c r="BL79" s="158" t="s">
        <v>230</v>
      </c>
      <c r="BM79" s="273"/>
      <c r="BN79" s="117"/>
      <c r="BO79" s="146"/>
      <c r="BP79" s="179">
        <f t="shared" si="106"/>
        <v>1237500</v>
      </c>
      <c r="BQ79" s="146"/>
      <c r="BR79" s="70">
        <f t="shared" si="107"/>
        <v>1237500</v>
      </c>
      <c r="BS79" s="146"/>
      <c r="BT79" s="146"/>
      <c r="BU79" s="70"/>
      <c r="BV79" s="107">
        <f t="shared" si="111"/>
        <v>1237500</v>
      </c>
    </row>
    <row r="80" spans="1:83" s="147" customFormat="1" ht="20.25" customHeight="1">
      <c r="A80" s="596"/>
      <c r="B80" s="30"/>
      <c r="C80" s="93" t="s">
        <v>795</v>
      </c>
      <c r="D80" s="30" t="s">
        <v>76</v>
      </c>
      <c r="E80" s="116">
        <v>50000</v>
      </c>
      <c r="F80" s="111">
        <f t="shared" si="98"/>
        <v>133</v>
      </c>
      <c r="G80" s="117">
        <f t="shared" si="99"/>
        <v>6650000</v>
      </c>
      <c r="H80" s="117">
        <f t="shared" si="100"/>
        <v>665000</v>
      </c>
      <c r="I80" s="117">
        <f t="shared" si="101"/>
        <v>5320000</v>
      </c>
      <c r="J80" s="117"/>
      <c r="K80" s="117"/>
      <c r="L80" s="117"/>
      <c r="M80" s="117"/>
      <c r="N80" s="117"/>
      <c r="O80" s="117"/>
      <c r="P80" s="117">
        <f t="shared" si="108"/>
        <v>665000</v>
      </c>
      <c r="Q80" s="117"/>
      <c r="R80" s="143"/>
      <c r="S80" s="143">
        <f>F80*0.6</f>
        <v>79.8</v>
      </c>
      <c r="T80" s="143">
        <f>F80*0.4</f>
        <v>53.2</v>
      </c>
      <c r="U80" s="143"/>
      <c r="V80" s="110">
        <f>R80*E80</f>
        <v>0</v>
      </c>
      <c r="W80" s="110">
        <f>S80*E80</f>
        <v>3990000</v>
      </c>
      <c r="X80" s="110">
        <f>T80*E80</f>
        <v>2660000</v>
      </c>
      <c r="Y80" s="110">
        <f>U80*E80</f>
        <v>0</v>
      </c>
      <c r="Z80" s="143">
        <v>10</v>
      </c>
      <c r="AA80" s="224">
        <f t="shared" si="80"/>
        <v>500000</v>
      </c>
      <c r="AB80" s="143">
        <v>10</v>
      </c>
      <c r="AC80" s="224">
        <f t="shared" si="81"/>
        <v>500000</v>
      </c>
      <c r="AD80" s="143">
        <v>10</v>
      </c>
      <c r="AE80" s="224">
        <f t="shared" si="82"/>
        <v>500000</v>
      </c>
      <c r="AF80" s="143">
        <v>10</v>
      </c>
      <c r="AG80" s="224">
        <f t="shared" si="83"/>
        <v>500000</v>
      </c>
      <c r="AH80" s="143">
        <v>5</v>
      </c>
      <c r="AI80" s="224">
        <f t="shared" si="84"/>
        <v>250000</v>
      </c>
      <c r="AJ80" s="143">
        <v>5</v>
      </c>
      <c r="AK80" s="224">
        <f t="shared" si="85"/>
        <v>250000</v>
      </c>
      <c r="AL80" s="143">
        <v>10</v>
      </c>
      <c r="AM80" s="224">
        <f t="shared" si="86"/>
        <v>500000</v>
      </c>
      <c r="AN80" s="143">
        <v>5</v>
      </c>
      <c r="AO80" s="224">
        <f t="shared" si="87"/>
        <v>250000</v>
      </c>
      <c r="AP80" s="143">
        <v>10</v>
      </c>
      <c r="AQ80" s="224">
        <f t="shared" si="88"/>
        <v>500000</v>
      </c>
      <c r="AR80" s="143">
        <v>10</v>
      </c>
      <c r="AS80" s="224">
        <f t="shared" si="89"/>
        <v>500000</v>
      </c>
      <c r="AT80" s="143">
        <v>8</v>
      </c>
      <c r="AU80" s="224">
        <f t="shared" si="90"/>
        <v>400000</v>
      </c>
      <c r="AV80" s="143">
        <v>10</v>
      </c>
      <c r="AW80" s="224">
        <f t="shared" si="91"/>
        <v>500000</v>
      </c>
      <c r="AX80" s="49">
        <v>5</v>
      </c>
      <c r="AY80" s="224">
        <f t="shared" si="92"/>
        <v>250000</v>
      </c>
      <c r="AZ80" s="143">
        <v>5</v>
      </c>
      <c r="BA80" s="224">
        <f t="shared" si="93"/>
        <v>250000</v>
      </c>
      <c r="BB80" s="143">
        <v>5</v>
      </c>
      <c r="BC80" s="224">
        <f t="shared" si="94"/>
        <v>250000</v>
      </c>
      <c r="BD80" s="143">
        <v>10</v>
      </c>
      <c r="BE80" s="224">
        <f t="shared" si="95"/>
        <v>500000</v>
      </c>
      <c r="BF80" s="143">
        <v>5</v>
      </c>
      <c r="BG80" s="224">
        <f t="shared" si="96"/>
        <v>250000</v>
      </c>
      <c r="BH80" s="143"/>
      <c r="BI80" s="224">
        <f t="shared" si="97"/>
        <v>0</v>
      </c>
      <c r="BJ80" s="142">
        <f t="shared" si="109"/>
        <v>133</v>
      </c>
      <c r="BK80" s="224">
        <f t="shared" si="110"/>
        <v>6650000</v>
      </c>
      <c r="BL80" s="158" t="s">
        <v>230</v>
      </c>
      <c r="BM80" s="273"/>
      <c r="BN80" s="117"/>
      <c r="BO80" s="146"/>
      <c r="BP80" s="179">
        <f>G80</f>
        <v>6650000</v>
      </c>
      <c r="BQ80" s="146"/>
      <c r="BR80" s="70">
        <f t="shared" ref="BR80:BR86" si="112">BN80+BO80+BP80+BQ80</f>
        <v>6650000</v>
      </c>
      <c r="BS80" s="146"/>
      <c r="BT80" s="146"/>
      <c r="BU80" s="70"/>
      <c r="BV80" s="107">
        <f t="shared" ref="BV80:BV86" si="113">BR80+BU80</f>
        <v>6650000</v>
      </c>
      <c r="BX80" s="145"/>
      <c r="BY80" s="145"/>
      <c r="BZ80" s="145"/>
      <c r="CA80" s="145"/>
      <c r="CB80" s="145"/>
      <c r="CC80" s="145"/>
      <c r="CD80" s="145"/>
      <c r="CE80" s="145"/>
    </row>
    <row r="81" spans="1:74" s="145" customFormat="1" ht="20.25" customHeight="1">
      <c r="A81" s="635"/>
      <c r="B81" s="442"/>
      <c r="C81" s="441" t="s">
        <v>3</v>
      </c>
      <c r="D81" s="442"/>
      <c r="E81" s="443"/>
      <c r="F81" s="445">
        <f t="shared" ref="F81:AK81" si="114">SUM(F65:F80)</f>
        <v>963.5</v>
      </c>
      <c r="G81" s="445">
        <f t="shared" si="114"/>
        <v>43280000</v>
      </c>
      <c r="H81" s="445">
        <f t="shared" si="114"/>
        <v>4328000</v>
      </c>
      <c r="I81" s="445">
        <f t="shared" si="114"/>
        <v>34624000</v>
      </c>
      <c r="J81" s="445">
        <f t="shared" si="114"/>
        <v>0</v>
      </c>
      <c r="K81" s="445">
        <f t="shared" si="114"/>
        <v>0</v>
      </c>
      <c r="L81" s="445">
        <f t="shared" si="114"/>
        <v>0</v>
      </c>
      <c r="M81" s="445">
        <f t="shared" si="114"/>
        <v>0</v>
      </c>
      <c r="N81" s="445">
        <f t="shared" si="114"/>
        <v>0</v>
      </c>
      <c r="O81" s="445">
        <f t="shared" si="114"/>
        <v>0</v>
      </c>
      <c r="P81" s="445">
        <f t="shared" si="114"/>
        <v>4328000</v>
      </c>
      <c r="Q81" s="445">
        <f t="shared" si="114"/>
        <v>0</v>
      </c>
      <c r="R81" s="445">
        <f t="shared" si="114"/>
        <v>15.3</v>
      </c>
      <c r="S81" s="445">
        <f t="shared" si="114"/>
        <v>294.34999999999997</v>
      </c>
      <c r="T81" s="445">
        <f t="shared" si="114"/>
        <v>491.59999999999997</v>
      </c>
      <c r="U81" s="445">
        <f t="shared" si="114"/>
        <v>60.25</v>
      </c>
      <c r="V81" s="445">
        <f t="shared" si="114"/>
        <v>423000</v>
      </c>
      <c r="W81" s="445">
        <f t="shared" si="114"/>
        <v>13121500</v>
      </c>
      <c r="X81" s="445">
        <f t="shared" si="114"/>
        <v>24450500</v>
      </c>
      <c r="Y81" s="445">
        <f t="shared" si="114"/>
        <v>3012500</v>
      </c>
      <c r="Z81" s="445">
        <f t="shared" si="114"/>
        <v>19.5</v>
      </c>
      <c r="AA81" s="445">
        <f t="shared" si="114"/>
        <v>975000</v>
      </c>
      <c r="AB81" s="445">
        <f t="shared" si="114"/>
        <v>46</v>
      </c>
      <c r="AC81" s="445">
        <f t="shared" si="114"/>
        <v>2230000</v>
      </c>
      <c r="AD81" s="445">
        <f t="shared" si="114"/>
        <v>183</v>
      </c>
      <c r="AE81" s="445">
        <f t="shared" si="114"/>
        <v>6687500</v>
      </c>
      <c r="AF81" s="445">
        <f t="shared" si="114"/>
        <v>54</v>
      </c>
      <c r="AG81" s="445">
        <f t="shared" si="114"/>
        <v>2750000</v>
      </c>
      <c r="AH81" s="445">
        <f t="shared" si="114"/>
        <v>55</v>
      </c>
      <c r="AI81" s="445">
        <f t="shared" si="114"/>
        <v>2750000</v>
      </c>
      <c r="AJ81" s="445">
        <f t="shared" si="114"/>
        <v>37</v>
      </c>
      <c r="AK81" s="445">
        <f t="shared" si="114"/>
        <v>1550000</v>
      </c>
      <c r="AL81" s="445">
        <f t="shared" ref="AL81:BK81" si="115">SUM(AL65:AL80)</f>
        <v>95</v>
      </c>
      <c r="AM81" s="445">
        <f t="shared" si="115"/>
        <v>4750000</v>
      </c>
      <c r="AN81" s="445">
        <f t="shared" si="115"/>
        <v>40</v>
      </c>
      <c r="AO81" s="445">
        <f t="shared" si="115"/>
        <v>1965000</v>
      </c>
      <c r="AP81" s="445">
        <f t="shared" si="115"/>
        <v>47</v>
      </c>
      <c r="AQ81" s="445">
        <f t="shared" si="115"/>
        <v>2255000</v>
      </c>
      <c r="AR81" s="445">
        <f t="shared" si="115"/>
        <v>82</v>
      </c>
      <c r="AS81" s="445">
        <f t="shared" si="115"/>
        <v>3750000</v>
      </c>
      <c r="AT81" s="445">
        <f t="shared" si="115"/>
        <v>93</v>
      </c>
      <c r="AU81" s="445">
        <f t="shared" si="115"/>
        <v>4275000</v>
      </c>
      <c r="AV81" s="445">
        <f t="shared" si="115"/>
        <v>36</v>
      </c>
      <c r="AW81" s="445">
        <f t="shared" si="115"/>
        <v>1637500</v>
      </c>
      <c r="AX81" s="445">
        <f t="shared" si="115"/>
        <v>13</v>
      </c>
      <c r="AY81" s="445">
        <f t="shared" si="115"/>
        <v>650000</v>
      </c>
      <c r="AZ81" s="445">
        <f t="shared" si="115"/>
        <v>36</v>
      </c>
      <c r="BA81" s="445">
        <f t="shared" si="115"/>
        <v>1765000</v>
      </c>
      <c r="BB81" s="445">
        <f t="shared" si="115"/>
        <v>45</v>
      </c>
      <c r="BC81" s="445">
        <f t="shared" si="115"/>
        <v>1950000</v>
      </c>
      <c r="BD81" s="445">
        <f t="shared" si="115"/>
        <v>57</v>
      </c>
      <c r="BE81" s="445">
        <f t="shared" si="115"/>
        <v>2275000</v>
      </c>
      <c r="BF81" s="445">
        <f t="shared" si="115"/>
        <v>25</v>
      </c>
      <c r="BG81" s="445">
        <f t="shared" si="115"/>
        <v>1065000</v>
      </c>
      <c r="BH81" s="445">
        <f t="shared" si="115"/>
        <v>0</v>
      </c>
      <c r="BI81" s="445">
        <f t="shared" si="115"/>
        <v>0</v>
      </c>
      <c r="BJ81" s="445">
        <f t="shared" si="115"/>
        <v>963.5</v>
      </c>
      <c r="BK81" s="445">
        <f t="shared" si="115"/>
        <v>43280000</v>
      </c>
      <c r="BL81" s="445"/>
      <c r="BM81" s="445"/>
      <c r="BN81" s="445">
        <f t="shared" ref="BN81:BV81" si="116">SUM(BN65:BN80)</f>
        <v>0</v>
      </c>
      <c r="BO81" s="445">
        <f t="shared" si="116"/>
        <v>0</v>
      </c>
      <c r="BP81" s="445">
        <f t="shared" si="116"/>
        <v>43280000</v>
      </c>
      <c r="BQ81" s="445">
        <f t="shared" si="116"/>
        <v>0</v>
      </c>
      <c r="BR81" s="445">
        <f t="shared" si="116"/>
        <v>43280000</v>
      </c>
      <c r="BS81" s="445">
        <f t="shared" si="116"/>
        <v>0</v>
      </c>
      <c r="BT81" s="445">
        <f t="shared" si="116"/>
        <v>0</v>
      </c>
      <c r="BU81" s="445">
        <f t="shared" si="116"/>
        <v>0</v>
      </c>
      <c r="BV81" s="445">
        <f t="shared" si="116"/>
        <v>43280000</v>
      </c>
    </row>
    <row r="82" spans="1:74" s="145" customFormat="1" ht="35.25" customHeight="1">
      <c r="A82" s="596"/>
      <c r="B82" s="30"/>
      <c r="C82" s="106" t="s">
        <v>383</v>
      </c>
      <c r="D82" s="30"/>
      <c r="E82" s="116"/>
      <c r="F82" s="111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43"/>
      <c r="S82" s="143"/>
      <c r="T82" s="143"/>
      <c r="U82" s="143"/>
      <c r="V82" s="49"/>
      <c r="W82" s="49"/>
      <c r="X82" s="49"/>
      <c r="Y82" s="49"/>
      <c r="Z82" s="143"/>
      <c r="AA82" s="224">
        <f>Z82*E82</f>
        <v>0</v>
      </c>
      <c r="AB82" s="143"/>
      <c r="AC82" s="224">
        <f>AB82*E82</f>
        <v>0</v>
      </c>
      <c r="AD82" s="143"/>
      <c r="AE82" s="224">
        <f>AD82*E82</f>
        <v>0</v>
      </c>
      <c r="AF82" s="143"/>
      <c r="AG82" s="224">
        <f>AF82*E82</f>
        <v>0</v>
      </c>
      <c r="AH82" s="143"/>
      <c r="AI82" s="224">
        <f>AH82*E82</f>
        <v>0</v>
      </c>
      <c r="AJ82" s="143"/>
      <c r="AK82" s="224">
        <f>AJ82*E82</f>
        <v>0</v>
      </c>
      <c r="AL82" s="143"/>
      <c r="AM82" s="224">
        <f>AL82*E82</f>
        <v>0</v>
      </c>
      <c r="AN82" s="143"/>
      <c r="AO82" s="224">
        <f>AN82*E82</f>
        <v>0</v>
      </c>
      <c r="AP82" s="143"/>
      <c r="AQ82" s="224">
        <f>AP82*E82</f>
        <v>0</v>
      </c>
      <c r="AR82" s="143"/>
      <c r="AS82" s="224">
        <f>AR82*E82</f>
        <v>0</v>
      </c>
      <c r="AT82" s="143"/>
      <c r="AU82" s="224">
        <f>AT82*E82</f>
        <v>0</v>
      </c>
      <c r="AV82" s="143"/>
      <c r="AW82" s="224">
        <f>AV82*E82</f>
        <v>0</v>
      </c>
      <c r="AX82" s="49"/>
      <c r="AY82" s="224">
        <f>AX82*E82</f>
        <v>0</v>
      </c>
      <c r="AZ82" s="143"/>
      <c r="BA82" s="224">
        <f>AZ82*E82</f>
        <v>0</v>
      </c>
      <c r="BB82" s="143"/>
      <c r="BC82" s="224">
        <f>BB82*E82</f>
        <v>0</v>
      </c>
      <c r="BD82" s="148"/>
      <c r="BE82" s="224">
        <f>BD82*E82</f>
        <v>0</v>
      </c>
      <c r="BF82" s="143"/>
      <c r="BG82" s="224">
        <f>BF82*E82</f>
        <v>0</v>
      </c>
      <c r="BH82" s="143"/>
      <c r="BI82" s="224">
        <f>BH82*E82</f>
        <v>0</v>
      </c>
      <c r="BJ82" s="142">
        <f t="shared" si="109"/>
        <v>0</v>
      </c>
      <c r="BK82" s="224"/>
      <c r="BL82" s="158"/>
      <c r="BM82" s="273"/>
      <c r="BN82" s="117"/>
      <c r="BO82" s="146"/>
      <c r="BP82" s="146"/>
      <c r="BQ82" s="146"/>
      <c r="BR82" s="70"/>
      <c r="BS82" s="146"/>
      <c r="BT82" s="146"/>
      <c r="BU82" s="70"/>
      <c r="BV82" s="107"/>
    </row>
    <row r="83" spans="1:74" s="145" customFormat="1" ht="20.25" customHeight="1">
      <c r="A83" s="596"/>
      <c r="B83" s="30"/>
      <c r="C83" s="30" t="s">
        <v>365</v>
      </c>
      <c r="D83" s="30" t="s">
        <v>76</v>
      </c>
      <c r="E83" s="116">
        <v>150000</v>
      </c>
      <c r="F83" s="111">
        <f>BJ83</f>
        <v>11</v>
      </c>
      <c r="G83" s="117">
        <f>F83*E83</f>
        <v>1650000</v>
      </c>
      <c r="H83" s="117">
        <f>G83*0.1</f>
        <v>165000</v>
      </c>
      <c r="I83" s="117">
        <f>G83*0.8</f>
        <v>1320000</v>
      </c>
      <c r="J83" s="117"/>
      <c r="K83" s="117"/>
      <c r="L83" s="117"/>
      <c r="M83" s="117"/>
      <c r="N83" s="117"/>
      <c r="O83" s="117"/>
      <c r="P83" s="117">
        <f>G83*0.1</f>
        <v>165000</v>
      </c>
      <c r="Q83" s="117"/>
      <c r="R83" s="143"/>
      <c r="S83" s="143"/>
      <c r="T83" s="143">
        <f>F83*1</f>
        <v>11</v>
      </c>
      <c r="U83" s="143"/>
      <c r="V83" s="110">
        <f>R83*E83</f>
        <v>0</v>
      </c>
      <c r="W83" s="110">
        <f>S83*E83</f>
        <v>0</v>
      </c>
      <c r="X83" s="110">
        <f>T83*E83</f>
        <v>1650000</v>
      </c>
      <c r="Y83" s="110">
        <f>U83*E83</f>
        <v>0</v>
      </c>
      <c r="Z83" s="143"/>
      <c r="AA83" s="224">
        <f>Z83*E83</f>
        <v>0</v>
      </c>
      <c r="AB83" s="143"/>
      <c r="AC83" s="224">
        <f>AB83*E83</f>
        <v>0</v>
      </c>
      <c r="AD83" s="143"/>
      <c r="AE83" s="224">
        <f>AD83*E83</f>
        <v>0</v>
      </c>
      <c r="AF83" s="143">
        <v>2</v>
      </c>
      <c r="AG83" s="224">
        <f>AF83*E83</f>
        <v>300000</v>
      </c>
      <c r="AH83" s="143">
        <v>2</v>
      </c>
      <c r="AI83" s="224">
        <f>AH83*E83</f>
        <v>300000</v>
      </c>
      <c r="AJ83" s="143">
        <v>0</v>
      </c>
      <c r="AK83" s="224">
        <f>AJ83*E83</f>
        <v>0</v>
      </c>
      <c r="AL83" s="143">
        <v>0</v>
      </c>
      <c r="AM83" s="224">
        <f>AL83*E83</f>
        <v>0</v>
      </c>
      <c r="AN83" s="143">
        <v>2</v>
      </c>
      <c r="AO83" s="224">
        <f>AN83*E83</f>
        <v>300000</v>
      </c>
      <c r="AP83" s="143"/>
      <c r="AQ83" s="224">
        <f>AP83*E83</f>
        <v>0</v>
      </c>
      <c r="AR83" s="143">
        <v>5</v>
      </c>
      <c r="AS83" s="224">
        <f>AR83*E83</f>
        <v>750000</v>
      </c>
      <c r="AT83" s="143">
        <v>0</v>
      </c>
      <c r="AU83" s="224">
        <f>AT83*E83</f>
        <v>0</v>
      </c>
      <c r="AV83" s="143"/>
      <c r="AW83" s="224">
        <f>AV83*E83</f>
        <v>0</v>
      </c>
      <c r="AX83" s="49">
        <v>0</v>
      </c>
      <c r="AY83" s="224">
        <f>AX83*E83</f>
        <v>0</v>
      </c>
      <c r="AZ83" s="143"/>
      <c r="BA83" s="224">
        <f>AZ83*E83</f>
        <v>0</v>
      </c>
      <c r="BB83" s="143">
        <v>0</v>
      </c>
      <c r="BC83" s="224">
        <f>BB83*E83</f>
        <v>0</v>
      </c>
      <c r="BD83" s="148"/>
      <c r="BE83" s="224">
        <f>BD83*E83</f>
        <v>0</v>
      </c>
      <c r="BF83" s="143">
        <v>0</v>
      </c>
      <c r="BG83" s="224">
        <f>BF83*E83</f>
        <v>0</v>
      </c>
      <c r="BH83" s="143"/>
      <c r="BI83" s="224">
        <f>BH83*E83</f>
        <v>0</v>
      </c>
      <c r="BJ83" s="142">
        <f t="shared" si="109"/>
        <v>11</v>
      </c>
      <c r="BK83" s="224">
        <f t="shared" si="110"/>
        <v>1650000</v>
      </c>
      <c r="BL83" s="158" t="s">
        <v>230</v>
      </c>
      <c r="BM83" s="273"/>
      <c r="BN83" s="117"/>
      <c r="BO83" s="146"/>
      <c r="BP83" s="179">
        <f>G83</f>
        <v>1650000</v>
      </c>
      <c r="BQ83" s="146"/>
      <c r="BR83" s="70">
        <f t="shared" si="112"/>
        <v>1650000</v>
      </c>
      <c r="BS83" s="146"/>
      <c r="BT83" s="146"/>
      <c r="BU83" s="70"/>
      <c r="BV83" s="107">
        <f t="shared" si="113"/>
        <v>1650000</v>
      </c>
    </row>
    <row r="84" spans="1:74" s="145" customFormat="1" ht="20.25" customHeight="1">
      <c r="A84" s="596"/>
      <c r="B84" s="93"/>
      <c r="C84" s="77" t="s">
        <v>353</v>
      </c>
      <c r="D84" s="93" t="s">
        <v>14</v>
      </c>
      <c r="E84" s="118">
        <v>30000</v>
      </c>
      <c r="F84" s="111">
        <f>BJ84</f>
        <v>97</v>
      </c>
      <c r="G84" s="117">
        <f>F84*E84</f>
        <v>2910000</v>
      </c>
      <c r="H84" s="123">
        <f>G84*0.1</f>
        <v>291000</v>
      </c>
      <c r="I84" s="123">
        <f>G84*0.8</f>
        <v>2328000</v>
      </c>
      <c r="J84" s="123"/>
      <c r="K84" s="123"/>
      <c r="L84" s="123"/>
      <c r="M84" s="123"/>
      <c r="N84" s="123"/>
      <c r="O84" s="123"/>
      <c r="P84" s="123">
        <f>G84*0.1</f>
        <v>291000</v>
      </c>
      <c r="Q84" s="117"/>
      <c r="R84" s="148"/>
      <c r="S84" s="148">
        <f>F84*0.6</f>
        <v>58.199999999999996</v>
      </c>
      <c r="T84" s="148">
        <f>F84*0.2</f>
        <v>19.400000000000002</v>
      </c>
      <c r="U84" s="148">
        <f>F84*0.2</f>
        <v>19.400000000000002</v>
      </c>
      <c r="V84" s="110">
        <f>R84*E84</f>
        <v>0</v>
      </c>
      <c r="W84" s="110">
        <f>S84*E84</f>
        <v>1745999.9999999998</v>
      </c>
      <c r="X84" s="110">
        <f>T84*E84</f>
        <v>582000.00000000012</v>
      </c>
      <c r="Y84" s="110">
        <f>U84*E84</f>
        <v>582000.00000000012</v>
      </c>
      <c r="Z84" s="148">
        <v>10</v>
      </c>
      <c r="AA84" s="224">
        <f>Z84*E84</f>
        <v>300000</v>
      </c>
      <c r="AB84" s="148">
        <v>10</v>
      </c>
      <c r="AC84" s="224">
        <f>AB84*E84</f>
        <v>300000</v>
      </c>
      <c r="AD84" s="148">
        <v>10</v>
      </c>
      <c r="AE84" s="224">
        <f>AD84*E84</f>
        <v>300000</v>
      </c>
      <c r="AF84" s="148">
        <v>10</v>
      </c>
      <c r="AG84" s="224">
        <f>AF84*E84</f>
        <v>300000</v>
      </c>
      <c r="AH84" s="148">
        <v>0</v>
      </c>
      <c r="AI84" s="224">
        <f>AH84*E84</f>
        <v>0</v>
      </c>
      <c r="AJ84" s="148">
        <v>4</v>
      </c>
      <c r="AK84" s="224">
        <f>AJ84*E84</f>
        <v>120000</v>
      </c>
      <c r="AL84" s="148">
        <v>0</v>
      </c>
      <c r="AM84" s="224">
        <f>AL84*E84</f>
        <v>0</v>
      </c>
      <c r="AN84" s="148">
        <v>10</v>
      </c>
      <c r="AO84" s="224">
        <f>AN84*E84</f>
        <v>300000</v>
      </c>
      <c r="AP84" s="148">
        <v>8</v>
      </c>
      <c r="AQ84" s="224">
        <f>AP84*E84</f>
        <v>240000</v>
      </c>
      <c r="AR84" s="148">
        <v>10</v>
      </c>
      <c r="AS84" s="224">
        <f>AR84*E84</f>
        <v>300000</v>
      </c>
      <c r="AT84" s="148">
        <v>0</v>
      </c>
      <c r="AU84" s="224">
        <f>AT84*E84</f>
        <v>0</v>
      </c>
      <c r="AV84" s="148">
        <v>5</v>
      </c>
      <c r="AW84" s="224">
        <f>AV84*E84</f>
        <v>150000</v>
      </c>
      <c r="AX84" s="49">
        <v>0</v>
      </c>
      <c r="AY84" s="224">
        <f>AX84*E84</f>
        <v>0</v>
      </c>
      <c r="AZ84" s="148">
        <v>5</v>
      </c>
      <c r="BA84" s="224">
        <f>AZ84*E84</f>
        <v>150000</v>
      </c>
      <c r="BB84" s="148">
        <v>0</v>
      </c>
      <c r="BC84" s="224">
        <f>BB84*E84</f>
        <v>0</v>
      </c>
      <c r="BD84" s="148">
        <v>10</v>
      </c>
      <c r="BE84" s="224">
        <f>BD84*E84</f>
        <v>300000</v>
      </c>
      <c r="BF84" s="148">
        <v>5</v>
      </c>
      <c r="BG84" s="224">
        <f>BF84*E84</f>
        <v>150000</v>
      </c>
      <c r="BH84" s="148"/>
      <c r="BI84" s="224">
        <f>BH84*E84</f>
        <v>0</v>
      </c>
      <c r="BJ84" s="142">
        <f t="shared" si="109"/>
        <v>97</v>
      </c>
      <c r="BK84" s="224">
        <f t="shared" si="110"/>
        <v>2910000</v>
      </c>
      <c r="BL84" s="158" t="s">
        <v>230</v>
      </c>
      <c r="BM84" s="273"/>
      <c r="BN84" s="117"/>
      <c r="BO84" s="146"/>
      <c r="BP84" s="179">
        <f>G84</f>
        <v>2910000</v>
      </c>
      <c r="BQ84" s="146"/>
      <c r="BR84" s="70">
        <f t="shared" si="112"/>
        <v>2910000</v>
      </c>
      <c r="BS84" s="146"/>
      <c r="BT84" s="146"/>
      <c r="BU84" s="70"/>
      <c r="BV84" s="107">
        <f t="shared" si="113"/>
        <v>2910000</v>
      </c>
    </row>
    <row r="85" spans="1:74" s="145" customFormat="1" ht="20.25" customHeight="1">
      <c r="A85" s="596"/>
      <c r="B85" s="93"/>
      <c r="C85" s="77" t="s">
        <v>793</v>
      </c>
      <c r="D85" s="93" t="s">
        <v>76</v>
      </c>
      <c r="E85" s="118">
        <v>100000</v>
      </c>
      <c r="F85" s="111">
        <f>BJ85</f>
        <v>10</v>
      </c>
      <c r="G85" s="117">
        <f>F85*E85</f>
        <v>1000000</v>
      </c>
      <c r="H85" s="123">
        <f>G85*0.1</f>
        <v>100000</v>
      </c>
      <c r="I85" s="123">
        <f>G85*0.8</f>
        <v>800000</v>
      </c>
      <c r="J85" s="123"/>
      <c r="K85" s="123"/>
      <c r="L85" s="123"/>
      <c r="M85" s="123"/>
      <c r="N85" s="123"/>
      <c r="O85" s="123"/>
      <c r="P85" s="123">
        <f>G85*0.1</f>
        <v>100000</v>
      </c>
      <c r="Q85" s="117"/>
      <c r="R85" s="148"/>
      <c r="S85" s="148">
        <f>F85*0.6</f>
        <v>6</v>
      </c>
      <c r="T85" s="148">
        <f>F85*0.2</f>
        <v>2</v>
      </c>
      <c r="U85" s="148">
        <f>F85*0.2</f>
        <v>2</v>
      </c>
      <c r="V85" s="110">
        <f>R85*E85</f>
        <v>0</v>
      </c>
      <c r="W85" s="110">
        <f>S85*E85</f>
        <v>600000</v>
      </c>
      <c r="X85" s="110">
        <f>T85*E85</f>
        <v>200000</v>
      </c>
      <c r="Y85" s="110">
        <f>U85*E85</f>
        <v>200000</v>
      </c>
      <c r="Z85" s="148"/>
      <c r="AA85" s="224"/>
      <c r="AB85" s="148"/>
      <c r="AC85" s="224"/>
      <c r="AD85" s="148"/>
      <c r="AE85" s="224"/>
      <c r="AF85" s="148"/>
      <c r="AG85" s="224"/>
      <c r="AH85" s="148"/>
      <c r="AI85" s="224"/>
      <c r="AJ85" s="148"/>
      <c r="AK85" s="224"/>
      <c r="AL85" s="148"/>
      <c r="AM85" s="224"/>
      <c r="AN85" s="148"/>
      <c r="AO85" s="224"/>
      <c r="AP85" s="148"/>
      <c r="AQ85" s="224"/>
      <c r="AR85" s="148"/>
      <c r="AS85" s="224"/>
      <c r="AT85" s="148"/>
      <c r="AU85" s="224"/>
      <c r="AV85" s="148"/>
      <c r="AW85" s="224"/>
      <c r="AX85" s="49"/>
      <c r="AY85" s="224"/>
      <c r="AZ85" s="148"/>
      <c r="BA85" s="224"/>
      <c r="BB85" s="148">
        <v>10</v>
      </c>
      <c r="BC85" s="224">
        <f>BB85*E85</f>
        <v>1000000</v>
      </c>
      <c r="BD85" s="148"/>
      <c r="BE85" s="224"/>
      <c r="BF85" s="148"/>
      <c r="BG85" s="224"/>
      <c r="BH85" s="148"/>
      <c r="BI85" s="224">
        <f>BH85*E85</f>
        <v>0</v>
      </c>
      <c r="BJ85" s="142">
        <f>BH85+BF85+BD85+BB85+AZ85+AX85+AV85+AT85+AR85+AP85+AN85+AL85+AJ85+AH85+AF85+AD85+AB85+Z85</f>
        <v>10</v>
      </c>
      <c r="BK85" s="224">
        <f>BJ85*E85</f>
        <v>1000000</v>
      </c>
      <c r="BL85" s="158" t="s">
        <v>230</v>
      </c>
      <c r="BM85" s="273"/>
      <c r="BN85" s="117"/>
      <c r="BO85" s="146"/>
      <c r="BP85" s="179">
        <f>G85</f>
        <v>1000000</v>
      </c>
      <c r="BQ85" s="146"/>
      <c r="BR85" s="70">
        <f t="shared" si="112"/>
        <v>1000000</v>
      </c>
      <c r="BS85" s="146"/>
      <c r="BT85" s="146"/>
      <c r="BU85" s="70"/>
      <c r="BV85" s="107">
        <f t="shared" si="113"/>
        <v>1000000</v>
      </c>
    </row>
    <row r="86" spans="1:74" s="240" customFormat="1">
      <c r="A86" s="635"/>
      <c r="B86" s="442"/>
      <c r="C86" s="446" t="s">
        <v>697</v>
      </c>
      <c r="D86" s="463" t="s">
        <v>121</v>
      </c>
      <c r="E86" s="682"/>
      <c r="F86" s="445">
        <f t="shared" ref="F86:AK86" si="117">SUM(F83:F85)</f>
        <v>118</v>
      </c>
      <c r="G86" s="445">
        <f t="shared" si="117"/>
        <v>5560000</v>
      </c>
      <c r="H86" s="445">
        <f t="shared" si="117"/>
        <v>556000</v>
      </c>
      <c r="I86" s="445">
        <f t="shared" si="117"/>
        <v>4448000</v>
      </c>
      <c r="J86" s="445">
        <f t="shared" si="117"/>
        <v>0</v>
      </c>
      <c r="K86" s="445">
        <f t="shared" si="117"/>
        <v>0</v>
      </c>
      <c r="L86" s="445">
        <f t="shared" si="117"/>
        <v>0</v>
      </c>
      <c r="M86" s="445">
        <f t="shared" si="117"/>
        <v>0</v>
      </c>
      <c r="N86" s="445">
        <f t="shared" si="117"/>
        <v>0</v>
      </c>
      <c r="O86" s="445">
        <f t="shared" si="117"/>
        <v>0</v>
      </c>
      <c r="P86" s="445">
        <f t="shared" si="117"/>
        <v>556000</v>
      </c>
      <c r="Q86" s="445">
        <f t="shared" si="117"/>
        <v>0</v>
      </c>
      <c r="R86" s="445">
        <f t="shared" si="117"/>
        <v>0</v>
      </c>
      <c r="S86" s="445">
        <f t="shared" si="117"/>
        <v>64.199999999999989</v>
      </c>
      <c r="T86" s="445">
        <f t="shared" si="117"/>
        <v>32.400000000000006</v>
      </c>
      <c r="U86" s="445">
        <f t="shared" si="117"/>
        <v>21.400000000000002</v>
      </c>
      <c r="V86" s="445">
        <f t="shared" si="117"/>
        <v>0</v>
      </c>
      <c r="W86" s="445">
        <f t="shared" si="117"/>
        <v>2346000</v>
      </c>
      <c r="X86" s="445">
        <f t="shared" si="117"/>
        <v>2432000</v>
      </c>
      <c r="Y86" s="445">
        <f t="shared" si="117"/>
        <v>782000.00000000012</v>
      </c>
      <c r="Z86" s="445">
        <f t="shared" si="117"/>
        <v>10</v>
      </c>
      <c r="AA86" s="445">
        <f t="shared" si="117"/>
        <v>300000</v>
      </c>
      <c r="AB86" s="445">
        <f t="shared" si="117"/>
        <v>10</v>
      </c>
      <c r="AC86" s="445">
        <f t="shared" si="117"/>
        <v>300000</v>
      </c>
      <c r="AD86" s="445">
        <f t="shared" si="117"/>
        <v>10</v>
      </c>
      <c r="AE86" s="445">
        <f t="shared" si="117"/>
        <v>300000</v>
      </c>
      <c r="AF86" s="445">
        <f t="shared" si="117"/>
        <v>12</v>
      </c>
      <c r="AG86" s="445">
        <f t="shared" si="117"/>
        <v>600000</v>
      </c>
      <c r="AH86" s="445">
        <f t="shared" si="117"/>
        <v>2</v>
      </c>
      <c r="AI86" s="445">
        <f t="shared" si="117"/>
        <v>300000</v>
      </c>
      <c r="AJ86" s="445">
        <f t="shared" si="117"/>
        <v>4</v>
      </c>
      <c r="AK86" s="445">
        <f t="shared" si="117"/>
        <v>120000</v>
      </c>
      <c r="AL86" s="445">
        <f t="shared" ref="AL86:BK86" si="118">SUM(AL83:AL85)</f>
        <v>0</v>
      </c>
      <c r="AM86" s="445">
        <f t="shared" si="118"/>
        <v>0</v>
      </c>
      <c r="AN86" s="445">
        <f t="shared" si="118"/>
        <v>12</v>
      </c>
      <c r="AO86" s="445">
        <f t="shared" si="118"/>
        <v>600000</v>
      </c>
      <c r="AP86" s="445">
        <f t="shared" si="118"/>
        <v>8</v>
      </c>
      <c r="AQ86" s="445">
        <f t="shared" si="118"/>
        <v>240000</v>
      </c>
      <c r="AR86" s="445">
        <f t="shared" si="118"/>
        <v>15</v>
      </c>
      <c r="AS86" s="445">
        <f t="shared" si="118"/>
        <v>1050000</v>
      </c>
      <c r="AT86" s="445">
        <f t="shared" si="118"/>
        <v>0</v>
      </c>
      <c r="AU86" s="445">
        <f t="shared" si="118"/>
        <v>0</v>
      </c>
      <c r="AV86" s="445">
        <f t="shared" si="118"/>
        <v>5</v>
      </c>
      <c r="AW86" s="445">
        <f t="shared" si="118"/>
        <v>150000</v>
      </c>
      <c r="AX86" s="445">
        <f t="shared" si="118"/>
        <v>0</v>
      </c>
      <c r="AY86" s="445">
        <f t="shared" si="118"/>
        <v>0</v>
      </c>
      <c r="AZ86" s="445">
        <f t="shared" si="118"/>
        <v>5</v>
      </c>
      <c r="BA86" s="445">
        <f t="shared" si="118"/>
        <v>150000</v>
      </c>
      <c r="BB86" s="445">
        <f t="shared" si="118"/>
        <v>10</v>
      </c>
      <c r="BC86" s="445">
        <f t="shared" si="118"/>
        <v>1000000</v>
      </c>
      <c r="BD86" s="445">
        <f t="shared" si="118"/>
        <v>10</v>
      </c>
      <c r="BE86" s="445">
        <f t="shared" si="118"/>
        <v>300000</v>
      </c>
      <c r="BF86" s="445">
        <f t="shared" si="118"/>
        <v>5</v>
      </c>
      <c r="BG86" s="445">
        <f t="shared" si="118"/>
        <v>150000</v>
      </c>
      <c r="BH86" s="445">
        <f t="shared" si="118"/>
        <v>0</v>
      </c>
      <c r="BI86" s="445">
        <f t="shared" si="118"/>
        <v>0</v>
      </c>
      <c r="BJ86" s="445">
        <f t="shared" si="118"/>
        <v>118</v>
      </c>
      <c r="BK86" s="445">
        <f t="shared" si="118"/>
        <v>5560000</v>
      </c>
      <c r="BL86" s="463" t="s">
        <v>121</v>
      </c>
      <c r="BM86" s="470"/>
      <c r="BN86" s="683">
        <f>G86</f>
        <v>5560000</v>
      </c>
      <c r="BO86" s="344"/>
      <c r="BP86" s="344"/>
      <c r="BQ86" s="344"/>
      <c r="BR86" s="344">
        <f t="shared" si="112"/>
        <v>5560000</v>
      </c>
      <c r="BS86" s="344"/>
      <c r="BT86" s="344"/>
      <c r="BU86" s="344"/>
      <c r="BV86" s="471">
        <f t="shared" si="113"/>
        <v>5560000</v>
      </c>
    </row>
    <row r="87" spans="1:74" s="149" customFormat="1">
      <c r="A87" s="433"/>
      <c r="B87" s="185"/>
      <c r="C87" s="447" t="s">
        <v>707</v>
      </c>
      <c r="D87" s="448" t="s">
        <v>121</v>
      </c>
      <c r="E87" s="449" t="s">
        <v>121</v>
      </c>
      <c r="F87" s="451">
        <f t="shared" ref="F87:AK87" si="119">F86+F81+F63+F39+F33</f>
        <v>11900.9</v>
      </c>
      <c r="G87" s="451">
        <f t="shared" si="119"/>
        <v>346021900</v>
      </c>
      <c r="H87" s="451">
        <f t="shared" si="119"/>
        <v>28109690</v>
      </c>
      <c r="I87" s="451">
        <f t="shared" si="119"/>
        <v>188877520</v>
      </c>
      <c r="J87" s="451">
        <f t="shared" si="119"/>
        <v>0</v>
      </c>
      <c r="K87" s="451">
        <f t="shared" si="119"/>
        <v>0</v>
      </c>
      <c r="L87" s="451">
        <f t="shared" si="119"/>
        <v>109925000</v>
      </c>
      <c r="M87" s="451">
        <f t="shared" si="119"/>
        <v>0</v>
      </c>
      <c r="N87" s="451">
        <f t="shared" si="119"/>
        <v>0</v>
      </c>
      <c r="O87" s="451">
        <f t="shared" si="119"/>
        <v>0</v>
      </c>
      <c r="P87" s="451">
        <f t="shared" si="119"/>
        <v>19109690</v>
      </c>
      <c r="Q87" s="451">
        <f t="shared" si="119"/>
        <v>0</v>
      </c>
      <c r="R87" s="451">
        <f t="shared" si="119"/>
        <v>1596.1999999999998</v>
      </c>
      <c r="S87" s="451">
        <f t="shared" si="119"/>
        <v>4476.5</v>
      </c>
      <c r="T87" s="451">
        <f t="shared" si="119"/>
        <v>3407.3</v>
      </c>
      <c r="U87" s="451">
        <f t="shared" si="119"/>
        <v>478.9</v>
      </c>
      <c r="V87" s="451">
        <f t="shared" si="119"/>
        <v>50356430</v>
      </c>
      <c r="W87" s="451">
        <f t="shared" si="119"/>
        <v>63983590</v>
      </c>
      <c r="X87" s="451">
        <f t="shared" si="119"/>
        <v>110083880</v>
      </c>
      <c r="Y87" s="451">
        <f t="shared" si="119"/>
        <v>16794500</v>
      </c>
      <c r="Z87" s="451">
        <f t="shared" si="119"/>
        <v>864.5</v>
      </c>
      <c r="AA87" s="451">
        <f t="shared" si="119"/>
        <v>26808000</v>
      </c>
      <c r="AB87" s="451">
        <f t="shared" si="119"/>
        <v>479</v>
      </c>
      <c r="AC87" s="451">
        <f t="shared" si="119"/>
        <v>13628800</v>
      </c>
      <c r="AD87" s="451">
        <f t="shared" si="119"/>
        <v>1473</v>
      </c>
      <c r="AE87" s="451">
        <f t="shared" si="119"/>
        <v>31714100</v>
      </c>
      <c r="AF87" s="451">
        <f t="shared" si="119"/>
        <v>911</v>
      </c>
      <c r="AG87" s="451">
        <f t="shared" si="119"/>
        <v>24075100</v>
      </c>
      <c r="AH87" s="451">
        <f t="shared" si="119"/>
        <v>875</v>
      </c>
      <c r="AI87" s="451">
        <f t="shared" si="119"/>
        <v>15981300</v>
      </c>
      <c r="AJ87" s="451">
        <f t="shared" si="119"/>
        <v>852</v>
      </c>
      <c r="AK87" s="451">
        <f t="shared" si="119"/>
        <v>17504100</v>
      </c>
      <c r="AL87" s="451">
        <f t="shared" ref="AL87:BK87" si="120">AL86+AL81+AL63+AL39+AL33</f>
        <v>658.4</v>
      </c>
      <c r="AM87" s="451">
        <f t="shared" si="120"/>
        <v>17102900</v>
      </c>
      <c r="AN87" s="451">
        <f t="shared" si="120"/>
        <v>434</v>
      </c>
      <c r="AO87" s="451">
        <f t="shared" si="120"/>
        <v>16987500</v>
      </c>
      <c r="AP87" s="451">
        <f t="shared" si="120"/>
        <v>283</v>
      </c>
      <c r="AQ87" s="451">
        <f t="shared" si="120"/>
        <v>8891500</v>
      </c>
      <c r="AR87" s="451">
        <f t="shared" si="120"/>
        <v>687</v>
      </c>
      <c r="AS87" s="451">
        <f t="shared" si="120"/>
        <v>20626000</v>
      </c>
      <c r="AT87" s="451">
        <f t="shared" si="120"/>
        <v>607</v>
      </c>
      <c r="AU87" s="451">
        <f t="shared" si="120"/>
        <v>23749500</v>
      </c>
      <c r="AV87" s="451">
        <f t="shared" si="120"/>
        <v>529</v>
      </c>
      <c r="AW87" s="451">
        <f t="shared" si="120"/>
        <v>20801900</v>
      </c>
      <c r="AX87" s="451">
        <f t="shared" si="120"/>
        <v>567</v>
      </c>
      <c r="AY87" s="451">
        <f t="shared" si="120"/>
        <v>22649500</v>
      </c>
      <c r="AZ87" s="451">
        <f t="shared" si="120"/>
        <v>597</v>
      </c>
      <c r="BA87" s="451">
        <f t="shared" si="120"/>
        <v>17874300</v>
      </c>
      <c r="BB87" s="451">
        <f t="shared" si="120"/>
        <v>844</v>
      </c>
      <c r="BC87" s="451">
        <f t="shared" si="120"/>
        <v>22566500</v>
      </c>
      <c r="BD87" s="451">
        <f t="shared" si="120"/>
        <v>741</v>
      </c>
      <c r="BE87" s="451">
        <f t="shared" si="120"/>
        <v>21581400</v>
      </c>
      <c r="BF87" s="451">
        <f t="shared" si="120"/>
        <v>498</v>
      </c>
      <c r="BG87" s="451">
        <f t="shared" si="120"/>
        <v>22979500</v>
      </c>
      <c r="BH87" s="451">
        <f t="shared" si="120"/>
        <v>1</v>
      </c>
      <c r="BI87" s="451">
        <f t="shared" si="120"/>
        <v>500000</v>
      </c>
      <c r="BJ87" s="451">
        <f t="shared" si="120"/>
        <v>11900.9</v>
      </c>
      <c r="BK87" s="451">
        <f t="shared" si="120"/>
        <v>346021900</v>
      </c>
      <c r="BL87" s="451"/>
      <c r="BM87" s="451"/>
      <c r="BN87" s="451">
        <f t="shared" ref="BN87:BV87" si="121">BN86+BN81+BN63+BN39+BN33</f>
        <v>50060000</v>
      </c>
      <c r="BO87" s="451">
        <f t="shared" si="121"/>
        <v>500000</v>
      </c>
      <c r="BP87" s="451">
        <f t="shared" si="121"/>
        <v>212236900</v>
      </c>
      <c r="BQ87" s="451">
        <f t="shared" si="121"/>
        <v>0</v>
      </c>
      <c r="BR87" s="451">
        <f t="shared" si="121"/>
        <v>262796900</v>
      </c>
      <c r="BS87" s="451">
        <f t="shared" si="121"/>
        <v>6120000</v>
      </c>
      <c r="BT87" s="451">
        <f t="shared" si="121"/>
        <v>77105000</v>
      </c>
      <c r="BU87" s="451">
        <f t="shared" si="121"/>
        <v>83225000</v>
      </c>
      <c r="BV87" s="451">
        <f t="shared" si="121"/>
        <v>346021900</v>
      </c>
    </row>
    <row r="88" spans="1:74" s="59" customFormat="1" ht="31.5">
      <c r="A88" s="434"/>
      <c r="B88" s="335"/>
      <c r="C88" s="698" t="s">
        <v>591</v>
      </c>
      <c r="D88" s="448" t="s">
        <v>82</v>
      </c>
      <c r="E88" s="449" t="s">
        <v>441</v>
      </c>
      <c r="F88" s="452">
        <f>BJ88</f>
        <v>89</v>
      </c>
      <c r="G88" s="450">
        <f>F88*E88</f>
        <v>890000</v>
      </c>
      <c r="H88" s="453">
        <f>0.2*G88</f>
        <v>178000</v>
      </c>
      <c r="I88" s="454">
        <f>0.8*G88</f>
        <v>712000</v>
      </c>
      <c r="J88" s="454"/>
      <c r="K88" s="454"/>
      <c r="L88" s="454"/>
      <c r="M88" s="454"/>
      <c r="N88" s="454"/>
      <c r="O88" s="455"/>
      <c r="P88" s="455"/>
      <c r="Q88" s="455"/>
      <c r="R88" s="456"/>
      <c r="S88" s="456"/>
      <c r="T88" s="456"/>
      <c r="U88" s="456"/>
      <c r="V88" s="457"/>
      <c r="W88" s="457"/>
      <c r="X88" s="457"/>
      <c r="Y88" s="457"/>
      <c r="Z88" s="458">
        <v>3</v>
      </c>
      <c r="AA88" s="457">
        <f>Z88*E88</f>
        <v>30000</v>
      </c>
      <c r="AB88" s="458">
        <v>3</v>
      </c>
      <c r="AC88" s="457">
        <f>AB88*E88</f>
        <v>30000</v>
      </c>
      <c r="AD88" s="458">
        <v>4</v>
      </c>
      <c r="AE88" s="457">
        <f>AD88*E88</f>
        <v>40000</v>
      </c>
      <c r="AF88" s="458">
        <v>5</v>
      </c>
      <c r="AG88" s="457">
        <f>AF88*E88</f>
        <v>50000</v>
      </c>
      <c r="AH88" s="458">
        <v>2</v>
      </c>
      <c r="AI88" s="457">
        <f>AH88*E88</f>
        <v>20000</v>
      </c>
      <c r="AJ88" s="459">
        <v>4</v>
      </c>
      <c r="AK88" s="457">
        <f>AJ88*E88</f>
        <v>40000</v>
      </c>
      <c r="AL88" s="458">
        <v>5</v>
      </c>
      <c r="AM88" s="457">
        <f>AL88*E88</f>
        <v>50000</v>
      </c>
      <c r="AN88" s="459">
        <v>8</v>
      </c>
      <c r="AO88" s="457">
        <f>AN88*E88</f>
        <v>80000</v>
      </c>
      <c r="AP88" s="458">
        <v>2</v>
      </c>
      <c r="AQ88" s="457">
        <f>AP88*E88</f>
        <v>20000</v>
      </c>
      <c r="AR88" s="458">
        <v>3</v>
      </c>
      <c r="AS88" s="457">
        <f>AR88*E88</f>
        <v>30000</v>
      </c>
      <c r="AT88" s="459">
        <v>6</v>
      </c>
      <c r="AU88" s="457">
        <f>AT88*E88</f>
        <v>60000</v>
      </c>
      <c r="AV88" s="459">
        <v>5</v>
      </c>
      <c r="AW88" s="457">
        <f>AV88*E88</f>
        <v>50000</v>
      </c>
      <c r="AX88" s="459">
        <v>9</v>
      </c>
      <c r="AY88" s="457">
        <f>AX88*E88</f>
        <v>90000</v>
      </c>
      <c r="AZ88" s="458">
        <v>9</v>
      </c>
      <c r="BA88" s="457">
        <f>AZ88*E88</f>
        <v>90000</v>
      </c>
      <c r="BB88" s="458">
        <v>3</v>
      </c>
      <c r="BC88" s="457">
        <f>BB88*E88</f>
        <v>30000</v>
      </c>
      <c r="BD88" s="458">
        <v>12</v>
      </c>
      <c r="BE88" s="457">
        <f>BD88*E88</f>
        <v>120000</v>
      </c>
      <c r="BF88" s="458">
        <v>6</v>
      </c>
      <c r="BG88" s="457">
        <f>BF88*E88</f>
        <v>60000</v>
      </c>
      <c r="BH88" s="458"/>
      <c r="BI88" s="457">
        <f>BH88*E88</f>
        <v>0</v>
      </c>
      <c r="BJ88" s="460">
        <f>Z88+AB88+AD88+AF88+AH88+AJ88+AL88+AN88+AP88+AR88+AT88+AV88+AX88+AZ88+BB88+BD88+BF88+BH88</f>
        <v>89</v>
      </c>
      <c r="BK88" s="460">
        <f>AA88+AC88+AE88+AG88+AI88+AK88+AM88+AO88+AQ88+AS88+AU88+AW88+AY88+BA88+BC88+BE88+BG88+BI88</f>
        <v>890000</v>
      </c>
      <c r="BL88" s="448" t="s">
        <v>224</v>
      </c>
      <c r="BN88" s="69"/>
      <c r="BO88" s="69"/>
      <c r="BP88" s="69">
        <f>G88</f>
        <v>890000</v>
      </c>
      <c r="BQ88" s="69"/>
      <c r="BR88" s="69">
        <f>BN88+BO88+BP88+BQ88</f>
        <v>890000</v>
      </c>
      <c r="BS88" s="69"/>
      <c r="BT88" s="69"/>
      <c r="BU88" s="69">
        <f>BS88+BT88</f>
        <v>0</v>
      </c>
      <c r="BV88" s="108">
        <f>BR88+BU88</f>
        <v>890000</v>
      </c>
    </row>
    <row r="89" spans="1:74" s="149" customFormat="1">
      <c r="A89" s="435"/>
      <c r="B89" s="185"/>
      <c r="C89" s="382" t="s">
        <v>17</v>
      </c>
      <c r="D89" s="461" t="s">
        <v>121</v>
      </c>
      <c r="E89" s="372"/>
      <c r="F89" s="462">
        <f t="shared" ref="F89:AK89" si="122">F88+F87+F18</f>
        <v>12244.9</v>
      </c>
      <c r="G89" s="462">
        <f t="shared" si="122"/>
        <v>350311900</v>
      </c>
      <c r="H89" s="462">
        <f t="shared" si="122"/>
        <v>28457690</v>
      </c>
      <c r="I89" s="462">
        <f t="shared" si="122"/>
        <v>190949520</v>
      </c>
      <c r="J89" s="462">
        <f t="shared" si="122"/>
        <v>0</v>
      </c>
      <c r="K89" s="462">
        <f t="shared" si="122"/>
        <v>0</v>
      </c>
      <c r="L89" s="462">
        <f t="shared" si="122"/>
        <v>109925000</v>
      </c>
      <c r="M89" s="462">
        <f t="shared" si="122"/>
        <v>1700000</v>
      </c>
      <c r="N89" s="462">
        <f t="shared" si="122"/>
        <v>0</v>
      </c>
      <c r="O89" s="462">
        <f t="shared" si="122"/>
        <v>0</v>
      </c>
      <c r="P89" s="462">
        <f t="shared" si="122"/>
        <v>19279690</v>
      </c>
      <c r="Q89" s="462">
        <f t="shared" si="122"/>
        <v>0</v>
      </c>
      <c r="R89" s="462">
        <f t="shared" si="122"/>
        <v>1702.4499999999998</v>
      </c>
      <c r="S89" s="462">
        <f t="shared" si="122"/>
        <v>4497.75</v>
      </c>
      <c r="T89" s="462">
        <f t="shared" si="122"/>
        <v>3428.55</v>
      </c>
      <c r="U89" s="462">
        <f t="shared" si="122"/>
        <v>500.15</v>
      </c>
      <c r="V89" s="462">
        <f t="shared" si="122"/>
        <v>51631430</v>
      </c>
      <c r="W89" s="462">
        <f t="shared" si="122"/>
        <v>64408590</v>
      </c>
      <c r="X89" s="462">
        <f t="shared" si="122"/>
        <v>110508880</v>
      </c>
      <c r="Y89" s="462">
        <f t="shared" si="122"/>
        <v>17219500</v>
      </c>
      <c r="Z89" s="462">
        <f t="shared" si="122"/>
        <v>882.5</v>
      </c>
      <c r="AA89" s="462">
        <f t="shared" si="122"/>
        <v>27038000</v>
      </c>
      <c r="AB89" s="462">
        <f t="shared" si="122"/>
        <v>497</v>
      </c>
      <c r="AC89" s="462">
        <f t="shared" si="122"/>
        <v>13858800</v>
      </c>
      <c r="AD89" s="462">
        <f t="shared" si="122"/>
        <v>1492</v>
      </c>
      <c r="AE89" s="462">
        <f t="shared" si="122"/>
        <v>31954100</v>
      </c>
      <c r="AF89" s="462">
        <f t="shared" si="122"/>
        <v>931</v>
      </c>
      <c r="AG89" s="462">
        <f t="shared" si="122"/>
        <v>24325100</v>
      </c>
      <c r="AH89" s="462">
        <f t="shared" si="122"/>
        <v>892</v>
      </c>
      <c r="AI89" s="462">
        <f t="shared" si="122"/>
        <v>16201300</v>
      </c>
      <c r="AJ89" s="462">
        <f t="shared" si="122"/>
        <v>871</v>
      </c>
      <c r="AK89" s="462">
        <f t="shared" si="122"/>
        <v>17744100</v>
      </c>
      <c r="AL89" s="462">
        <f t="shared" ref="AL89:BK89" si="123">AL88+AL87+AL18</f>
        <v>678.4</v>
      </c>
      <c r="AM89" s="462">
        <f t="shared" si="123"/>
        <v>17352900</v>
      </c>
      <c r="AN89" s="462">
        <f t="shared" si="123"/>
        <v>457</v>
      </c>
      <c r="AO89" s="462">
        <f t="shared" si="123"/>
        <v>17267500</v>
      </c>
      <c r="AP89" s="462">
        <f t="shared" si="123"/>
        <v>300</v>
      </c>
      <c r="AQ89" s="462">
        <f t="shared" si="123"/>
        <v>9111500</v>
      </c>
      <c r="AR89" s="462">
        <f t="shared" si="123"/>
        <v>705</v>
      </c>
      <c r="AS89" s="462">
        <f t="shared" si="123"/>
        <v>20856000</v>
      </c>
      <c r="AT89" s="462">
        <f t="shared" si="123"/>
        <v>628</v>
      </c>
      <c r="AU89" s="462">
        <f t="shared" si="123"/>
        <v>24009500</v>
      </c>
      <c r="AV89" s="462">
        <f t="shared" si="123"/>
        <v>549</v>
      </c>
      <c r="AW89" s="462">
        <f t="shared" si="123"/>
        <v>21051900</v>
      </c>
      <c r="AX89" s="462">
        <f t="shared" si="123"/>
        <v>591</v>
      </c>
      <c r="AY89" s="462">
        <f t="shared" si="123"/>
        <v>22939500</v>
      </c>
      <c r="AZ89" s="462">
        <f t="shared" si="123"/>
        <v>621</v>
      </c>
      <c r="BA89" s="462">
        <f t="shared" si="123"/>
        <v>18164300</v>
      </c>
      <c r="BB89" s="462">
        <f t="shared" si="123"/>
        <v>862</v>
      </c>
      <c r="BC89" s="462">
        <f t="shared" si="123"/>
        <v>22796500</v>
      </c>
      <c r="BD89" s="462">
        <f t="shared" si="123"/>
        <v>768</v>
      </c>
      <c r="BE89" s="462">
        <f t="shared" si="123"/>
        <v>21901400</v>
      </c>
      <c r="BF89" s="462">
        <f t="shared" si="123"/>
        <v>519</v>
      </c>
      <c r="BG89" s="462">
        <f t="shared" si="123"/>
        <v>23239500</v>
      </c>
      <c r="BH89" s="462">
        <f t="shared" si="123"/>
        <v>1</v>
      </c>
      <c r="BI89" s="462">
        <f t="shared" si="123"/>
        <v>500000</v>
      </c>
      <c r="BJ89" s="462">
        <f t="shared" si="123"/>
        <v>12244.9</v>
      </c>
      <c r="BK89" s="462">
        <f t="shared" si="123"/>
        <v>350311900</v>
      </c>
      <c r="BL89" s="462"/>
      <c r="BM89" s="462"/>
      <c r="BN89" s="462">
        <f t="shared" ref="BN89:BV89" si="124">BN88+BN87+BN18</f>
        <v>50060000</v>
      </c>
      <c r="BO89" s="462">
        <f t="shared" si="124"/>
        <v>1350000</v>
      </c>
      <c r="BP89" s="462">
        <f t="shared" si="124"/>
        <v>215676900</v>
      </c>
      <c r="BQ89" s="462">
        <f t="shared" si="124"/>
        <v>0</v>
      </c>
      <c r="BR89" s="462">
        <f t="shared" si="124"/>
        <v>267086900</v>
      </c>
      <c r="BS89" s="462">
        <f t="shared" si="124"/>
        <v>6120000</v>
      </c>
      <c r="BT89" s="462">
        <f t="shared" si="124"/>
        <v>77105000</v>
      </c>
      <c r="BU89" s="462">
        <f t="shared" si="124"/>
        <v>83225000</v>
      </c>
      <c r="BV89" s="462">
        <f t="shared" si="124"/>
        <v>350311900</v>
      </c>
    </row>
    <row r="90" spans="1:74" s="145" customFormat="1">
      <c r="C90" s="48" t="s">
        <v>799</v>
      </c>
      <c r="D90" s="48"/>
      <c r="E90" s="564"/>
      <c r="F90" s="564"/>
      <c r="G90" s="564"/>
      <c r="H90" s="564"/>
      <c r="I90" s="564"/>
      <c r="J90" s="564"/>
      <c r="K90" s="564"/>
      <c r="L90" s="564"/>
      <c r="M90" s="564"/>
      <c r="N90" s="564"/>
      <c r="O90" s="564"/>
      <c r="P90" s="564"/>
      <c r="Q90" s="564"/>
      <c r="R90" s="204"/>
      <c r="S90" s="204"/>
      <c r="T90" s="204"/>
      <c r="U90" s="204"/>
      <c r="V90" s="205"/>
      <c r="W90" s="205"/>
      <c r="X90" s="205"/>
      <c r="Y90" s="205"/>
      <c r="Z90" s="564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</row>
    <row r="91" spans="1:74">
      <c r="C91" s="31" t="s">
        <v>284</v>
      </c>
      <c r="D91" s="31"/>
    </row>
    <row r="92" spans="1:74">
      <c r="C92" s="31" t="s">
        <v>285</v>
      </c>
      <c r="D92" s="31"/>
    </row>
    <row r="93" spans="1:74">
      <c r="C93" s="31" t="s">
        <v>411</v>
      </c>
      <c r="D93" s="31"/>
    </row>
    <row r="94" spans="1:74">
      <c r="C94" s="31" t="s">
        <v>286</v>
      </c>
      <c r="D94" s="31"/>
    </row>
    <row r="95" spans="1:74">
      <c r="C95" s="31" t="s">
        <v>287</v>
      </c>
      <c r="D95" s="31"/>
    </row>
    <row r="96" spans="1:74">
      <c r="C96" s="31" t="s">
        <v>288</v>
      </c>
      <c r="D96" s="31"/>
    </row>
    <row r="97" spans="3:4">
      <c r="C97" s="31" t="s">
        <v>410</v>
      </c>
      <c r="D97" s="31"/>
    </row>
    <row r="98" spans="3:4">
      <c r="C98" s="31" t="s">
        <v>289</v>
      </c>
      <c r="D98" s="31"/>
    </row>
    <row r="99" spans="3:4">
      <c r="C99" s="31"/>
      <c r="D99" s="31"/>
    </row>
  </sheetData>
  <mergeCells count="40"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D6"/>
    <mergeCell ref="E6:G6"/>
    <mergeCell ref="H6:Q6"/>
    <mergeCell ref="AZ6:BA7"/>
    <mergeCell ref="BB6:BC7"/>
    <mergeCell ref="BD6:BE7"/>
    <mergeCell ref="AR6:AS7"/>
    <mergeCell ref="R6:U7"/>
    <mergeCell ref="V6:Y7"/>
    <mergeCell ref="Z6:AA7"/>
    <mergeCell ref="AB6:AC7"/>
    <mergeCell ref="AD6:AE7"/>
    <mergeCell ref="AF6:AG7"/>
    <mergeCell ref="AH6:AI7"/>
    <mergeCell ref="AJ6:AK7"/>
    <mergeCell ref="AL6:AM7"/>
    <mergeCell ref="AN6:AO7"/>
    <mergeCell ref="AP6:AQ7"/>
    <mergeCell ref="C7:C8"/>
    <mergeCell ref="G7:G8"/>
    <mergeCell ref="AT6:AU7"/>
    <mergeCell ref="AV6:AW7"/>
    <mergeCell ref="AX6:AY7"/>
    <mergeCell ref="BN7:BR7"/>
    <mergeCell ref="BS7:BU7"/>
    <mergeCell ref="BV7:BV8"/>
    <mergeCell ref="BF6:BG7"/>
    <mergeCell ref="BH6:BI7"/>
    <mergeCell ref="BJ6:BK7"/>
    <mergeCell ref="BL6:BL8"/>
  </mergeCells>
  <pageMargins left="0.27" right="0.38" top="0.75" bottom="0.75" header="0.3" footer="0.3"/>
  <pageSetup paperSize="9" scal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A1:BV70"/>
  <sheetViews>
    <sheetView zoomScale="70" zoomScaleNormal="70" workbookViewId="0">
      <pane xSplit="7" ySplit="8" topLeftCell="H30" activePane="bottomRight" state="frozen"/>
      <selection pane="topRight" activeCell="H1" sqref="H1"/>
      <selection pane="bottomLeft" activeCell="A9" sqref="A9"/>
      <selection pane="bottomRight" activeCell="C23" sqref="C23"/>
    </sheetView>
  </sheetViews>
  <sheetFormatPr defaultColWidth="9.140625" defaultRowHeight="15.75"/>
  <cols>
    <col min="1" max="1" width="9.28515625" style="64" hidden="1" customWidth="1"/>
    <col min="2" max="2" width="9" style="64" hidden="1" customWidth="1"/>
    <col min="3" max="3" width="39.42578125" style="64" customWidth="1"/>
    <col min="4" max="4" width="15.28515625" style="64" customWidth="1"/>
    <col min="5" max="5" width="16.42578125" style="64" customWidth="1"/>
    <col min="6" max="6" width="10.85546875" style="64" customWidth="1"/>
    <col min="7" max="7" width="19.5703125" style="194" customWidth="1"/>
    <col min="8" max="8" width="15" style="194" bestFit="1" customWidth="1"/>
    <col min="9" max="9" width="18.5703125" style="194" customWidth="1"/>
    <col min="10" max="10" width="16.42578125" style="194" bestFit="1" customWidth="1"/>
    <col min="11" max="11" width="9.85546875" style="194" customWidth="1"/>
    <col min="12" max="12" width="18.85546875" style="194" customWidth="1"/>
    <col min="13" max="13" width="7" style="194" customWidth="1"/>
    <col min="14" max="14" width="10.5703125" style="194" customWidth="1"/>
    <col min="15" max="15" width="7.140625" style="194" customWidth="1"/>
    <col min="16" max="16" width="16.85546875" style="194" customWidth="1"/>
    <col min="17" max="17" width="11" style="194" customWidth="1"/>
    <col min="18" max="18" width="11.85546875" style="64" customWidth="1"/>
    <col min="19" max="19" width="10.85546875" style="64" customWidth="1"/>
    <col min="20" max="20" width="11.28515625" style="64" customWidth="1"/>
    <col min="21" max="21" width="10.28515625" style="64" customWidth="1"/>
    <col min="22" max="25" width="17.140625" style="64" customWidth="1"/>
    <col min="26" max="26" width="8" style="64" customWidth="1"/>
    <col min="27" max="27" width="16" style="181" customWidth="1"/>
    <col min="28" max="28" width="8.28515625" style="64" customWidth="1"/>
    <col min="29" max="29" width="16" style="64" customWidth="1"/>
    <col min="30" max="30" width="7.140625" style="64" customWidth="1"/>
    <col min="31" max="31" width="16" style="64" customWidth="1"/>
    <col min="32" max="32" width="7.28515625" style="64" customWidth="1"/>
    <col min="33" max="33" width="16" style="64" customWidth="1"/>
    <col min="34" max="34" width="6.7109375" style="64" customWidth="1"/>
    <col min="35" max="35" width="14.28515625" style="64" customWidth="1"/>
    <col min="36" max="36" width="5.5703125" style="64" customWidth="1"/>
    <col min="37" max="37" width="16" style="64" customWidth="1"/>
    <col min="38" max="38" width="5.5703125" style="64" customWidth="1"/>
    <col min="39" max="39" width="16" style="64" customWidth="1"/>
    <col min="40" max="40" width="5.5703125" style="64" customWidth="1"/>
    <col min="41" max="41" width="16" style="64" customWidth="1"/>
    <col min="42" max="42" width="5.5703125" style="64" customWidth="1"/>
    <col min="43" max="43" width="14.28515625" style="64" customWidth="1"/>
    <col min="44" max="44" width="5.5703125" style="64" customWidth="1"/>
    <col min="45" max="45" width="14.28515625" style="64" customWidth="1"/>
    <col min="46" max="46" width="5.5703125" style="64" customWidth="1"/>
    <col min="47" max="47" width="14.28515625" style="64" customWidth="1"/>
    <col min="48" max="48" width="5.5703125" style="64" customWidth="1"/>
    <col min="49" max="49" width="14.28515625" style="64" customWidth="1"/>
    <col min="50" max="50" width="5.5703125" style="64" customWidth="1"/>
    <col min="51" max="51" width="14.28515625" style="64" customWidth="1"/>
    <col min="52" max="52" width="5.5703125" style="64" customWidth="1"/>
    <col min="53" max="53" width="14.28515625" style="64" customWidth="1"/>
    <col min="54" max="54" width="6.140625" style="64" customWidth="1"/>
    <col min="55" max="55" width="14.28515625" style="64" customWidth="1"/>
    <col min="56" max="56" width="5.5703125" style="64" customWidth="1"/>
    <col min="57" max="57" width="14.28515625" style="64" customWidth="1"/>
    <col min="58" max="58" width="5.5703125" style="64" customWidth="1"/>
    <col min="59" max="59" width="16" style="64" customWidth="1"/>
    <col min="60" max="60" width="8.7109375" style="64" customWidth="1"/>
    <col min="61" max="61" width="14.28515625" style="64" customWidth="1"/>
    <col min="62" max="62" width="11" style="64" customWidth="1"/>
    <col min="63" max="63" width="18.28515625" style="64" customWidth="1"/>
    <col min="64" max="64" width="24.28515625" style="199" customWidth="1"/>
    <col min="65" max="65" width="9.140625" style="64" customWidth="1"/>
    <col min="66" max="66" width="20.42578125" style="64" customWidth="1"/>
    <col min="67" max="67" width="17.5703125" style="64" bestFit="1" customWidth="1"/>
    <col min="68" max="68" width="19" style="64" bestFit="1" customWidth="1"/>
    <col min="69" max="69" width="18" style="64" customWidth="1"/>
    <col min="70" max="70" width="18.42578125" style="64" customWidth="1"/>
    <col min="71" max="73" width="9.140625" style="64" customWidth="1"/>
    <col min="74" max="74" width="19.85546875" style="64" customWidth="1"/>
    <col min="75" max="16384" width="9.140625" style="64"/>
  </cols>
  <sheetData>
    <row r="1" spans="1:74" ht="18.75" hidden="1" customHeight="1">
      <c r="A1" s="811" t="s">
        <v>169</v>
      </c>
      <c r="B1" s="811"/>
      <c r="C1" s="812" t="s">
        <v>163</v>
      </c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145"/>
      <c r="S1" s="145"/>
      <c r="T1" s="145"/>
      <c r="U1" s="145"/>
      <c r="V1" s="145"/>
      <c r="W1" s="145"/>
      <c r="X1" s="145"/>
      <c r="Y1" s="145"/>
    </row>
    <row r="2" spans="1:74" ht="15" hidden="1" customHeight="1">
      <c r="A2" s="811" t="s">
        <v>165</v>
      </c>
      <c r="B2" s="811"/>
      <c r="C2" s="812" t="s">
        <v>164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145"/>
      <c r="S2" s="145"/>
      <c r="T2" s="145"/>
      <c r="U2" s="145"/>
      <c r="V2" s="145"/>
      <c r="W2" s="145"/>
      <c r="X2" s="145"/>
      <c r="Y2" s="145"/>
      <c r="Z2" s="166" t="s">
        <v>398</v>
      </c>
      <c r="AA2" s="166">
        <v>8.34</v>
      </c>
      <c r="AB2" s="166"/>
      <c r="AC2" s="166">
        <v>2.85</v>
      </c>
      <c r="AD2" s="166"/>
      <c r="AE2" s="166">
        <v>8.3800000000000008</v>
      </c>
      <c r="AF2" s="166"/>
      <c r="AG2" s="166">
        <v>7.49</v>
      </c>
      <c r="AH2" s="166"/>
      <c r="AI2" s="166">
        <v>3.33</v>
      </c>
      <c r="AJ2" s="166"/>
      <c r="AK2" s="166">
        <v>6.64</v>
      </c>
      <c r="AL2" s="166"/>
      <c r="AM2" s="166">
        <v>3.67</v>
      </c>
      <c r="AN2" s="166"/>
      <c r="AO2" s="166">
        <v>5.0599999999999996</v>
      </c>
      <c r="AP2" s="166"/>
      <c r="AQ2" s="166">
        <v>5.94</v>
      </c>
      <c r="AR2" s="166"/>
      <c r="AS2" s="166">
        <v>6.85</v>
      </c>
      <c r="AT2" s="166"/>
      <c r="AU2" s="166">
        <v>7.45</v>
      </c>
      <c r="AV2" s="166"/>
      <c r="AW2" s="166">
        <v>5.13</v>
      </c>
      <c r="AX2" s="166"/>
      <c r="AY2" s="166">
        <v>4.8600000000000003</v>
      </c>
      <c r="AZ2" s="166"/>
      <c r="BA2" s="166">
        <v>5.79</v>
      </c>
      <c r="BB2" s="166"/>
      <c r="BC2" s="166">
        <v>5.3</v>
      </c>
      <c r="BD2" s="166"/>
      <c r="BE2" s="166">
        <v>3.47</v>
      </c>
      <c r="BF2" s="166"/>
      <c r="BG2" s="166">
        <v>9.42</v>
      </c>
      <c r="BH2" s="166"/>
      <c r="BI2" s="166"/>
      <c r="BJ2" s="166"/>
      <c r="BK2" s="166"/>
    </row>
    <row r="3" spans="1:74" ht="17.25" hidden="1" customHeight="1">
      <c r="A3" s="811" t="s">
        <v>166</v>
      </c>
      <c r="B3" s="811"/>
      <c r="C3" s="812" t="s">
        <v>386</v>
      </c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145"/>
      <c r="S3" s="145"/>
      <c r="T3" s="145"/>
      <c r="U3" s="145"/>
      <c r="V3" s="145"/>
      <c r="W3" s="145"/>
      <c r="X3" s="145"/>
      <c r="Y3" s="145"/>
      <c r="Z3" s="166" t="s">
        <v>396</v>
      </c>
      <c r="AA3" s="166">
        <v>48</v>
      </c>
      <c r="AB3" s="166"/>
      <c r="AC3" s="166">
        <v>23</v>
      </c>
      <c r="AD3" s="166"/>
      <c r="AE3" s="166">
        <v>80</v>
      </c>
      <c r="AF3" s="166"/>
      <c r="AG3" s="166">
        <v>105</v>
      </c>
      <c r="AH3" s="166"/>
      <c r="AI3" s="166">
        <v>43</v>
      </c>
      <c r="AJ3" s="166"/>
      <c r="AK3" s="166">
        <v>75</v>
      </c>
      <c r="AL3" s="166"/>
      <c r="AM3" s="166">
        <v>41</v>
      </c>
      <c r="AN3" s="166"/>
      <c r="AO3" s="166">
        <v>101</v>
      </c>
      <c r="AP3" s="166"/>
      <c r="AQ3" s="166">
        <v>8</v>
      </c>
      <c r="AR3" s="166"/>
      <c r="AS3" s="166">
        <v>33</v>
      </c>
      <c r="AT3" s="166"/>
      <c r="AU3" s="166">
        <v>53</v>
      </c>
      <c r="AV3" s="166"/>
      <c r="AW3" s="166">
        <v>52</v>
      </c>
      <c r="AX3" s="166"/>
      <c r="AY3" s="166">
        <v>76</v>
      </c>
      <c r="AZ3" s="166"/>
      <c r="BA3" s="166">
        <v>82</v>
      </c>
      <c r="BB3" s="166"/>
      <c r="BC3" s="166">
        <v>104</v>
      </c>
      <c r="BD3" s="166"/>
      <c r="BE3" s="166">
        <v>147</v>
      </c>
      <c r="BF3" s="166"/>
      <c r="BG3" s="166">
        <v>54</v>
      </c>
      <c r="BH3" s="166"/>
      <c r="BI3" s="166"/>
      <c r="BJ3" s="166"/>
      <c r="BK3" s="166"/>
    </row>
    <row r="4" spans="1:74" ht="17.25" hidden="1" customHeight="1">
      <c r="A4" s="811" t="s">
        <v>181</v>
      </c>
      <c r="B4" s="811"/>
      <c r="C4" s="812" t="s">
        <v>93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145"/>
      <c r="S4" s="145"/>
      <c r="T4" s="145"/>
      <c r="U4" s="145"/>
      <c r="V4" s="145"/>
      <c r="W4" s="145"/>
      <c r="X4" s="145"/>
      <c r="Y4" s="145"/>
      <c r="Z4" s="166" t="s">
        <v>397</v>
      </c>
      <c r="AA4" s="190">
        <f>AA3/1125*100</f>
        <v>4.2666666666666666</v>
      </c>
      <c r="AB4" s="190">
        <f t="shared" ref="AB4:BG4" si="0">AB3/1125*100</f>
        <v>0</v>
      </c>
      <c r="AC4" s="190">
        <f t="shared" si="0"/>
        <v>2.0444444444444447</v>
      </c>
      <c r="AD4" s="190">
        <f t="shared" si="0"/>
        <v>0</v>
      </c>
      <c r="AE4" s="190">
        <f t="shared" si="0"/>
        <v>7.1111111111111107</v>
      </c>
      <c r="AF4" s="190">
        <f t="shared" si="0"/>
        <v>0</v>
      </c>
      <c r="AG4" s="190">
        <f t="shared" si="0"/>
        <v>9.3333333333333339</v>
      </c>
      <c r="AH4" s="190">
        <f t="shared" si="0"/>
        <v>0</v>
      </c>
      <c r="AI4" s="190">
        <f t="shared" si="0"/>
        <v>3.822222222222222</v>
      </c>
      <c r="AJ4" s="190">
        <f t="shared" si="0"/>
        <v>0</v>
      </c>
      <c r="AK4" s="190">
        <f t="shared" si="0"/>
        <v>6.666666666666667</v>
      </c>
      <c r="AL4" s="190">
        <f t="shared" si="0"/>
        <v>0</v>
      </c>
      <c r="AM4" s="190">
        <f t="shared" si="0"/>
        <v>3.6444444444444448</v>
      </c>
      <c r="AN4" s="190">
        <f t="shared" si="0"/>
        <v>0</v>
      </c>
      <c r="AO4" s="190">
        <f t="shared" si="0"/>
        <v>8.9777777777777779</v>
      </c>
      <c r="AP4" s="190">
        <f t="shared" si="0"/>
        <v>0</v>
      </c>
      <c r="AQ4" s="190">
        <f t="shared" si="0"/>
        <v>0.71111111111111114</v>
      </c>
      <c r="AR4" s="190">
        <f t="shared" si="0"/>
        <v>0</v>
      </c>
      <c r="AS4" s="190">
        <f t="shared" si="0"/>
        <v>2.9333333333333331</v>
      </c>
      <c r="AT4" s="190">
        <f t="shared" si="0"/>
        <v>0</v>
      </c>
      <c r="AU4" s="190">
        <f t="shared" si="0"/>
        <v>4.7111111111111112</v>
      </c>
      <c r="AV4" s="190">
        <f t="shared" si="0"/>
        <v>0</v>
      </c>
      <c r="AW4" s="190">
        <f t="shared" si="0"/>
        <v>4.6222222222222218</v>
      </c>
      <c r="AX4" s="190">
        <f t="shared" si="0"/>
        <v>0</v>
      </c>
      <c r="AY4" s="190">
        <f t="shared" si="0"/>
        <v>6.7555555555555546</v>
      </c>
      <c r="AZ4" s="190">
        <f t="shared" si="0"/>
        <v>0</v>
      </c>
      <c r="BA4" s="190">
        <f t="shared" si="0"/>
        <v>7.2888888888888896</v>
      </c>
      <c r="BB4" s="190">
        <f t="shared" si="0"/>
        <v>0</v>
      </c>
      <c r="BC4" s="190">
        <f t="shared" si="0"/>
        <v>9.2444444444444436</v>
      </c>
      <c r="BD4" s="190">
        <f t="shared" si="0"/>
        <v>0</v>
      </c>
      <c r="BE4" s="190">
        <f t="shared" si="0"/>
        <v>13.066666666666665</v>
      </c>
      <c r="BF4" s="190">
        <f t="shared" si="0"/>
        <v>0</v>
      </c>
      <c r="BG4" s="190">
        <f t="shared" si="0"/>
        <v>4.8</v>
      </c>
      <c r="BH4" s="166"/>
      <c r="BI4" s="166"/>
      <c r="BJ4" s="166"/>
      <c r="BK4" s="166"/>
    </row>
    <row r="5" spans="1:74" ht="22.5" hidden="1" customHeight="1">
      <c r="A5" s="811" t="s">
        <v>183</v>
      </c>
      <c r="B5" s="811"/>
      <c r="C5" s="812" t="s">
        <v>182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145"/>
      <c r="S5" s="145"/>
      <c r="T5" s="145"/>
      <c r="U5" s="145"/>
      <c r="V5" s="145"/>
      <c r="W5" s="145"/>
      <c r="X5" s="145"/>
      <c r="Y5" s="145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</row>
    <row r="6" spans="1:74" ht="21" customHeight="1">
      <c r="A6" s="825"/>
      <c r="B6" s="826"/>
      <c r="C6" s="826"/>
      <c r="D6" s="827"/>
      <c r="E6" s="616"/>
      <c r="F6" s="825" t="s">
        <v>21</v>
      </c>
      <c r="G6" s="827"/>
      <c r="H6" s="790" t="s">
        <v>162</v>
      </c>
      <c r="I6" s="791"/>
      <c r="J6" s="791"/>
      <c r="K6" s="791"/>
      <c r="L6" s="791"/>
      <c r="M6" s="791"/>
      <c r="N6" s="791"/>
      <c r="O6" s="791"/>
      <c r="P6" s="791"/>
      <c r="Q6" s="792"/>
      <c r="R6" s="828" t="s">
        <v>60</v>
      </c>
      <c r="S6" s="829"/>
      <c r="T6" s="829"/>
      <c r="U6" s="830"/>
      <c r="V6" s="834" t="s">
        <v>6</v>
      </c>
      <c r="W6" s="835"/>
      <c r="X6" s="835"/>
      <c r="Y6" s="836"/>
      <c r="Z6" s="816" t="s">
        <v>192</v>
      </c>
      <c r="AA6" s="816"/>
      <c r="AB6" s="816" t="s">
        <v>193</v>
      </c>
      <c r="AC6" s="816"/>
      <c r="AD6" s="816" t="s">
        <v>194</v>
      </c>
      <c r="AE6" s="816"/>
      <c r="AF6" s="823" t="s">
        <v>195</v>
      </c>
      <c r="AG6" s="823"/>
      <c r="AH6" s="823" t="s">
        <v>196</v>
      </c>
      <c r="AI6" s="823"/>
      <c r="AJ6" s="816" t="s">
        <v>197</v>
      </c>
      <c r="AK6" s="816"/>
      <c r="AL6" s="816" t="s">
        <v>198</v>
      </c>
      <c r="AM6" s="816"/>
      <c r="AN6" s="823" t="s">
        <v>199</v>
      </c>
      <c r="AO6" s="823"/>
      <c r="AP6" s="816" t="s">
        <v>200</v>
      </c>
      <c r="AQ6" s="816"/>
      <c r="AR6" s="816" t="s">
        <v>201</v>
      </c>
      <c r="AS6" s="816"/>
      <c r="AT6" s="823" t="s">
        <v>202</v>
      </c>
      <c r="AU6" s="823"/>
      <c r="AV6" s="816" t="s">
        <v>203</v>
      </c>
      <c r="AW6" s="816"/>
      <c r="AX6" s="824" t="s">
        <v>204</v>
      </c>
      <c r="AY6" s="824"/>
      <c r="AZ6" s="816" t="s">
        <v>205</v>
      </c>
      <c r="BA6" s="816"/>
      <c r="BB6" s="823" t="s">
        <v>206</v>
      </c>
      <c r="BC6" s="823"/>
      <c r="BD6" s="824" t="s">
        <v>207</v>
      </c>
      <c r="BE6" s="824"/>
      <c r="BF6" s="816" t="s">
        <v>208</v>
      </c>
      <c r="BG6" s="816"/>
      <c r="BH6" s="816" t="s">
        <v>209</v>
      </c>
      <c r="BI6" s="816"/>
      <c r="BJ6" s="816" t="s">
        <v>17</v>
      </c>
      <c r="BK6" s="816"/>
      <c r="BL6" s="30"/>
    </row>
    <row r="7" spans="1:74">
      <c r="A7" s="817" t="s">
        <v>13</v>
      </c>
      <c r="B7" s="819" t="s">
        <v>56</v>
      </c>
      <c r="C7" s="817" t="s">
        <v>12</v>
      </c>
      <c r="D7" s="817" t="s">
        <v>14</v>
      </c>
      <c r="E7" s="819" t="s">
        <v>35</v>
      </c>
      <c r="F7" s="819" t="s">
        <v>23</v>
      </c>
      <c r="G7" s="821" t="s">
        <v>222</v>
      </c>
      <c r="H7" s="48" t="s">
        <v>212</v>
      </c>
      <c r="I7" s="48" t="s">
        <v>213</v>
      </c>
      <c r="J7" s="48" t="s">
        <v>214</v>
      </c>
      <c r="K7" s="48" t="s">
        <v>215</v>
      </c>
      <c r="L7" s="48" t="s">
        <v>216</v>
      </c>
      <c r="M7" s="48" t="s">
        <v>217</v>
      </c>
      <c r="N7" s="48" t="s">
        <v>218</v>
      </c>
      <c r="O7" s="48" t="s">
        <v>219</v>
      </c>
      <c r="P7" s="48" t="s">
        <v>220</v>
      </c>
      <c r="Q7" s="48" t="s">
        <v>221</v>
      </c>
      <c r="R7" s="831"/>
      <c r="S7" s="832"/>
      <c r="T7" s="832"/>
      <c r="U7" s="833"/>
      <c r="V7" s="837"/>
      <c r="W7" s="838"/>
      <c r="X7" s="838"/>
      <c r="Y7" s="839"/>
      <c r="Z7" s="816"/>
      <c r="AA7" s="816"/>
      <c r="AB7" s="816" t="s">
        <v>43</v>
      </c>
      <c r="AC7" s="816"/>
      <c r="AD7" s="816" t="s">
        <v>44</v>
      </c>
      <c r="AE7" s="816"/>
      <c r="AF7" s="823" t="s">
        <v>45</v>
      </c>
      <c r="AG7" s="823"/>
      <c r="AH7" s="823" t="s">
        <v>46</v>
      </c>
      <c r="AI7" s="823"/>
      <c r="AJ7" s="816" t="s">
        <v>47</v>
      </c>
      <c r="AK7" s="816"/>
      <c r="AL7" s="816" t="s">
        <v>48</v>
      </c>
      <c r="AM7" s="816"/>
      <c r="AN7" s="823" t="s">
        <v>49</v>
      </c>
      <c r="AO7" s="823"/>
      <c r="AP7" s="816" t="s">
        <v>50</v>
      </c>
      <c r="AQ7" s="816"/>
      <c r="AR7" s="816" t="s">
        <v>51</v>
      </c>
      <c r="AS7" s="816"/>
      <c r="AT7" s="823" t="s">
        <v>52</v>
      </c>
      <c r="AU7" s="823"/>
      <c r="AV7" s="816" t="s">
        <v>53</v>
      </c>
      <c r="AW7" s="816"/>
      <c r="AX7" s="824" t="s">
        <v>54</v>
      </c>
      <c r="AY7" s="824"/>
      <c r="AZ7" s="816" t="s">
        <v>55</v>
      </c>
      <c r="BA7" s="816"/>
      <c r="BB7" s="823" t="s">
        <v>40</v>
      </c>
      <c r="BC7" s="823"/>
      <c r="BD7" s="824" t="s">
        <v>37</v>
      </c>
      <c r="BE7" s="824"/>
      <c r="BF7" s="816"/>
      <c r="BG7" s="816"/>
      <c r="BH7" s="816"/>
      <c r="BI7" s="816"/>
      <c r="BJ7" s="816"/>
      <c r="BK7" s="816"/>
      <c r="BL7" s="306"/>
      <c r="BN7" s="755" t="s">
        <v>242</v>
      </c>
      <c r="BO7" s="755"/>
      <c r="BP7" s="755"/>
      <c r="BQ7" s="755"/>
      <c r="BR7" s="755"/>
      <c r="BS7" s="755" t="s">
        <v>243</v>
      </c>
      <c r="BT7" s="755"/>
      <c r="BU7" s="755"/>
      <c r="BV7" s="756" t="s">
        <v>17</v>
      </c>
    </row>
    <row r="8" spans="1:74" ht="47.25">
      <c r="A8" s="818"/>
      <c r="B8" s="820"/>
      <c r="C8" s="818"/>
      <c r="D8" s="818"/>
      <c r="E8" s="820"/>
      <c r="F8" s="820"/>
      <c r="G8" s="822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66" t="s">
        <v>7</v>
      </c>
      <c r="S8" s="66" t="s">
        <v>8</v>
      </c>
      <c r="T8" s="66" t="s">
        <v>9</v>
      </c>
      <c r="U8" s="66" t="s">
        <v>10</v>
      </c>
      <c r="V8" s="66" t="s">
        <v>7</v>
      </c>
      <c r="W8" s="66" t="s">
        <v>8</v>
      </c>
      <c r="X8" s="66" t="s">
        <v>9</v>
      </c>
      <c r="Y8" s="66" t="s">
        <v>10</v>
      </c>
      <c r="Z8" s="183" t="s">
        <v>14</v>
      </c>
      <c r="AA8" s="152" t="s">
        <v>15</v>
      </c>
      <c r="AB8" s="183" t="s">
        <v>14</v>
      </c>
      <c r="AC8" s="183" t="s">
        <v>15</v>
      </c>
      <c r="AD8" s="183" t="s">
        <v>14</v>
      </c>
      <c r="AE8" s="183" t="s">
        <v>15</v>
      </c>
      <c r="AF8" s="183" t="s">
        <v>14</v>
      </c>
      <c r="AG8" s="183" t="s">
        <v>15</v>
      </c>
      <c r="AH8" s="183" t="s">
        <v>14</v>
      </c>
      <c r="AI8" s="183" t="s">
        <v>15</v>
      </c>
      <c r="AJ8" s="183" t="s">
        <v>14</v>
      </c>
      <c r="AK8" s="183" t="s">
        <v>15</v>
      </c>
      <c r="AL8" s="183" t="s">
        <v>14</v>
      </c>
      <c r="AM8" s="183" t="s">
        <v>15</v>
      </c>
      <c r="AN8" s="183" t="s">
        <v>14</v>
      </c>
      <c r="AO8" s="183" t="s">
        <v>15</v>
      </c>
      <c r="AP8" s="183" t="s">
        <v>14</v>
      </c>
      <c r="AQ8" s="183" t="s">
        <v>15</v>
      </c>
      <c r="AR8" s="183" t="s">
        <v>14</v>
      </c>
      <c r="AS8" s="183" t="s">
        <v>15</v>
      </c>
      <c r="AT8" s="183" t="s">
        <v>14</v>
      </c>
      <c r="AU8" s="183" t="s">
        <v>15</v>
      </c>
      <c r="AV8" s="183" t="s">
        <v>14</v>
      </c>
      <c r="AW8" s="183" t="s">
        <v>15</v>
      </c>
      <c r="AX8" s="183" t="s">
        <v>14</v>
      </c>
      <c r="AY8" s="183" t="s">
        <v>15</v>
      </c>
      <c r="AZ8" s="183" t="s">
        <v>14</v>
      </c>
      <c r="BA8" s="183" t="s">
        <v>15</v>
      </c>
      <c r="BB8" s="183" t="s">
        <v>14</v>
      </c>
      <c r="BC8" s="183" t="s">
        <v>15</v>
      </c>
      <c r="BD8" s="183" t="s">
        <v>14</v>
      </c>
      <c r="BE8" s="183" t="s">
        <v>15</v>
      </c>
      <c r="BF8" s="183" t="s">
        <v>14</v>
      </c>
      <c r="BG8" s="183" t="s">
        <v>15</v>
      </c>
      <c r="BH8" s="183" t="s">
        <v>14</v>
      </c>
      <c r="BI8" s="183" t="s">
        <v>15</v>
      </c>
      <c r="BJ8" s="183" t="s">
        <v>14</v>
      </c>
      <c r="BK8" s="183" t="s">
        <v>15</v>
      </c>
      <c r="BL8" s="306"/>
      <c r="BN8" s="72" t="s">
        <v>233</v>
      </c>
      <c r="BO8" s="171" t="s">
        <v>234</v>
      </c>
      <c r="BP8" s="171" t="s">
        <v>235</v>
      </c>
      <c r="BQ8" s="612" t="s">
        <v>236</v>
      </c>
      <c r="BR8" s="171" t="s">
        <v>237</v>
      </c>
      <c r="BS8" s="171" t="s">
        <v>238</v>
      </c>
      <c r="BT8" s="171" t="s">
        <v>239</v>
      </c>
      <c r="BU8" s="171" t="s">
        <v>240</v>
      </c>
      <c r="BV8" s="756"/>
    </row>
    <row r="9" spans="1:74" s="59" customFormat="1" ht="21" customHeight="1">
      <c r="A9" s="814" t="s">
        <v>93</v>
      </c>
      <c r="B9" s="201">
        <v>23000</v>
      </c>
      <c r="C9" s="309" t="s">
        <v>451</v>
      </c>
      <c r="D9" s="362"/>
      <c r="E9" s="362"/>
      <c r="F9" s="184"/>
      <c r="G9" s="615"/>
      <c r="H9" s="615"/>
      <c r="I9" s="615"/>
      <c r="J9" s="615"/>
      <c r="K9" s="615"/>
      <c r="L9" s="615"/>
      <c r="M9" s="615"/>
      <c r="N9" s="615"/>
      <c r="O9" s="614"/>
      <c r="P9" s="614"/>
      <c r="Q9" s="614"/>
      <c r="R9" s="202"/>
      <c r="S9" s="202"/>
      <c r="T9" s="202"/>
      <c r="U9" s="202"/>
      <c r="V9" s="202"/>
      <c r="W9" s="202"/>
      <c r="X9" s="202"/>
      <c r="Y9" s="202"/>
      <c r="Z9" s="185"/>
      <c r="AA9" s="242"/>
      <c r="AB9" s="185"/>
      <c r="AC9" s="242"/>
      <c r="AD9" s="185"/>
      <c r="AE9" s="242"/>
      <c r="AF9" s="185"/>
      <c r="AG9" s="242"/>
      <c r="AH9" s="185"/>
      <c r="AI9" s="242"/>
      <c r="AJ9" s="185"/>
      <c r="AK9" s="242"/>
      <c r="AL9" s="185"/>
      <c r="AM9" s="242"/>
      <c r="AN9" s="185"/>
      <c r="AO9" s="242"/>
      <c r="AP9" s="185"/>
      <c r="AQ9" s="242"/>
      <c r="AR9" s="185"/>
      <c r="AS9" s="242"/>
      <c r="AT9" s="185"/>
      <c r="AU9" s="242"/>
      <c r="AV9" s="185"/>
      <c r="AW9" s="242"/>
      <c r="AX9" s="185"/>
      <c r="AY9" s="242"/>
      <c r="AZ9" s="185"/>
      <c r="BA9" s="242"/>
      <c r="BB9" s="185"/>
      <c r="BC9" s="242"/>
      <c r="BD9" s="185"/>
      <c r="BE9" s="242"/>
      <c r="BF9" s="185"/>
      <c r="BG9" s="242"/>
      <c r="BH9" s="185"/>
      <c r="BI9" s="242"/>
      <c r="BJ9" s="185"/>
      <c r="BK9" s="242"/>
      <c r="BL9" s="362"/>
      <c r="BN9" s="184"/>
      <c r="BO9" s="184"/>
      <c r="BP9" s="184"/>
      <c r="BQ9" s="184"/>
      <c r="BR9" s="184"/>
      <c r="BS9" s="184"/>
      <c r="BT9" s="184"/>
      <c r="BU9" s="184"/>
      <c r="BV9" s="184"/>
    </row>
    <row r="10" spans="1:74" s="59" customFormat="1">
      <c r="A10" s="815"/>
      <c r="B10" s="93">
        <v>23100</v>
      </c>
      <c r="C10" s="309" t="s">
        <v>561</v>
      </c>
      <c r="D10" s="362"/>
      <c r="E10" s="362"/>
      <c r="F10" s="184"/>
      <c r="G10" s="615"/>
      <c r="H10" s="615"/>
      <c r="I10" s="615"/>
      <c r="J10" s="615"/>
      <c r="K10" s="615"/>
      <c r="L10" s="615"/>
      <c r="M10" s="615"/>
      <c r="N10" s="615"/>
      <c r="O10" s="614"/>
      <c r="P10" s="614"/>
      <c r="Q10" s="614"/>
      <c r="R10" s="395"/>
      <c r="S10" s="395"/>
      <c r="T10" s="395"/>
      <c r="U10" s="395"/>
      <c r="V10" s="395"/>
      <c r="W10" s="395"/>
      <c r="X10" s="395"/>
      <c r="Y10" s="395"/>
      <c r="Z10" s="185"/>
      <c r="AA10" s="242"/>
      <c r="AB10" s="185"/>
      <c r="AC10" s="242"/>
      <c r="AD10" s="185"/>
      <c r="AE10" s="242"/>
      <c r="AF10" s="185"/>
      <c r="AG10" s="242"/>
      <c r="AH10" s="185"/>
      <c r="AI10" s="242"/>
      <c r="AJ10" s="185"/>
      <c r="AK10" s="242"/>
      <c r="AL10" s="185"/>
      <c r="AM10" s="242"/>
      <c r="AN10" s="185"/>
      <c r="AO10" s="242"/>
      <c r="AP10" s="185"/>
      <c r="AQ10" s="242"/>
      <c r="AR10" s="185"/>
      <c r="AS10" s="242"/>
      <c r="AT10" s="185"/>
      <c r="AU10" s="242"/>
      <c r="AV10" s="185"/>
      <c r="AW10" s="242"/>
      <c r="AX10" s="185"/>
      <c r="AY10" s="242"/>
      <c r="AZ10" s="185"/>
      <c r="BA10" s="242"/>
      <c r="BB10" s="185"/>
      <c r="BC10" s="242"/>
      <c r="BD10" s="185"/>
      <c r="BE10" s="242"/>
      <c r="BF10" s="185"/>
      <c r="BG10" s="242"/>
      <c r="BH10" s="185"/>
      <c r="BI10" s="242"/>
      <c r="BJ10" s="185"/>
      <c r="BK10" s="242"/>
      <c r="BL10" s="362"/>
      <c r="BN10" s="69"/>
      <c r="BO10" s="69"/>
      <c r="BP10" s="69"/>
      <c r="BQ10" s="69"/>
      <c r="BR10" s="69"/>
      <c r="BS10" s="69"/>
      <c r="BT10" s="69"/>
      <c r="BU10" s="69"/>
      <c r="BV10" s="108">
        <f>BR10+BU10</f>
        <v>0</v>
      </c>
    </row>
    <row r="11" spans="1:74" s="59" customFormat="1">
      <c r="A11" s="815"/>
      <c r="B11" s="201"/>
      <c r="C11" s="307" t="s">
        <v>434</v>
      </c>
      <c r="D11" s="362" t="s">
        <v>83</v>
      </c>
      <c r="E11" s="312" t="s">
        <v>576</v>
      </c>
      <c r="F11" s="184">
        <f>BJ11</f>
        <v>0</v>
      </c>
      <c r="G11" s="118">
        <f>E11*F11</f>
        <v>0</v>
      </c>
      <c r="H11" s="118">
        <f>G11*0.2</f>
        <v>0</v>
      </c>
      <c r="I11" s="118">
        <f>G11*0.8</f>
        <v>0</v>
      </c>
      <c r="J11" s="118"/>
      <c r="K11" s="118"/>
      <c r="L11" s="118"/>
      <c r="M11" s="118"/>
      <c r="N11" s="118"/>
      <c r="O11" s="150"/>
      <c r="P11" s="150"/>
      <c r="Q11" s="150"/>
      <c r="R11" s="395">
        <f>F11*0.25</f>
        <v>0</v>
      </c>
      <c r="S11" s="395">
        <f>F11*0.25</f>
        <v>0</v>
      </c>
      <c r="T11" s="395">
        <f>F11*0.25</f>
        <v>0</v>
      </c>
      <c r="U11" s="395">
        <f>F11*0.25</f>
        <v>0</v>
      </c>
      <c r="V11" s="396">
        <f>R11*E11</f>
        <v>0</v>
      </c>
      <c r="W11" s="396">
        <f>S11*E11</f>
        <v>0</v>
      </c>
      <c r="X11" s="396">
        <f>T11*E11</f>
        <v>0</v>
      </c>
      <c r="Y11" s="396">
        <f>U11*E11</f>
        <v>0</v>
      </c>
      <c r="Z11" s="184"/>
      <c r="AA11" s="96">
        <f>Z11*E11</f>
        <v>0</v>
      </c>
      <c r="AB11" s="184"/>
      <c r="AC11" s="96">
        <f>AB11*E11</f>
        <v>0</v>
      </c>
      <c r="AD11" s="184"/>
      <c r="AE11" s="96">
        <f>AD11*E11</f>
        <v>0</v>
      </c>
      <c r="AF11" s="184"/>
      <c r="AG11" s="96">
        <f>AF11*E11</f>
        <v>0</v>
      </c>
      <c r="AH11" s="184"/>
      <c r="AI11" s="96">
        <f>AH11*E11</f>
        <v>0</v>
      </c>
      <c r="AJ11" s="184">
        <v>0</v>
      </c>
      <c r="AK11" s="96">
        <f>AJ11*E11</f>
        <v>0</v>
      </c>
      <c r="AL11" s="184"/>
      <c r="AM11" s="96"/>
      <c r="AN11" s="184"/>
      <c r="AO11" s="96">
        <f>AN11*E11</f>
        <v>0</v>
      </c>
      <c r="AP11" s="184"/>
      <c r="AQ11" s="96"/>
      <c r="AR11" s="184"/>
      <c r="AS11" s="96">
        <f>AR11*E11</f>
        <v>0</v>
      </c>
      <c r="AT11" s="184"/>
      <c r="AU11" s="96">
        <f>AT11*E11</f>
        <v>0</v>
      </c>
      <c r="AV11" s="184"/>
      <c r="AW11" s="96">
        <f>AV11*E11</f>
        <v>0</v>
      </c>
      <c r="AX11" s="184"/>
      <c r="AY11" s="96">
        <f>AX11*E11</f>
        <v>0</v>
      </c>
      <c r="AZ11" s="184"/>
      <c r="BA11" s="96"/>
      <c r="BB11" s="184"/>
      <c r="BC11" s="96">
        <f>BB11*E11</f>
        <v>0</v>
      </c>
      <c r="BD11" s="184"/>
      <c r="BE11" s="96">
        <f>BD11*E11</f>
        <v>0</v>
      </c>
      <c r="BF11" s="184"/>
      <c r="BG11" s="96">
        <f>BF11*E11</f>
        <v>0</v>
      </c>
      <c r="BH11" s="184"/>
      <c r="BI11" s="96">
        <f>BH11*E11</f>
        <v>0</v>
      </c>
      <c r="BJ11" s="108">
        <f t="shared" ref="BJ11:BK14" si="1">BH11+BF11+BD11+BB11+AZ11+AX11+AV11+AT11+AR11+AP11+AN11+AL11+AJ11+AH11+AF11+AD11+AB11+Z11</f>
        <v>0</v>
      </c>
      <c r="BK11" s="108">
        <f t="shared" si="1"/>
        <v>0</v>
      </c>
      <c r="BL11" s="362" t="s">
        <v>224</v>
      </c>
      <c r="BN11" s="69"/>
      <c r="BO11" s="69">
        <f>G11</f>
        <v>0</v>
      </c>
      <c r="BP11" s="69"/>
      <c r="BQ11" s="69"/>
      <c r="BR11" s="69">
        <f>BN11+BO11+BP11+BQ11</f>
        <v>0</v>
      </c>
      <c r="BS11" s="69"/>
      <c r="BT11" s="69"/>
      <c r="BU11" s="69">
        <f>BS11+BT11</f>
        <v>0</v>
      </c>
      <c r="BV11" s="108">
        <f t="shared" ref="BV11:BV54" si="2">BR11+BU11</f>
        <v>0</v>
      </c>
    </row>
    <row r="12" spans="1:74" s="59" customFormat="1">
      <c r="A12" s="815"/>
      <c r="B12" s="201"/>
      <c r="C12" s="307" t="s">
        <v>435</v>
      </c>
      <c r="D12" s="362" t="s">
        <v>84</v>
      </c>
      <c r="E12" s="312" t="s">
        <v>576</v>
      </c>
      <c r="F12" s="184">
        <f>BJ12</f>
        <v>0</v>
      </c>
      <c r="G12" s="118">
        <f>E12*F12</f>
        <v>0</v>
      </c>
      <c r="H12" s="118">
        <f>G12*0.2</f>
        <v>0</v>
      </c>
      <c r="I12" s="118">
        <f>G12*0.8</f>
        <v>0</v>
      </c>
      <c r="J12" s="118"/>
      <c r="K12" s="118"/>
      <c r="L12" s="118"/>
      <c r="M12" s="118"/>
      <c r="N12" s="118"/>
      <c r="O12" s="150"/>
      <c r="P12" s="150"/>
      <c r="Q12" s="150"/>
      <c r="R12" s="395">
        <f>F12*0.25</f>
        <v>0</v>
      </c>
      <c r="S12" s="397">
        <f>F12*0.25</f>
        <v>0</v>
      </c>
      <c r="T12" s="395">
        <f>F12*0.25</f>
        <v>0</v>
      </c>
      <c r="U12" s="395">
        <f>F12*0.25</f>
        <v>0</v>
      </c>
      <c r="V12" s="396">
        <f>R12*E12</f>
        <v>0</v>
      </c>
      <c r="W12" s="396">
        <f>S12*E12</f>
        <v>0</v>
      </c>
      <c r="X12" s="396">
        <f>T12*E12</f>
        <v>0</v>
      </c>
      <c r="Y12" s="396">
        <f>U12*E12</f>
        <v>0</v>
      </c>
      <c r="Z12" s="184"/>
      <c r="AA12" s="96">
        <f t="shared" ref="AA12:AA53" si="3">Z12*E12</f>
        <v>0</v>
      </c>
      <c r="AB12" s="184"/>
      <c r="AC12" s="96">
        <f t="shared" ref="AC12:AC53" si="4">AB12*E12</f>
        <v>0</v>
      </c>
      <c r="AD12" s="184"/>
      <c r="AE12" s="96">
        <f t="shared" ref="AE12:AE53" si="5">AD12*E12</f>
        <v>0</v>
      </c>
      <c r="AF12" s="184"/>
      <c r="AG12" s="96">
        <f t="shared" ref="AG12:AG53" si="6">AF12*E12</f>
        <v>0</v>
      </c>
      <c r="AH12" s="184"/>
      <c r="AI12" s="96">
        <f t="shared" ref="AI12:AI53" si="7">AH12*E12</f>
        <v>0</v>
      </c>
      <c r="AJ12" s="184">
        <v>0</v>
      </c>
      <c r="AK12" s="96">
        <f t="shared" ref="AK12:AK53" si="8">AJ12*E12</f>
        <v>0</v>
      </c>
      <c r="AL12" s="184"/>
      <c r="AM12" s="96"/>
      <c r="AN12" s="184"/>
      <c r="AO12" s="96">
        <f t="shared" ref="AO12:AO54" si="9">AN12*E12</f>
        <v>0</v>
      </c>
      <c r="AP12" s="184"/>
      <c r="AQ12" s="96"/>
      <c r="AR12" s="184"/>
      <c r="AS12" s="96">
        <f>AR12*E12</f>
        <v>0</v>
      </c>
      <c r="AT12" s="184"/>
      <c r="AU12" s="96">
        <f t="shared" ref="AU12:AU48" si="10">AT12*E12</f>
        <v>0</v>
      </c>
      <c r="AV12" s="184"/>
      <c r="AW12" s="96">
        <f t="shared" ref="AW12:AW48" si="11">AV12*E12</f>
        <v>0</v>
      </c>
      <c r="AX12" s="184"/>
      <c r="AY12" s="96">
        <f t="shared" ref="AY12:AY48" si="12">AX12*E12</f>
        <v>0</v>
      </c>
      <c r="AZ12" s="184"/>
      <c r="BA12" s="96"/>
      <c r="BB12" s="184"/>
      <c r="BC12" s="96">
        <f t="shared" ref="BC12:BC48" si="13">BB12*E12</f>
        <v>0</v>
      </c>
      <c r="BD12" s="184"/>
      <c r="BE12" s="96">
        <f t="shared" ref="BE12:BE48" si="14">BD12*E12</f>
        <v>0</v>
      </c>
      <c r="BF12" s="184"/>
      <c r="BG12" s="96">
        <f t="shared" ref="BG12:BG48" si="15">BF12*E12</f>
        <v>0</v>
      </c>
      <c r="BH12" s="184"/>
      <c r="BI12" s="96">
        <f t="shared" ref="BI12:BI39" si="16">BH12*E12</f>
        <v>0</v>
      </c>
      <c r="BJ12" s="108">
        <f t="shared" si="1"/>
        <v>0</v>
      </c>
      <c r="BK12" s="108">
        <f t="shared" si="1"/>
        <v>0</v>
      </c>
      <c r="BL12" s="362" t="s">
        <v>224</v>
      </c>
      <c r="BN12" s="69"/>
      <c r="BO12" s="69">
        <f>G12</f>
        <v>0</v>
      </c>
      <c r="BP12" s="69"/>
      <c r="BQ12" s="69"/>
      <c r="BR12" s="69">
        <f>BN12+BO12+BP12+BQ12</f>
        <v>0</v>
      </c>
      <c r="BS12" s="69"/>
      <c r="BT12" s="69"/>
      <c r="BU12" s="69">
        <f>BS12+BT12</f>
        <v>0</v>
      </c>
      <c r="BV12" s="108">
        <f t="shared" si="2"/>
        <v>0</v>
      </c>
    </row>
    <row r="13" spans="1:74" s="59" customFormat="1">
      <c r="A13" s="815"/>
      <c r="B13" s="201"/>
      <c r="C13" s="307" t="s">
        <v>436</v>
      </c>
      <c r="D13" s="362" t="s">
        <v>83</v>
      </c>
      <c r="E13" s="312" t="s">
        <v>576</v>
      </c>
      <c r="F13" s="184">
        <f>BJ13</f>
        <v>160</v>
      </c>
      <c r="G13" s="118">
        <f>E13*F13</f>
        <v>96000</v>
      </c>
      <c r="H13" s="118">
        <f>G13*0.2</f>
        <v>19200</v>
      </c>
      <c r="I13" s="118">
        <f>G13*0.8</f>
        <v>76800</v>
      </c>
      <c r="J13" s="118"/>
      <c r="K13" s="118"/>
      <c r="L13" s="118"/>
      <c r="M13" s="118"/>
      <c r="N13" s="118"/>
      <c r="O13" s="150"/>
      <c r="P13" s="150"/>
      <c r="Q13" s="150"/>
      <c r="R13" s="395">
        <f>F13*0.25</f>
        <v>40</v>
      </c>
      <c r="S13" s="397">
        <f>F13*0.25</f>
        <v>40</v>
      </c>
      <c r="T13" s="395">
        <f>F13*0.25</f>
        <v>40</v>
      </c>
      <c r="U13" s="395">
        <f>F13*0.25</f>
        <v>40</v>
      </c>
      <c r="V13" s="396">
        <f>R13*E13</f>
        <v>24000</v>
      </c>
      <c r="W13" s="396">
        <f>S13*E13</f>
        <v>24000</v>
      </c>
      <c r="X13" s="396">
        <f>T13*E13</f>
        <v>24000</v>
      </c>
      <c r="Y13" s="396">
        <f>U13*E13</f>
        <v>24000</v>
      </c>
      <c r="Z13" s="184">
        <v>6</v>
      </c>
      <c r="AA13" s="96">
        <f t="shared" si="3"/>
        <v>3600</v>
      </c>
      <c r="AB13" s="184">
        <v>6</v>
      </c>
      <c r="AC13" s="96">
        <f t="shared" si="4"/>
        <v>3600</v>
      </c>
      <c r="AD13" s="184">
        <v>8</v>
      </c>
      <c r="AE13" s="96">
        <f t="shared" si="5"/>
        <v>4800</v>
      </c>
      <c r="AF13" s="184">
        <v>10</v>
      </c>
      <c r="AG13" s="96">
        <f t="shared" si="6"/>
        <v>6000</v>
      </c>
      <c r="AH13" s="184">
        <v>4</v>
      </c>
      <c r="AI13" s="96">
        <f t="shared" si="7"/>
        <v>2400</v>
      </c>
      <c r="AJ13" s="184">
        <v>8</v>
      </c>
      <c r="AK13" s="96">
        <f t="shared" si="8"/>
        <v>4800</v>
      </c>
      <c r="AL13" s="184">
        <v>10</v>
      </c>
      <c r="AM13" s="96">
        <f>AL13*E13</f>
        <v>6000</v>
      </c>
      <c r="AN13" s="184">
        <v>16</v>
      </c>
      <c r="AO13" s="96">
        <f t="shared" si="9"/>
        <v>9600</v>
      </c>
      <c r="AP13" s="184">
        <v>4</v>
      </c>
      <c r="AQ13" s="96">
        <f>AP13*E13</f>
        <v>2400</v>
      </c>
      <c r="AR13" s="184">
        <v>6</v>
      </c>
      <c r="AS13" s="96">
        <f>AR13*E13</f>
        <v>3600</v>
      </c>
      <c r="AT13" s="184">
        <v>12</v>
      </c>
      <c r="AU13" s="96">
        <f t="shared" si="10"/>
        <v>7200</v>
      </c>
      <c r="AV13" s="184">
        <v>10</v>
      </c>
      <c r="AW13" s="96">
        <f t="shared" si="11"/>
        <v>6000</v>
      </c>
      <c r="AX13" s="184">
        <v>18</v>
      </c>
      <c r="AY13" s="96">
        <f t="shared" si="12"/>
        <v>10800</v>
      </c>
      <c r="AZ13" s="184"/>
      <c r="BA13" s="96">
        <f>AZ13*E13</f>
        <v>0</v>
      </c>
      <c r="BB13" s="184">
        <v>6</v>
      </c>
      <c r="BC13" s="96">
        <f t="shared" si="13"/>
        <v>3600</v>
      </c>
      <c r="BD13" s="184">
        <v>24</v>
      </c>
      <c r="BE13" s="96">
        <f t="shared" si="14"/>
        <v>14400</v>
      </c>
      <c r="BF13" s="184">
        <v>12</v>
      </c>
      <c r="BG13" s="96">
        <f t="shared" si="15"/>
        <v>7200</v>
      </c>
      <c r="BH13" s="184"/>
      <c r="BI13" s="96">
        <f t="shared" si="16"/>
        <v>0</v>
      </c>
      <c r="BJ13" s="108">
        <f t="shared" si="1"/>
        <v>160</v>
      </c>
      <c r="BK13" s="108">
        <f t="shared" si="1"/>
        <v>96000</v>
      </c>
      <c r="BL13" s="362" t="s">
        <v>224</v>
      </c>
      <c r="BN13" s="69"/>
      <c r="BO13" s="69">
        <f>G13</f>
        <v>96000</v>
      </c>
      <c r="BP13" s="69"/>
      <c r="BQ13" s="69"/>
      <c r="BR13" s="69">
        <f>BN13+BO13+BP13+BQ13</f>
        <v>96000</v>
      </c>
      <c r="BS13" s="69"/>
      <c r="BT13" s="69"/>
      <c r="BU13" s="69">
        <f>BS13+BT13</f>
        <v>0</v>
      </c>
      <c r="BV13" s="108">
        <f t="shared" si="2"/>
        <v>96000</v>
      </c>
    </row>
    <row r="14" spans="1:74" s="59" customFormat="1">
      <c r="A14" s="815"/>
      <c r="B14" s="201"/>
      <c r="C14" s="307" t="s">
        <v>806</v>
      </c>
      <c r="D14" s="362" t="s">
        <v>83</v>
      </c>
      <c r="E14" s="312">
        <v>1000</v>
      </c>
      <c r="F14" s="184">
        <f>BJ14</f>
        <v>525</v>
      </c>
      <c r="G14" s="118">
        <f>E14*F14</f>
        <v>525000</v>
      </c>
      <c r="H14" s="118">
        <f>G14*0.2</f>
        <v>105000</v>
      </c>
      <c r="I14" s="118">
        <f>G14*0.8</f>
        <v>420000</v>
      </c>
      <c r="J14" s="118"/>
      <c r="K14" s="118"/>
      <c r="L14" s="118"/>
      <c r="M14" s="118"/>
      <c r="N14" s="118"/>
      <c r="O14" s="150"/>
      <c r="P14" s="150"/>
      <c r="Q14" s="150"/>
      <c r="R14" s="395">
        <f>F14*0.25</f>
        <v>131.25</v>
      </c>
      <c r="S14" s="397">
        <f>F14*0.25</f>
        <v>131.25</v>
      </c>
      <c r="T14" s="396">
        <f>F14*0.25</f>
        <v>131.25</v>
      </c>
      <c r="U14" s="395">
        <f>F14*0.25</f>
        <v>131.25</v>
      </c>
      <c r="V14" s="396">
        <f>R14*E14</f>
        <v>131250</v>
      </c>
      <c r="W14" s="396">
        <f>S14*E14</f>
        <v>131250</v>
      </c>
      <c r="X14" s="396">
        <f>T14*E14</f>
        <v>131250</v>
      </c>
      <c r="Y14" s="396">
        <f>U14*E14</f>
        <v>131250</v>
      </c>
      <c r="Z14" s="184"/>
      <c r="AA14" s="96">
        <f t="shared" si="3"/>
        <v>0</v>
      </c>
      <c r="AB14" s="184"/>
      <c r="AC14" s="96">
        <f t="shared" si="4"/>
        <v>0</v>
      </c>
      <c r="AD14" s="184"/>
      <c r="AE14" s="96">
        <f t="shared" si="5"/>
        <v>0</v>
      </c>
      <c r="AF14" s="184"/>
      <c r="AG14" s="96">
        <f t="shared" si="6"/>
        <v>0</v>
      </c>
      <c r="AH14" s="184"/>
      <c r="AI14" s="96">
        <f t="shared" si="7"/>
        <v>0</v>
      </c>
      <c r="AJ14" s="184">
        <v>0</v>
      </c>
      <c r="AK14" s="96">
        <f t="shared" si="8"/>
        <v>0</v>
      </c>
      <c r="AL14" s="184"/>
      <c r="AM14" s="96">
        <f>AL14*E14</f>
        <v>0</v>
      </c>
      <c r="AN14" s="184"/>
      <c r="AO14" s="96">
        <f t="shared" si="9"/>
        <v>0</v>
      </c>
      <c r="AP14" s="184"/>
      <c r="AQ14" s="96"/>
      <c r="AR14" s="184"/>
      <c r="AS14" s="96">
        <f>AR14*E14</f>
        <v>0</v>
      </c>
      <c r="AT14" s="184"/>
      <c r="AU14" s="96">
        <f t="shared" si="10"/>
        <v>0</v>
      </c>
      <c r="AV14" s="184"/>
      <c r="AW14" s="96">
        <f t="shared" si="11"/>
        <v>0</v>
      </c>
      <c r="AX14" s="184"/>
      <c r="AY14" s="96">
        <f t="shared" si="12"/>
        <v>0</v>
      </c>
      <c r="AZ14" s="184"/>
      <c r="BA14" s="96"/>
      <c r="BB14" s="184"/>
      <c r="BC14" s="96">
        <f t="shared" si="13"/>
        <v>0</v>
      </c>
      <c r="BD14" s="184"/>
      <c r="BE14" s="96">
        <f t="shared" si="14"/>
        <v>0</v>
      </c>
      <c r="BF14" s="184"/>
      <c r="BG14" s="96">
        <f t="shared" si="15"/>
        <v>0</v>
      </c>
      <c r="BH14" s="184">
        <f>105*5</f>
        <v>525</v>
      </c>
      <c r="BI14" s="96">
        <f t="shared" si="16"/>
        <v>525000</v>
      </c>
      <c r="BJ14" s="108">
        <f t="shared" si="1"/>
        <v>525</v>
      </c>
      <c r="BK14" s="108">
        <f t="shared" si="1"/>
        <v>525000</v>
      </c>
      <c r="BL14" s="362" t="s">
        <v>224</v>
      </c>
      <c r="BN14" s="69"/>
      <c r="BO14" s="69">
        <f>G14</f>
        <v>525000</v>
      </c>
      <c r="BP14" s="69"/>
      <c r="BQ14" s="69"/>
      <c r="BR14" s="69">
        <f>BN14+BO14+BP14+BQ14</f>
        <v>525000</v>
      </c>
      <c r="BS14" s="69"/>
      <c r="BT14" s="69"/>
      <c r="BU14" s="69">
        <f>BS14+BT14</f>
        <v>0</v>
      </c>
      <c r="BV14" s="108">
        <f t="shared" si="2"/>
        <v>525000</v>
      </c>
    </row>
    <row r="15" spans="1:74" s="149" customFormat="1">
      <c r="A15" s="815"/>
      <c r="B15" s="614"/>
      <c r="C15" s="336" t="s">
        <v>562</v>
      </c>
      <c r="D15" s="364" t="s">
        <v>121</v>
      </c>
      <c r="E15" s="347"/>
      <c r="F15" s="368">
        <f>SUM(F11:F14)</f>
        <v>685</v>
      </c>
      <c r="G15" s="368">
        <f t="shared" ref="G15:BR15" si="17">SUM(G11:G14)</f>
        <v>621000</v>
      </c>
      <c r="H15" s="368">
        <f t="shared" si="17"/>
        <v>124200</v>
      </c>
      <c r="I15" s="368">
        <f t="shared" si="17"/>
        <v>496800</v>
      </c>
      <c r="J15" s="368">
        <f t="shared" si="17"/>
        <v>0</v>
      </c>
      <c r="K15" s="368">
        <f t="shared" si="17"/>
        <v>0</v>
      </c>
      <c r="L15" s="368">
        <f t="shared" si="17"/>
        <v>0</v>
      </c>
      <c r="M15" s="368">
        <f t="shared" si="17"/>
        <v>0</v>
      </c>
      <c r="N15" s="368">
        <f t="shared" si="17"/>
        <v>0</v>
      </c>
      <c r="O15" s="368">
        <f t="shared" si="17"/>
        <v>0</v>
      </c>
      <c r="P15" s="368">
        <f t="shared" si="17"/>
        <v>0</v>
      </c>
      <c r="Q15" s="368">
        <f t="shared" si="17"/>
        <v>0</v>
      </c>
      <c r="R15" s="368">
        <f t="shared" si="17"/>
        <v>171.25</v>
      </c>
      <c r="S15" s="368">
        <f t="shared" si="17"/>
        <v>171.25</v>
      </c>
      <c r="T15" s="368">
        <f t="shared" si="17"/>
        <v>171.25</v>
      </c>
      <c r="U15" s="368">
        <f t="shared" si="17"/>
        <v>171.25</v>
      </c>
      <c r="V15" s="368">
        <f t="shared" si="17"/>
        <v>155250</v>
      </c>
      <c r="W15" s="368">
        <f t="shared" si="17"/>
        <v>155250</v>
      </c>
      <c r="X15" s="368">
        <f t="shared" si="17"/>
        <v>155250</v>
      </c>
      <c r="Y15" s="368">
        <f t="shared" si="17"/>
        <v>155250</v>
      </c>
      <c r="Z15" s="368">
        <f t="shared" si="17"/>
        <v>6</v>
      </c>
      <c r="AA15" s="368">
        <f t="shared" si="17"/>
        <v>3600</v>
      </c>
      <c r="AB15" s="368">
        <f t="shared" si="17"/>
        <v>6</v>
      </c>
      <c r="AC15" s="368">
        <f t="shared" si="17"/>
        <v>3600</v>
      </c>
      <c r="AD15" s="368">
        <f t="shared" si="17"/>
        <v>8</v>
      </c>
      <c r="AE15" s="368">
        <f t="shared" si="17"/>
        <v>4800</v>
      </c>
      <c r="AF15" s="368">
        <f t="shared" si="17"/>
        <v>10</v>
      </c>
      <c r="AG15" s="368">
        <f t="shared" si="17"/>
        <v>6000</v>
      </c>
      <c r="AH15" s="368">
        <f t="shared" si="17"/>
        <v>4</v>
      </c>
      <c r="AI15" s="368">
        <f t="shared" si="17"/>
        <v>2400</v>
      </c>
      <c r="AJ15" s="368">
        <f t="shared" si="17"/>
        <v>8</v>
      </c>
      <c r="AK15" s="368">
        <f t="shared" si="17"/>
        <v>4800</v>
      </c>
      <c r="AL15" s="368">
        <f t="shared" si="17"/>
        <v>10</v>
      </c>
      <c r="AM15" s="368">
        <f t="shared" si="17"/>
        <v>6000</v>
      </c>
      <c r="AN15" s="368">
        <f t="shared" si="17"/>
        <v>16</v>
      </c>
      <c r="AO15" s="368">
        <f t="shared" si="17"/>
        <v>9600</v>
      </c>
      <c r="AP15" s="368">
        <f t="shared" si="17"/>
        <v>4</v>
      </c>
      <c r="AQ15" s="368">
        <f t="shared" si="17"/>
        <v>2400</v>
      </c>
      <c r="AR15" s="368">
        <f t="shared" si="17"/>
        <v>6</v>
      </c>
      <c r="AS15" s="368">
        <f t="shared" si="17"/>
        <v>3600</v>
      </c>
      <c r="AT15" s="368">
        <f t="shared" si="17"/>
        <v>12</v>
      </c>
      <c r="AU15" s="368">
        <f t="shared" si="17"/>
        <v>7200</v>
      </c>
      <c r="AV15" s="368">
        <f t="shared" si="17"/>
        <v>10</v>
      </c>
      <c r="AW15" s="368">
        <f t="shared" si="17"/>
        <v>6000</v>
      </c>
      <c r="AX15" s="368">
        <f t="shared" si="17"/>
        <v>18</v>
      </c>
      <c r="AY15" s="368">
        <f t="shared" si="17"/>
        <v>10800</v>
      </c>
      <c r="AZ15" s="368">
        <f t="shared" si="17"/>
        <v>0</v>
      </c>
      <c r="BA15" s="368">
        <f t="shared" si="17"/>
        <v>0</v>
      </c>
      <c r="BB15" s="368">
        <f t="shared" si="17"/>
        <v>6</v>
      </c>
      <c r="BC15" s="368">
        <f t="shared" si="17"/>
        <v>3600</v>
      </c>
      <c r="BD15" s="368">
        <f t="shared" si="17"/>
        <v>24</v>
      </c>
      <c r="BE15" s="368">
        <f t="shared" si="17"/>
        <v>14400</v>
      </c>
      <c r="BF15" s="368">
        <f t="shared" si="17"/>
        <v>12</v>
      </c>
      <c r="BG15" s="368">
        <f t="shared" si="17"/>
        <v>7200</v>
      </c>
      <c r="BH15" s="368">
        <f t="shared" si="17"/>
        <v>525</v>
      </c>
      <c r="BI15" s="368">
        <f t="shared" si="17"/>
        <v>525000</v>
      </c>
      <c r="BJ15" s="368">
        <f t="shared" si="17"/>
        <v>685</v>
      </c>
      <c r="BK15" s="368">
        <f t="shared" si="17"/>
        <v>621000</v>
      </c>
      <c r="BL15" s="368">
        <f t="shared" si="17"/>
        <v>0</v>
      </c>
      <c r="BM15" s="368">
        <f t="shared" si="17"/>
        <v>0</v>
      </c>
      <c r="BN15" s="368">
        <f t="shared" si="17"/>
        <v>0</v>
      </c>
      <c r="BO15" s="368">
        <f t="shared" si="17"/>
        <v>621000</v>
      </c>
      <c r="BP15" s="368">
        <f t="shared" si="17"/>
        <v>0</v>
      </c>
      <c r="BQ15" s="368">
        <f t="shared" si="17"/>
        <v>0</v>
      </c>
      <c r="BR15" s="368">
        <f t="shared" si="17"/>
        <v>621000</v>
      </c>
      <c r="BS15" s="368">
        <f>SUM(BS11:BS14)</f>
        <v>0</v>
      </c>
      <c r="BT15" s="368">
        <f>SUM(BT11:BT14)</f>
        <v>0</v>
      </c>
      <c r="BU15" s="368">
        <f>SUM(BU11:BU14)</f>
        <v>0</v>
      </c>
      <c r="BV15" s="368">
        <f>SUM(BV11:BV14)</f>
        <v>621000</v>
      </c>
    </row>
    <row r="16" spans="1:74" s="59" customFormat="1">
      <c r="A16" s="815"/>
      <c r="B16" s="93">
        <v>23200</v>
      </c>
      <c r="C16" s="309" t="s">
        <v>563</v>
      </c>
      <c r="D16" s="362"/>
      <c r="E16" s="362"/>
      <c r="F16" s="184"/>
      <c r="G16" s="615"/>
      <c r="H16" s="615"/>
      <c r="I16" s="615"/>
      <c r="J16" s="615"/>
      <c r="K16" s="615"/>
      <c r="L16" s="615"/>
      <c r="M16" s="615"/>
      <c r="N16" s="615"/>
      <c r="O16" s="614"/>
      <c r="P16" s="614"/>
      <c r="Q16" s="614"/>
      <c r="R16" s="202"/>
      <c r="S16" s="202"/>
      <c r="T16" s="202"/>
      <c r="U16" s="202"/>
      <c r="V16" s="202"/>
      <c r="W16" s="202"/>
      <c r="X16" s="202"/>
      <c r="Y16" s="202"/>
      <c r="Z16" s="184"/>
      <c r="AA16" s="96">
        <f t="shared" si="3"/>
        <v>0</v>
      </c>
      <c r="AB16" s="184"/>
      <c r="AC16" s="96">
        <f t="shared" si="4"/>
        <v>0</v>
      </c>
      <c r="AD16" s="184"/>
      <c r="AE16" s="96">
        <f t="shared" si="5"/>
        <v>0</v>
      </c>
      <c r="AF16" s="184"/>
      <c r="AG16" s="96">
        <f t="shared" si="6"/>
        <v>0</v>
      </c>
      <c r="AH16" s="185"/>
      <c r="AI16" s="96">
        <f t="shared" si="7"/>
        <v>0</v>
      </c>
      <c r="AJ16" s="185">
        <v>0</v>
      </c>
      <c r="AK16" s="96">
        <f t="shared" si="8"/>
        <v>0</v>
      </c>
      <c r="AL16" s="185"/>
      <c r="AM16" s="96"/>
      <c r="AN16" s="185"/>
      <c r="AO16" s="96">
        <f t="shared" si="9"/>
        <v>0</v>
      </c>
      <c r="AP16" s="185"/>
      <c r="AQ16" s="96"/>
      <c r="AR16" s="185"/>
      <c r="AS16" s="96"/>
      <c r="AT16" s="185"/>
      <c r="AU16" s="96">
        <f t="shared" si="10"/>
        <v>0</v>
      </c>
      <c r="AV16" s="185"/>
      <c r="AW16" s="96">
        <f t="shared" si="11"/>
        <v>0</v>
      </c>
      <c r="AX16" s="185"/>
      <c r="AY16" s="96">
        <f t="shared" si="12"/>
        <v>0</v>
      </c>
      <c r="AZ16" s="185"/>
      <c r="BA16" s="96"/>
      <c r="BB16" s="185"/>
      <c r="BC16" s="96">
        <f t="shared" si="13"/>
        <v>0</v>
      </c>
      <c r="BD16" s="185"/>
      <c r="BE16" s="96">
        <f t="shared" si="14"/>
        <v>0</v>
      </c>
      <c r="BF16" s="185"/>
      <c r="BG16" s="96">
        <f t="shared" si="15"/>
        <v>0</v>
      </c>
      <c r="BH16" s="185"/>
      <c r="BI16" s="96">
        <f t="shared" si="16"/>
        <v>0</v>
      </c>
      <c r="BJ16" s="108">
        <f t="shared" ref="BJ16:BK18" si="18">BH16+BF16+BD16+BB16+AZ16+AX16+AV16+AT16+AR16+AP16+AN16+AL16+AJ16+AH16+AF16+AD16+AB16+Z16</f>
        <v>0</v>
      </c>
      <c r="BK16" s="108">
        <f t="shared" si="18"/>
        <v>0</v>
      </c>
      <c r="BL16" s="362"/>
      <c r="BN16" s="69"/>
      <c r="BO16" s="69"/>
      <c r="BP16" s="69"/>
      <c r="BQ16" s="69"/>
      <c r="BR16" s="69"/>
      <c r="BS16" s="69"/>
      <c r="BT16" s="69"/>
      <c r="BU16" s="69"/>
      <c r="BV16" s="108">
        <f t="shared" si="2"/>
        <v>0</v>
      </c>
    </row>
    <row r="17" spans="1:74" s="59" customFormat="1">
      <c r="A17" s="815"/>
      <c r="B17" s="201"/>
      <c r="C17" s="307" t="s">
        <v>437</v>
      </c>
      <c r="D17" s="362" t="s">
        <v>83</v>
      </c>
      <c r="E17" s="312" t="s">
        <v>540</v>
      </c>
      <c r="F17" s="184">
        <f>BJ17</f>
        <v>0</v>
      </c>
      <c r="G17" s="118">
        <f>F17*E17</f>
        <v>0</v>
      </c>
      <c r="H17" s="118"/>
      <c r="I17" s="118">
        <f>G17*0.8</f>
        <v>0</v>
      </c>
      <c r="J17" s="118"/>
      <c r="K17" s="118"/>
      <c r="L17" s="118"/>
      <c r="M17" s="118"/>
      <c r="N17" s="118"/>
      <c r="O17" s="150"/>
      <c r="P17" s="150">
        <f>G17*0.2</f>
        <v>0</v>
      </c>
      <c r="Q17" s="150"/>
      <c r="R17" s="202">
        <f>F17*0.25</f>
        <v>0</v>
      </c>
      <c r="S17" s="397">
        <f>F17*0.25</f>
        <v>0</v>
      </c>
      <c r="T17" s="397">
        <f>F17*0.25</f>
        <v>0</v>
      </c>
      <c r="U17" s="184">
        <f>F17*0.25</f>
        <v>0</v>
      </c>
      <c r="V17" s="396">
        <f>R17*E17</f>
        <v>0</v>
      </c>
      <c r="W17" s="396">
        <f>S17*E17</f>
        <v>0</v>
      </c>
      <c r="X17" s="396">
        <f>T17*E17</f>
        <v>0</v>
      </c>
      <c r="Y17" s="396">
        <f>U17*E17</f>
        <v>0</v>
      </c>
      <c r="Z17" s="184"/>
      <c r="AA17" s="96">
        <f t="shared" si="3"/>
        <v>0</v>
      </c>
      <c r="AB17" s="184"/>
      <c r="AC17" s="96">
        <f t="shared" si="4"/>
        <v>0</v>
      </c>
      <c r="AD17" s="184"/>
      <c r="AE17" s="96">
        <f t="shared" si="5"/>
        <v>0</v>
      </c>
      <c r="AF17" s="184"/>
      <c r="AG17" s="96">
        <f t="shared" si="6"/>
        <v>0</v>
      </c>
      <c r="AH17" s="184"/>
      <c r="AI17" s="96">
        <f t="shared" si="7"/>
        <v>0</v>
      </c>
      <c r="AJ17" s="184">
        <v>0</v>
      </c>
      <c r="AK17" s="96">
        <f t="shared" si="8"/>
        <v>0</v>
      </c>
      <c r="AL17" s="184"/>
      <c r="AM17" s="96">
        <f>AL17*E17</f>
        <v>0</v>
      </c>
      <c r="AN17" s="184"/>
      <c r="AO17" s="96">
        <f t="shared" si="9"/>
        <v>0</v>
      </c>
      <c r="AP17" s="184"/>
      <c r="AQ17" s="96">
        <f>AP17*E17</f>
        <v>0</v>
      </c>
      <c r="AR17" s="184"/>
      <c r="AS17" s="96">
        <f>AR17*E17</f>
        <v>0</v>
      </c>
      <c r="AT17" s="184"/>
      <c r="AU17" s="96">
        <f t="shared" si="10"/>
        <v>0</v>
      </c>
      <c r="AV17" s="184"/>
      <c r="AW17" s="96">
        <f t="shared" si="11"/>
        <v>0</v>
      </c>
      <c r="AX17" s="184"/>
      <c r="AY17" s="96">
        <f t="shared" si="12"/>
        <v>0</v>
      </c>
      <c r="AZ17" s="184"/>
      <c r="BA17" s="96"/>
      <c r="BB17" s="184"/>
      <c r="BC17" s="96">
        <f t="shared" si="13"/>
        <v>0</v>
      </c>
      <c r="BD17" s="184"/>
      <c r="BE17" s="96">
        <f t="shared" si="14"/>
        <v>0</v>
      </c>
      <c r="BF17" s="184"/>
      <c r="BG17" s="96">
        <f t="shared" si="15"/>
        <v>0</v>
      </c>
      <c r="BH17" s="184"/>
      <c r="BI17" s="96">
        <f t="shared" si="16"/>
        <v>0</v>
      </c>
      <c r="BJ17" s="108">
        <f t="shared" si="18"/>
        <v>0</v>
      </c>
      <c r="BK17" s="108">
        <f t="shared" si="18"/>
        <v>0</v>
      </c>
      <c r="BL17" s="362" t="s">
        <v>228</v>
      </c>
      <c r="BN17" s="69"/>
      <c r="BO17" s="69"/>
      <c r="BP17" s="69">
        <f>G17</f>
        <v>0</v>
      </c>
      <c r="BQ17" s="69"/>
      <c r="BR17" s="69">
        <f>BN17+BO17+BP17+BQ17</f>
        <v>0</v>
      </c>
      <c r="BS17" s="69"/>
      <c r="BT17" s="69"/>
      <c r="BU17" s="69">
        <f>BS17+BT17</f>
        <v>0</v>
      </c>
      <c r="BV17" s="108">
        <f t="shared" si="2"/>
        <v>0</v>
      </c>
    </row>
    <row r="18" spans="1:74" s="59" customFormat="1">
      <c r="A18" s="815"/>
      <c r="B18" s="201"/>
      <c r="C18" s="307" t="s">
        <v>438</v>
      </c>
      <c r="D18" s="362" t="s">
        <v>83</v>
      </c>
      <c r="E18" s="312" t="s">
        <v>475</v>
      </c>
      <c r="F18" s="184">
        <f>BJ18</f>
        <v>0</v>
      </c>
      <c r="G18" s="118">
        <f>F18*E18</f>
        <v>0</v>
      </c>
      <c r="H18" s="118"/>
      <c r="I18" s="118">
        <f>G18*0.8</f>
        <v>0</v>
      </c>
      <c r="J18" s="118"/>
      <c r="K18" s="118"/>
      <c r="L18" s="118"/>
      <c r="M18" s="118"/>
      <c r="N18" s="118"/>
      <c r="O18" s="150"/>
      <c r="P18" s="150">
        <f>G18*0.2</f>
        <v>0</v>
      </c>
      <c r="Q18" s="150"/>
      <c r="R18" s="202">
        <f>F18*0.25</f>
        <v>0</v>
      </c>
      <c r="S18" s="397">
        <f>F18*0.25</f>
        <v>0</v>
      </c>
      <c r="T18" s="397">
        <f>F18*0.25</f>
        <v>0</v>
      </c>
      <c r="U18" s="184">
        <f>F18*0.25</f>
        <v>0</v>
      </c>
      <c r="V18" s="396">
        <f>R18*E18</f>
        <v>0</v>
      </c>
      <c r="W18" s="396">
        <f>S18*E18</f>
        <v>0</v>
      </c>
      <c r="X18" s="396">
        <f>T18*E18</f>
        <v>0</v>
      </c>
      <c r="Y18" s="396">
        <f>U18*E18</f>
        <v>0</v>
      </c>
      <c r="Z18" s="184"/>
      <c r="AA18" s="96">
        <f t="shared" si="3"/>
        <v>0</v>
      </c>
      <c r="AB18" s="184"/>
      <c r="AC18" s="96">
        <f t="shared" si="4"/>
        <v>0</v>
      </c>
      <c r="AD18" s="184"/>
      <c r="AE18" s="96">
        <f t="shared" si="5"/>
        <v>0</v>
      </c>
      <c r="AF18" s="184"/>
      <c r="AG18" s="96">
        <f t="shared" si="6"/>
        <v>0</v>
      </c>
      <c r="AH18" s="184"/>
      <c r="AI18" s="96">
        <f t="shared" si="7"/>
        <v>0</v>
      </c>
      <c r="AJ18" s="184">
        <v>0</v>
      </c>
      <c r="AK18" s="96">
        <f t="shared" si="8"/>
        <v>0</v>
      </c>
      <c r="AL18" s="184"/>
      <c r="AM18" s="96">
        <f>AL18*E18</f>
        <v>0</v>
      </c>
      <c r="AN18" s="184"/>
      <c r="AO18" s="96">
        <f t="shared" si="9"/>
        <v>0</v>
      </c>
      <c r="AP18" s="184"/>
      <c r="AQ18" s="96">
        <f>AP18*E18</f>
        <v>0</v>
      </c>
      <c r="AR18" s="184"/>
      <c r="AS18" s="96">
        <f>AR18*E18</f>
        <v>0</v>
      </c>
      <c r="AT18" s="184"/>
      <c r="AU18" s="96">
        <f t="shared" si="10"/>
        <v>0</v>
      </c>
      <c r="AV18" s="184"/>
      <c r="AW18" s="96">
        <f t="shared" si="11"/>
        <v>0</v>
      </c>
      <c r="AX18" s="184"/>
      <c r="AY18" s="96">
        <f t="shared" si="12"/>
        <v>0</v>
      </c>
      <c r="AZ18" s="184"/>
      <c r="BA18" s="96"/>
      <c r="BB18" s="184"/>
      <c r="BC18" s="96">
        <f t="shared" si="13"/>
        <v>0</v>
      </c>
      <c r="BD18" s="184"/>
      <c r="BE18" s="96">
        <f t="shared" si="14"/>
        <v>0</v>
      </c>
      <c r="BF18" s="184"/>
      <c r="BG18" s="96">
        <f t="shared" si="15"/>
        <v>0</v>
      </c>
      <c r="BH18" s="184"/>
      <c r="BI18" s="96">
        <f t="shared" si="16"/>
        <v>0</v>
      </c>
      <c r="BJ18" s="108">
        <f t="shared" si="18"/>
        <v>0</v>
      </c>
      <c r="BK18" s="108">
        <f t="shared" si="18"/>
        <v>0</v>
      </c>
      <c r="BL18" s="362" t="s">
        <v>228</v>
      </c>
      <c r="BN18" s="69"/>
      <c r="BO18" s="69"/>
      <c r="BP18" s="69">
        <f>G18</f>
        <v>0</v>
      </c>
      <c r="BQ18" s="69"/>
      <c r="BR18" s="69">
        <f>BN18+BO18+BP18+BQ18</f>
        <v>0</v>
      </c>
      <c r="BS18" s="69"/>
      <c r="BT18" s="69"/>
      <c r="BU18" s="69">
        <f>BS18+BT18</f>
        <v>0</v>
      </c>
      <c r="BV18" s="108">
        <f t="shared" si="2"/>
        <v>0</v>
      </c>
    </row>
    <row r="19" spans="1:74" s="149" customFormat="1">
      <c r="A19" s="815"/>
      <c r="B19" s="614"/>
      <c r="C19" s="336" t="s">
        <v>564</v>
      </c>
      <c r="D19" s="364" t="s">
        <v>121</v>
      </c>
      <c r="E19" s="347" t="s">
        <v>121</v>
      </c>
      <c r="F19" s="366">
        <f>SUM(F17:F18)</f>
        <v>0</v>
      </c>
      <c r="G19" s="366">
        <f t="shared" ref="G19:BR19" si="19">SUM(G17:G18)</f>
        <v>0</v>
      </c>
      <c r="H19" s="366">
        <f t="shared" si="19"/>
        <v>0</v>
      </c>
      <c r="I19" s="366">
        <f t="shared" si="19"/>
        <v>0</v>
      </c>
      <c r="J19" s="366">
        <f t="shared" si="19"/>
        <v>0</v>
      </c>
      <c r="K19" s="366">
        <f t="shared" si="19"/>
        <v>0</v>
      </c>
      <c r="L19" s="366">
        <f t="shared" si="19"/>
        <v>0</v>
      </c>
      <c r="M19" s="366">
        <f t="shared" si="19"/>
        <v>0</v>
      </c>
      <c r="N19" s="366">
        <f t="shared" si="19"/>
        <v>0</v>
      </c>
      <c r="O19" s="366">
        <f t="shared" si="19"/>
        <v>0</v>
      </c>
      <c r="P19" s="366">
        <f t="shared" si="19"/>
        <v>0</v>
      </c>
      <c r="Q19" s="366">
        <f t="shared" si="19"/>
        <v>0</v>
      </c>
      <c r="R19" s="366">
        <f t="shared" si="19"/>
        <v>0</v>
      </c>
      <c r="S19" s="366">
        <f t="shared" si="19"/>
        <v>0</v>
      </c>
      <c r="T19" s="366">
        <f t="shared" si="19"/>
        <v>0</v>
      </c>
      <c r="U19" s="366">
        <f t="shared" si="19"/>
        <v>0</v>
      </c>
      <c r="V19" s="366">
        <f t="shared" si="19"/>
        <v>0</v>
      </c>
      <c r="W19" s="366">
        <f t="shared" si="19"/>
        <v>0</v>
      </c>
      <c r="X19" s="366">
        <f t="shared" si="19"/>
        <v>0</v>
      </c>
      <c r="Y19" s="366">
        <f t="shared" si="19"/>
        <v>0</v>
      </c>
      <c r="Z19" s="366">
        <f t="shared" si="19"/>
        <v>0</v>
      </c>
      <c r="AA19" s="366">
        <f t="shared" si="19"/>
        <v>0</v>
      </c>
      <c r="AB19" s="366">
        <f t="shared" si="19"/>
        <v>0</v>
      </c>
      <c r="AC19" s="366">
        <f t="shared" si="19"/>
        <v>0</v>
      </c>
      <c r="AD19" s="366">
        <f t="shared" si="19"/>
        <v>0</v>
      </c>
      <c r="AE19" s="366">
        <f t="shared" si="19"/>
        <v>0</v>
      </c>
      <c r="AF19" s="366">
        <f t="shared" si="19"/>
        <v>0</v>
      </c>
      <c r="AG19" s="366">
        <f t="shared" si="19"/>
        <v>0</v>
      </c>
      <c r="AH19" s="366">
        <f t="shared" si="19"/>
        <v>0</v>
      </c>
      <c r="AI19" s="366">
        <f t="shared" si="19"/>
        <v>0</v>
      </c>
      <c r="AJ19" s="366">
        <f t="shared" si="19"/>
        <v>0</v>
      </c>
      <c r="AK19" s="366">
        <f t="shared" si="19"/>
        <v>0</v>
      </c>
      <c r="AL19" s="366">
        <f t="shared" si="19"/>
        <v>0</v>
      </c>
      <c r="AM19" s="366">
        <f t="shared" si="19"/>
        <v>0</v>
      </c>
      <c r="AN19" s="366">
        <f t="shared" si="19"/>
        <v>0</v>
      </c>
      <c r="AO19" s="366">
        <f t="shared" si="19"/>
        <v>0</v>
      </c>
      <c r="AP19" s="366">
        <f t="shared" si="19"/>
        <v>0</v>
      </c>
      <c r="AQ19" s="366">
        <f t="shared" si="19"/>
        <v>0</v>
      </c>
      <c r="AR19" s="366">
        <f t="shared" si="19"/>
        <v>0</v>
      </c>
      <c r="AS19" s="366">
        <f t="shared" si="19"/>
        <v>0</v>
      </c>
      <c r="AT19" s="366">
        <f t="shared" si="19"/>
        <v>0</v>
      </c>
      <c r="AU19" s="366">
        <f t="shared" si="19"/>
        <v>0</v>
      </c>
      <c r="AV19" s="366">
        <f t="shared" si="19"/>
        <v>0</v>
      </c>
      <c r="AW19" s="366">
        <f t="shared" si="19"/>
        <v>0</v>
      </c>
      <c r="AX19" s="366">
        <f t="shared" si="19"/>
        <v>0</v>
      </c>
      <c r="AY19" s="366">
        <f t="shared" si="19"/>
        <v>0</v>
      </c>
      <c r="AZ19" s="366">
        <f t="shared" si="19"/>
        <v>0</v>
      </c>
      <c r="BA19" s="366">
        <f t="shared" si="19"/>
        <v>0</v>
      </c>
      <c r="BB19" s="366">
        <f t="shared" si="19"/>
        <v>0</v>
      </c>
      <c r="BC19" s="366">
        <f t="shared" si="19"/>
        <v>0</v>
      </c>
      <c r="BD19" s="366">
        <f t="shared" si="19"/>
        <v>0</v>
      </c>
      <c r="BE19" s="366">
        <f t="shared" si="19"/>
        <v>0</v>
      </c>
      <c r="BF19" s="366">
        <f t="shared" si="19"/>
        <v>0</v>
      </c>
      <c r="BG19" s="366">
        <f t="shared" si="19"/>
        <v>0</v>
      </c>
      <c r="BH19" s="366">
        <f t="shared" si="19"/>
        <v>0</v>
      </c>
      <c r="BI19" s="366">
        <f t="shared" si="19"/>
        <v>0</v>
      </c>
      <c r="BJ19" s="366">
        <f t="shared" si="19"/>
        <v>0</v>
      </c>
      <c r="BK19" s="366">
        <f t="shared" si="19"/>
        <v>0</v>
      </c>
      <c r="BL19" s="366">
        <f t="shared" si="19"/>
        <v>0</v>
      </c>
      <c r="BM19" s="366">
        <f t="shared" si="19"/>
        <v>0</v>
      </c>
      <c r="BN19" s="366">
        <f t="shared" si="19"/>
        <v>0</v>
      </c>
      <c r="BO19" s="366">
        <f t="shared" si="19"/>
        <v>0</v>
      </c>
      <c r="BP19" s="366">
        <f t="shared" si="19"/>
        <v>0</v>
      </c>
      <c r="BQ19" s="366">
        <f t="shared" si="19"/>
        <v>0</v>
      </c>
      <c r="BR19" s="366">
        <f t="shared" si="19"/>
        <v>0</v>
      </c>
      <c r="BS19" s="366">
        <f>SUM(BS17:BS18)</f>
        <v>0</v>
      </c>
      <c r="BT19" s="366">
        <f>SUM(BT17:BT18)</f>
        <v>0</v>
      </c>
      <c r="BU19" s="366">
        <f>SUM(BU17:BU18)</f>
        <v>0</v>
      </c>
      <c r="BV19" s="366">
        <f>SUM(BV17:BV18)</f>
        <v>0</v>
      </c>
    </row>
    <row r="20" spans="1:74" s="59" customFormat="1">
      <c r="A20" s="815"/>
      <c r="B20" s="93">
        <v>23300</v>
      </c>
      <c r="C20" s="309" t="s">
        <v>565</v>
      </c>
      <c r="D20" s="362"/>
      <c r="E20" s="362"/>
      <c r="F20" s="184"/>
      <c r="G20" s="615"/>
      <c r="H20" s="615"/>
      <c r="I20" s="615"/>
      <c r="J20" s="615"/>
      <c r="K20" s="615"/>
      <c r="L20" s="615"/>
      <c r="M20" s="615"/>
      <c r="N20" s="615"/>
      <c r="O20" s="614"/>
      <c r="P20" s="614"/>
      <c r="Q20" s="614"/>
      <c r="R20" s="202"/>
      <c r="S20" s="395"/>
      <c r="T20" s="395"/>
      <c r="U20" s="395"/>
      <c r="V20" s="395"/>
      <c r="W20" s="395"/>
      <c r="X20" s="395"/>
      <c r="Y20" s="395"/>
      <c r="Z20" s="184"/>
      <c r="AA20" s="96">
        <f t="shared" si="3"/>
        <v>0</v>
      </c>
      <c r="AB20" s="184"/>
      <c r="AC20" s="96">
        <f t="shared" si="4"/>
        <v>0</v>
      </c>
      <c r="AD20" s="184"/>
      <c r="AE20" s="96">
        <f t="shared" si="5"/>
        <v>0</v>
      </c>
      <c r="AF20" s="184"/>
      <c r="AG20" s="96">
        <f t="shared" si="6"/>
        <v>0</v>
      </c>
      <c r="AH20" s="185"/>
      <c r="AI20" s="96">
        <f t="shared" si="7"/>
        <v>0</v>
      </c>
      <c r="AJ20" s="185">
        <v>0</v>
      </c>
      <c r="AK20" s="96">
        <f t="shared" si="8"/>
        <v>0</v>
      </c>
      <c r="AL20" s="185"/>
      <c r="AM20" s="96">
        <f>AL20*E20</f>
        <v>0</v>
      </c>
      <c r="AN20" s="185"/>
      <c r="AO20" s="96">
        <f t="shared" si="9"/>
        <v>0</v>
      </c>
      <c r="AP20" s="185"/>
      <c r="AQ20" s="96"/>
      <c r="AR20" s="185"/>
      <c r="AS20" s="96"/>
      <c r="AT20" s="185"/>
      <c r="AU20" s="96">
        <f t="shared" si="10"/>
        <v>0</v>
      </c>
      <c r="AV20" s="185"/>
      <c r="AW20" s="96">
        <f t="shared" si="11"/>
        <v>0</v>
      </c>
      <c r="AX20" s="185"/>
      <c r="AY20" s="96">
        <f t="shared" si="12"/>
        <v>0</v>
      </c>
      <c r="AZ20" s="185"/>
      <c r="BA20" s="96"/>
      <c r="BB20" s="185"/>
      <c r="BC20" s="96">
        <f t="shared" si="13"/>
        <v>0</v>
      </c>
      <c r="BD20" s="185"/>
      <c r="BE20" s="96">
        <f t="shared" si="14"/>
        <v>0</v>
      </c>
      <c r="BF20" s="185"/>
      <c r="BG20" s="96">
        <f t="shared" si="15"/>
        <v>0</v>
      </c>
      <c r="BH20" s="185"/>
      <c r="BI20" s="96">
        <f t="shared" si="16"/>
        <v>0</v>
      </c>
      <c r="BJ20" s="108">
        <f t="shared" ref="BJ20:BK23" si="20">BH20+BF20+BD20+BB20+AZ20+AX20+AV20+AT20+AR20+AP20+AN20+AL20+AJ20+AH20+AF20+AD20+AB20+Z20</f>
        <v>0</v>
      </c>
      <c r="BK20" s="108">
        <f t="shared" si="20"/>
        <v>0</v>
      </c>
      <c r="BL20" s="362"/>
      <c r="BN20" s="69"/>
      <c r="BO20" s="69"/>
      <c r="BP20" s="69"/>
      <c r="BQ20" s="69"/>
      <c r="BR20" s="69"/>
      <c r="BS20" s="69"/>
      <c r="BT20" s="69"/>
      <c r="BU20" s="69"/>
      <c r="BV20" s="108">
        <f t="shared" si="2"/>
        <v>0</v>
      </c>
    </row>
    <row r="21" spans="1:74" s="59" customFormat="1">
      <c r="A21" s="815"/>
      <c r="B21" s="201"/>
      <c r="C21" s="307" t="s">
        <v>566</v>
      </c>
      <c r="D21" s="362" t="s">
        <v>83</v>
      </c>
      <c r="E21" s="312" t="s">
        <v>439</v>
      </c>
      <c r="F21" s="184">
        <f>BJ21</f>
        <v>3</v>
      </c>
      <c r="G21" s="118">
        <f>F21*E21</f>
        <v>900000</v>
      </c>
      <c r="H21" s="118"/>
      <c r="I21" s="118">
        <f>G21*0.8</f>
        <v>720000</v>
      </c>
      <c r="J21" s="118"/>
      <c r="K21" s="118"/>
      <c r="L21" s="118"/>
      <c r="M21" s="118"/>
      <c r="N21" s="118"/>
      <c r="O21" s="150"/>
      <c r="P21" s="150">
        <f>G21*0.2</f>
        <v>180000</v>
      </c>
      <c r="Q21" s="118"/>
      <c r="R21" s="202">
        <f>F21*0.25</f>
        <v>0.75</v>
      </c>
      <c r="S21" s="397">
        <f>F21*0.25</f>
        <v>0.75</v>
      </c>
      <c r="T21" s="397">
        <f>F21*0.25</f>
        <v>0.75</v>
      </c>
      <c r="U21" s="395">
        <f>F21*0.25</f>
        <v>0.75</v>
      </c>
      <c r="V21" s="396">
        <f>R21*E21</f>
        <v>225000</v>
      </c>
      <c r="W21" s="396">
        <f>S21*E21</f>
        <v>225000</v>
      </c>
      <c r="X21" s="396">
        <f>T21*E21</f>
        <v>225000</v>
      </c>
      <c r="Y21" s="396">
        <f>U21*E21</f>
        <v>225000</v>
      </c>
      <c r="Z21" s="184"/>
      <c r="AA21" s="96">
        <f t="shared" si="3"/>
        <v>0</v>
      </c>
      <c r="AB21" s="184"/>
      <c r="AC21" s="96">
        <f t="shared" si="4"/>
        <v>0</v>
      </c>
      <c r="AD21" s="184"/>
      <c r="AE21" s="96">
        <f t="shared" si="5"/>
        <v>0</v>
      </c>
      <c r="AF21" s="184"/>
      <c r="AG21" s="96">
        <f t="shared" si="6"/>
        <v>0</v>
      </c>
      <c r="AH21" s="184"/>
      <c r="AI21" s="96">
        <f t="shared" si="7"/>
        <v>0</v>
      </c>
      <c r="AJ21" s="184">
        <v>0</v>
      </c>
      <c r="AK21" s="96">
        <f t="shared" si="8"/>
        <v>0</v>
      </c>
      <c r="AL21" s="670">
        <v>3</v>
      </c>
      <c r="AM21" s="96">
        <f>AL21*E21</f>
        <v>900000</v>
      </c>
      <c r="AN21" s="184"/>
      <c r="AO21" s="96">
        <f t="shared" si="9"/>
        <v>0</v>
      </c>
      <c r="AP21" s="184"/>
      <c r="AQ21" s="96">
        <f>AP21*E21</f>
        <v>0</v>
      </c>
      <c r="AR21" s="184"/>
      <c r="AS21" s="96">
        <f>AR21*E21</f>
        <v>0</v>
      </c>
      <c r="AT21" s="184"/>
      <c r="AU21" s="96">
        <f t="shared" si="10"/>
        <v>0</v>
      </c>
      <c r="AV21" s="184"/>
      <c r="AW21" s="96">
        <f t="shared" si="11"/>
        <v>0</v>
      </c>
      <c r="AX21" s="184"/>
      <c r="AY21" s="96">
        <f t="shared" si="12"/>
        <v>0</v>
      </c>
      <c r="AZ21" s="184"/>
      <c r="BA21" s="96"/>
      <c r="BB21" s="184"/>
      <c r="BC21" s="96">
        <f t="shared" si="13"/>
        <v>0</v>
      </c>
      <c r="BD21" s="184"/>
      <c r="BE21" s="96">
        <f t="shared" si="14"/>
        <v>0</v>
      </c>
      <c r="BF21" s="184"/>
      <c r="BG21" s="96">
        <f t="shared" si="15"/>
        <v>0</v>
      </c>
      <c r="BH21" s="184"/>
      <c r="BI21" s="96">
        <f t="shared" si="16"/>
        <v>0</v>
      </c>
      <c r="BJ21" s="108">
        <f t="shared" si="20"/>
        <v>3</v>
      </c>
      <c r="BK21" s="108">
        <f t="shared" si="20"/>
        <v>900000</v>
      </c>
      <c r="BL21" s="362" t="s">
        <v>228</v>
      </c>
      <c r="BN21" s="69"/>
      <c r="BO21" s="69"/>
      <c r="BP21" s="69">
        <f>G21</f>
        <v>900000</v>
      </c>
      <c r="BQ21" s="69"/>
      <c r="BR21" s="69">
        <f>BQ21+BP21+BO21+BN21</f>
        <v>900000</v>
      </c>
      <c r="BS21" s="69"/>
      <c r="BT21" s="69"/>
      <c r="BU21" s="69">
        <f>BS21+BT21</f>
        <v>0</v>
      </c>
      <c r="BV21" s="108">
        <f t="shared" si="2"/>
        <v>900000</v>
      </c>
    </row>
    <row r="22" spans="1:74" s="59" customFormat="1">
      <c r="A22" s="815"/>
      <c r="B22" s="201"/>
      <c r="C22" s="307" t="s">
        <v>85</v>
      </c>
      <c r="D22" s="362" t="s">
        <v>83</v>
      </c>
      <c r="E22" s="312" t="s">
        <v>440</v>
      </c>
      <c r="F22" s="184">
        <f>BJ22</f>
        <v>0</v>
      </c>
      <c r="G22" s="118">
        <f>F22*E22</f>
        <v>0</v>
      </c>
      <c r="H22" s="118"/>
      <c r="I22" s="118">
        <f>G22*0.8</f>
        <v>0</v>
      </c>
      <c r="J22" s="118"/>
      <c r="K22" s="118"/>
      <c r="L22" s="118"/>
      <c r="M22" s="118"/>
      <c r="N22" s="118"/>
      <c r="O22" s="150"/>
      <c r="P22" s="150">
        <f>G22*0.2</f>
        <v>0</v>
      </c>
      <c r="Q22" s="118"/>
      <c r="R22" s="202">
        <f>F22*0.25</f>
        <v>0</v>
      </c>
      <c r="S22" s="397">
        <f>F22*0.25</f>
        <v>0</v>
      </c>
      <c r="T22" s="397">
        <f>F22*0.25</f>
        <v>0</v>
      </c>
      <c r="U22" s="395">
        <f>F22*0.25</f>
        <v>0</v>
      </c>
      <c r="V22" s="396">
        <f>R22*E22</f>
        <v>0</v>
      </c>
      <c r="W22" s="396">
        <f>S22*E22</f>
        <v>0</v>
      </c>
      <c r="X22" s="396">
        <f>T22*E22</f>
        <v>0</v>
      </c>
      <c r="Y22" s="396">
        <f>U22*E22</f>
        <v>0</v>
      </c>
      <c r="Z22" s="184"/>
      <c r="AA22" s="96">
        <f t="shared" si="3"/>
        <v>0</v>
      </c>
      <c r="AB22" s="184"/>
      <c r="AC22" s="96">
        <f t="shared" si="4"/>
        <v>0</v>
      </c>
      <c r="AD22" s="184"/>
      <c r="AE22" s="96">
        <f t="shared" si="5"/>
        <v>0</v>
      </c>
      <c r="AF22" s="184"/>
      <c r="AG22" s="96">
        <f t="shared" si="6"/>
        <v>0</v>
      </c>
      <c r="AH22" s="184"/>
      <c r="AI22" s="96">
        <f t="shared" si="7"/>
        <v>0</v>
      </c>
      <c r="AJ22" s="184">
        <v>0</v>
      </c>
      <c r="AK22" s="96">
        <f t="shared" si="8"/>
        <v>0</v>
      </c>
      <c r="AL22" s="184"/>
      <c r="AM22" s="96">
        <f>AL22*E22</f>
        <v>0</v>
      </c>
      <c r="AN22" s="184"/>
      <c r="AO22" s="96">
        <f t="shared" si="9"/>
        <v>0</v>
      </c>
      <c r="AP22" s="184"/>
      <c r="AQ22" s="96">
        <f>AP22*E22</f>
        <v>0</v>
      </c>
      <c r="AR22" s="184"/>
      <c r="AS22" s="96">
        <f>AR22*E22</f>
        <v>0</v>
      </c>
      <c r="AT22" s="184"/>
      <c r="AU22" s="96">
        <f t="shared" si="10"/>
        <v>0</v>
      </c>
      <c r="AV22" s="184"/>
      <c r="AW22" s="96">
        <f t="shared" si="11"/>
        <v>0</v>
      </c>
      <c r="AX22" s="184"/>
      <c r="AY22" s="96">
        <f t="shared" si="12"/>
        <v>0</v>
      </c>
      <c r="AZ22" s="184"/>
      <c r="BA22" s="96"/>
      <c r="BB22" s="184"/>
      <c r="BC22" s="96">
        <f t="shared" si="13"/>
        <v>0</v>
      </c>
      <c r="BD22" s="184"/>
      <c r="BE22" s="96">
        <f t="shared" si="14"/>
        <v>0</v>
      </c>
      <c r="BF22" s="184"/>
      <c r="BG22" s="96">
        <f t="shared" si="15"/>
        <v>0</v>
      </c>
      <c r="BH22" s="184"/>
      <c r="BI22" s="96">
        <f t="shared" si="16"/>
        <v>0</v>
      </c>
      <c r="BJ22" s="108">
        <f t="shared" si="20"/>
        <v>0</v>
      </c>
      <c r="BK22" s="108">
        <f t="shared" si="20"/>
        <v>0</v>
      </c>
      <c r="BL22" s="362" t="s">
        <v>228</v>
      </c>
      <c r="BN22" s="69"/>
      <c r="BO22" s="69"/>
      <c r="BP22" s="69">
        <f>G22</f>
        <v>0</v>
      </c>
      <c r="BQ22" s="69"/>
      <c r="BR22" s="69">
        <f>BN22+BO22+BP22+BQ22</f>
        <v>0</v>
      </c>
      <c r="BS22" s="69"/>
      <c r="BT22" s="69"/>
      <c r="BU22" s="69">
        <f>BS22+BT22</f>
        <v>0</v>
      </c>
      <c r="BV22" s="108">
        <f t="shared" si="2"/>
        <v>0</v>
      </c>
    </row>
    <row r="23" spans="1:74" s="59" customFormat="1">
      <c r="A23" s="815"/>
      <c r="B23" s="201"/>
      <c r="C23" s="307" t="s">
        <v>683</v>
      </c>
      <c r="D23" s="362" t="s">
        <v>64</v>
      </c>
      <c r="E23" s="312" t="s">
        <v>441</v>
      </c>
      <c r="F23" s="184">
        <f>BJ23</f>
        <v>0</v>
      </c>
      <c r="G23" s="118">
        <f>F23*E23</f>
        <v>0</v>
      </c>
      <c r="H23" s="118"/>
      <c r="I23" s="118">
        <f>G23*0.8</f>
        <v>0</v>
      </c>
      <c r="J23" s="118"/>
      <c r="K23" s="118"/>
      <c r="L23" s="118"/>
      <c r="M23" s="118"/>
      <c r="N23" s="118"/>
      <c r="O23" s="150"/>
      <c r="P23" s="150">
        <f>G23*0.2</f>
        <v>0</v>
      </c>
      <c r="Q23" s="118"/>
      <c r="R23" s="202">
        <f>F23*0.25</f>
        <v>0</v>
      </c>
      <c r="S23" s="397">
        <f>F23*0.25</f>
        <v>0</v>
      </c>
      <c r="T23" s="397">
        <f>F23*0.25</f>
        <v>0</v>
      </c>
      <c r="U23" s="395">
        <f>F23*0.25</f>
        <v>0</v>
      </c>
      <c r="V23" s="396">
        <f>R23*E23</f>
        <v>0</v>
      </c>
      <c r="W23" s="396">
        <f>S23*E23</f>
        <v>0</v>
      </c>
      <c r="X23" s="396">
        <f>T23*E23</f>
        <v>0</v>
      </c>
      <c r="Y23" s="396">
        <f>U23*E23</f>
        <v>0</v>
      </c>
      <c r="Z23" s="184"/>
      <c r="AA23" s="96">
        <f t="shared" si="3"/>
        <v>0</v>
      </c>
      <c r="AB23" s="184"/>
      <c r="AC23" s="96">
        <f t="shared" si="4"/>
        <v>0</v>
      </c>
      <c r="AD23" s="184"/>
      <c r="AE23" s="96">
        <f t="shared" si="5"/>
        <v>0</v>
      </c>
      <c r="AF23" s="184"/>
      <c r="AG23" s="96">
        <f t="shared" si="6"/>
        <v>0</v>
      </c>
      <c r="AH23" s="184"/>
      <c r="AI23" s="96">
        <f t="shared" si="7"/>
        <v>0</v>
      </c>
      <c r="AJ23" s="184">
        <v>0</v>
      </c>
      <c r="AK23" s="96">
        <f t="shared" si="8"/>
        <v>0</v>
      </c>
      <c r="AL23" s="184"/>
      <c r="AM23" s="96">
        <f>AL23*E23</f>
        <v>0</v>
      </c>
      <c r="AN23" s="184"/>
      <c r="AO23" s="96">
        <f t="shared" si="9"/>
        <v>0</v>
      </c>
      <c r="AP23" s="184"/>
      <c r="AQ23" s="96">
        <f>AP23*E23</f>
        <v>0</v>
      </c>
      <c r="AR23" s="184"/>
      <c r="AS23" s="96">
        <f>AR23*E23</f>
        <v>0</v>
      </c>
      <c r="AT23" s="184"/>
      <c r="AU23" s="96">
        <f t="shared" si="10"/>
        <v>0</v>
      </c>
      <c r="AV23" s="184"/>
      <c r="AW23" s="96">
        <f t="shared" si="11"/>
        <v>0</v>
      </c>
      <c r="AX23" s="184"/>
      <c r="AY23" s="96">
        <f t="shared" si="12"/>
        <v>0</v>
      </c>
      <c r="AZ23" s="184"/>
      <c r="BA23" s="96"/>
      <c r="BB23" s="184"/>
      <c r="BC23" s="96">
        <f t="shared" si="13"/>
        <v>0</v>
      </c>
      <c r="BD23" s="184"/>
      <c r="BE23" s="96">
        <f t="shared" si="14"/>
        <v>0</v>
      </c>
      <c r="BF23" s="184"/>
      <c r="BG23" s="96">
        <f t="shared" si="15"/>
        <v>0</v>
      </c>
      <c r="BH23" s="184"/>
      <c r="BI23" s="96">
        <f t="shared" si="16"/>
        <v>0</v>
      </c>
      <c r="BJ23" s="108">
        <f t="shared" si="20"/>
        <v>0</v>
      </c>
      <c r="BK23" s="108">
        <f t="shared" si="20"/>
        <v>0</v>
      </c>
      <c r="BL23" s="362" t="s">
        <v>228</v>
      </c>
      <c r="BN23" s="69"/>
      <c r="BO23" s="69"/>
      <c r="BP23" s="69">
        <f>G23</f>
        <v>0</v>
      </c>
      <c r="BQ23" s="69"/>
      <c r="BR23" s="69">
        <f>BN23+BO23+BP23+BQ23</f>
        <v>0</v>
      </c>
      <c r="BS23" s="69"/>
      <c r="BT23" s="69"/>
      <c r="BU23" s="69">
        <f>BS23+BT23</f>
        <v>0</v>
      </c>
      <c r="BV23" s="108">
        <f t="shared" si="2"/>
        <v>0</v>
      </c>
    </row>
    <row r="24" spans="1:74" s="149" customFormat="1">
      <c r="A24" s="815"/>
      <c r="B24" s="677"/>
      <c r="C24" s="336" t="s">
        <v>567</v>
      </c>
      <c r="D24" s="439" t="s">
        <v>121</v>
      </c>
      <c r="E24" s="440" t="s">
        <v>121</v>
      </c>
      <c r="F24" s="366">
        <f>SUM(F21:F23)</f>
        <v>3</v>
      </c>
      <c r="G24" s="366">
        <f t="shared" ref="G24:BR24" si="21">SUM(G21:G23)</f>
        <v>900000</v>
      </c>
      <c r="H24" s="366">
        <f t="shared" si="21"/>
        <v>0</v>
      </c>
      <c r="I24" s="366">
        <f t="shared" si="21"/>
        <v>720000</v>
      </c>
      <c r="J24" s="366">
        <f t="shared" si="21"/>
        <v>0</v>
      </c>
      <c r="K24" s="366">
        <f t="shared" si="21"/>
        <v>0</v>
      </c>
      <c r="L24" s="366">
        <f t="shared" si="21"/>
        <v>0</v>
      </c>
      <c r="M24" s="366">
        <f t="shared" si="21"/>
        <v>0</v>
      </c>
      <c r="N24" s="366">
        <f t="shared" si="21"/>
        <v>0</v>
      </c>
      <c r="O24" s="366">
        <f t="shared" si="21"/>
        <v>0</v>
      </c>
      <c r="P24" s="366">
        <f t="shared" si="21"/>
        <v>180000</v>
      </c>
      <c r="Q24" s="366">
        <f t="shared" si="21"/>
        <v>0</v>
      </c>
      <c r="R24" s="366">
        <f t="shared" si="21"/>
        <v>0.75</v>
      </c>
      <c r="S24" s="366">
        <f t="shared" si="21"/>
        <v>0.75</v>
      </c>
      <c r="T24" s="366">
        <f t="shared" si="21"/>
        <v>0.75</v>
      </c>
      <c r="U24" s="366">
        <f t="shared" si="21"/>
        <v>0.75</v>
      </c>
      <c r="V24" s="366">
        <f t="shared" si="21"/>
        <v>225000</v>
      </c>
      <c r="W24" s="366">
        <f t="shared" si="21"/>
        <v>225000</v>
      </c>
      <c r="X24" s="366">
        <f t="shared" si="21"/>
        <v>225000</v>
      </c>
      <c r="Y24" s="366">
        <f t="shared" si="21"/>
        <v>225000</v>
      </c>
      <c r="Z24" s="366">
        <f t="shared" si="21"/>
        <v>0</v>
      </c>
      <c r="AA24" s="366">
        <f t="shared" si="21"/>
        <v>0</v>
      </c>
      <c r="AB24" s="366">
        <f t="shared" si="21"/>
        <v>0</v>
      </c>
      <c r="AC24" s="366">
        <f t="shared" si="21"/>
        <v>0</v>
      </c>
      <c r="AD24" s="366">
        <f t="shared" si="21"/>
        <v>0</v>
      </c>
      <c r="AE24" s="366">
        <f t="shared" si="21"/>
        <v>0</v>
      </c>
      <c r="AF24" s="366">
        <f t="shared" si="21"/>
        <v>0</v>
      </c>
      <c r="AG24" s="366">
        <f t="shared" si="21"/>
        <v>0</v>
      </c>
      <c r="AH24" s="366">
        <f t="shared" si="21"/>
        <v>0</v>
      </c>
      <c r="AI24" s="366">
        <f t="shared" si="21"/>
        <v>0</v>
      </c>
      <c r="AJ24" s="366">
        <f t="shared" si="21"/>
        <v>0</v>
      </c>
      <c r="AK24" s="366">
        <f t="shared" si="21"/>
        <v>0</v>
      </c>
      <c r="AL24" s="366">
        <f t="shared" si="21"/>
        <v>3</v>
      </c>
      <c r="AM24" s="366">
        <f t="shared" si="21"/>
        <v>900000</v>
      </c>
      <c r="AN24" s="366">
        <f t="shared" si="21"/>
        <v>0</v>
      </c>
      <c r="AO24" s="366">
        <f t="shared" si="21"/>
        <v>0</v>
      </c>
      <c r="AP24" s="366">
        <f t="shared" si="21"/>
        <v>0</v>
      </c>
      <c r="AQ24" s="366">
        <f t="shared" si="21"/>
        <v>0</v>
      </c>
      <c r="AR24" s="366">
        <f t="shared" si="21"/>
        <v>0</v>
      </c>
      <c r="AS24" s="366">
        <f t="shared" si="21"/>
        <v>0</v>
      </c>
      <c r="AT24" s="366">
        <f t="shared" si="21"/>
        <v>0</v>
      </c>
      <c r="AU24" s="366">
        <f t="shared" si="21"/>
        <v>0</v>
      </c>
      <c r="AV24" s="366">
        <f t="shared" si="21"/>
        <v>0</v>
      </c>
      <c r="AW24" s="366">
        <f t="shared" si="21"/>
        <v>0</v>
      </c>
      <c r="AX24" s="366">
        <f t="shared" si="21"/>
        <v>0</v>
      </c>
      <c r="AY24" s="366">
        <f t="shared" si="21"/>
        <v>0</v>
      </c>
      <c r="AZ24" s="366">
        <f t="shared" si="21"/>
        <v>0</v>
      </c>
      <c r="BA24" s="366">
        <f t="shared" si="21"/>
        <v>0</v>
      </c>
      <c r="BB24" s="366">
        <f t="shared" si="21"/>
        <v>0</v>
      </c>
      <c r="BC24" s="366">
        <f t="shared" si="21"/>
        <v>0</v>
      </c>
      <c r="BD24" s="366">
        <f t="shared" si="21"/>
        <v>0</v>
      </c>
      <c r="BE24" s="366">
        <f t="shared" si="21"/>
        <v>0</v>
      </c>
      <c r="BF24" s="366">
        <f t="shared" si="21"/>
        <v>0</v>
      </c>
      <c r="BG24" s="366">
        <f t="shared" si="21"/>
        <v>0</v>
      </c>
      <c r="BH24" s="366">
        <f t="shared" si="21"/>
        <v>0</v>
      </c>
      <c r="BI24" s="366">
        <f t="shared" si="21"/>
        <v>0</v>
      </c>
      <c r="BJ24" s="366">
        <f t="shared" si="21"/>
        <v>3</v>
      </c>
      <c r="BK24" s="366">
        <f t="shared" si="21"/>
        <v>900000</v>
      </c>
      <c r="BL24" s="366">
        <f t="shared" si="21"/>
        <v>0</v>
      </c>
      <c r="BM24" s="366">
        <f t="shared" si="21"/>
        <v>0</v>
      </c>
      <c r="BN24" s="366">
        <f t="shared" si="21"/>
        <v>0</v>
      </c>
      <c r="BO24" s="366">
        <f t="shared" si="21"/>
        <v>0</v>
      </c>
      <c r="BP24" s="366">
        <f t="shared" si="21"/>
        <v>900000</v>
      </c>
      <c r="BQ24" s="366">
        <f t="shared" si="21"/>
        <v>0</v>
      </c>
      <c r="BR24" s="366">
        <f t="shared" si="21"/>
        <v>900000</v>
      </c>
      <c r="BS24" s="366">
        <f>SUM(BS21:BS23)</f>
        <v>0</v>
      </c>
      <c r="BT24" s="366">
        <f>SUM(BT21:BT23)</f>
        <v>0</v>
      </c>
      <c r="BU24" s="366">
        <f>SUM(BU21:BU23)</f>
        <v>0</v>
      </c>
      <c r="BV24" s="366">
        <f>SUM(BV21:BV23)</f>
        <v>900000</v>
      </c>
    </row>
    <row r="25" spans="1:74" s="59" customFormat="1">
      <c r="A25" s="815"/>
      <c r="B25" s="93">
        <v>23400</v>
      </c>
      <c r="C25" s="309" t="s">
        <v>568</v>
      </c>
      <c r="D25" s="362"/>
      <c r="E25" s="362"/>
      <c r="F25" s="184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6"/>
      <c r="S25" s="216"/>
      <c r="T25" s="216"/>
      <c r="U25" s="216"/>
      <c r="V25" s="216"/>
      <c r="W25" s="216"/>
      <c r="X25" s="216"/>
      <c r="Y25" s="216"/>
      <c r="Z25" s="184"/>
      <c r="AA25" s="96">
        <f t="shared" si="3"/>
        <v>0</v>
      </c>
      <c r="AB25" s="184"/>
      <c r="AC25" s="96">
        <f t="shared" si="4"/>
        <v>0</v>
      </c>
      <c r="AD25" s="184"/>
      <c r="AE25" s="96">
        <f t="shared" si="5"/>
        <v>0</v>
      </c>
      <c r="AF25" s="184"/>
      <c r="AG25" s="96">
        <f t="shared" si="6"/>
        <v>0</v>
      </c>
      <c r="AH25" s="184"/>
      <c r="AI25" s="96">
        <f t="shared" si="7"/>
        <v>0</v>
      </c>
      <c r="AJ25" s="184">
        <v>0</v>
      </c>
      <c r="AK25" s="96">
        <f t="shared" si="8"/>
        <v>0</v>
      </c>
      <c r="AL25" s="184"/>
      <c r="AM25" s="96"/>
      <c r="AN25" s="184"/>
      <c r="AO25" s="96">
        <f t="shared" si="9"/>
        <v>0</v>
      </c>
      <c r="AP25" s="184"/>
      <c r="AQ25" s="96"/>
      <c r="AR25" s="184"/>
      <c r="AS25" s="96"/>
      <c r="AT25" s="184"/>
      <c r="AU25" s="96">
        <f t="shared" si="10"/>
        <v>0</v>
      </c>
      <c r="AV25" s="184"/>
      <c r="AW25" s="96">
        <f t="shared" si="11"/>
        <v>0</v>
      </c>
      <c r="AX25" s="184"/>
      <c r="AY25" s="96">
        <f t="shared" si="12"/>
        <v>0</v>
      </c>
      <c r="AZ25" s="184"/>
      <c r="BA25" s="96"/>
      <c r="BB25" s="184"/>
      <c r="BC25" s="96">
        <f t="shared" si="13"/>
        <v>0</v>
      </c>
      <c r="BD25" s="184"/>
      <c r="BE25" s="96">
        <f t="shared" si="14"/>
        <v>0</v>
      </c>
      <c r="BF25" s="184"/>
      <c r="BG25" s="96">
        <f t="shared" si="15"/>
        <v>0</v>
      </c>
      <c r="BH25" s="184"/>
      <c r="BI25" s="96">
        <f t="shared" si="16"/>
        <v>0</v>
      </c>
      <c r="BJ25" s="184">
        <f>Z25+AB25+AD25+AF25+AH25+AJ25+AN25+AT25+AV25+AX25+BB25+BD25+BF25+BH25</f>
        <v>0</v>
      </c>
      <c r="BK25" s="96">
        <f>BH25+BF25+BD25+BB25+AZ25+AX25+AV25+AT25+AR25+AP25+AN25+AL25+AJ25+AH25+AF25+AD25+AB25+Z25</f>
        <v>0</v>
      </c>
      <c r="BL25" s="362"/>
      <c r="BN25" s="69"/>
      <c r="BO25" s="69"/>
      <c r="BP25" s="69"/>
      <c r="BQ25" s="69"/>
      <c r="BR25" s="69"/>
      <c r="BS25" s="69"/>
      <c r="BT25" s="69"/>
      <c r="BU25" s="69"/>
      <c r="BV25" s="108">
        <f t="shared" si="2"/>
        <v>0</v>
      </c>
    </row>
    <row r="26" spans="1:74" s="59" customFormat="1">
      <c r="A26" s="815"/>
      <c r="B26" s="203"/>
      <c r="C26" s="307" t="s">
        <v>734</v>
      </c>
      <c r="D26" s="362" t="s">
        <v>443</v>
      </c>
      <c r="E26" s="312">
        <v>12000</v>
      </c>
      <c r="F26" s="184">
        <f t="shared" ref="F26:F32" si="22">BJ26</f>
        <v>3450</v>
      </c>
      <c r="G26" s="118">
        <f t="shared" ref="G26:G31" si="23">E26*F26</f>
        <v>41400000</v>
      </c>
      <c r="H26" s="118">
        <f>G26*0</f>
        <v>0</v>
      </c>
      <c r="I26" s="118">
        <f>G26*0.8</f>
        <v>33120000</v>
      </c>
      <c r="J26" s="118"/>
      <c r="K26" s="118"/>
      <c r="L26" s="118"/>
      <c r="M26" s="118"/>
      <c r="N26" s="118"/>
      <c r="O26" s="150"/>
      <c r="P26" s="150">
        <f>G26*0.2</f>
        <v>8280000</v>
      </c>
      <c r="Q26" s="150"/>
      <c r="R26" s="92">
        <f t="shared" ref="R26:R32" si="24">F26*0.25</f>
        <v>862.5</v>
      </c>
      <c r="S26" s="92">
        <f t="shared" ref="S26:S32" si="25">F26*0.25</f>
        <v>862.5</v>
      </c>
      <c r="T26" s="92">
        <f t="shared" ref="T26:T32" si="26">F26*0.25</f>
        <v>862.5</v>
      </c>
      <c r="U26" s="92">
        <f t="shared" ref="U26:U32" si="27">F26*0.25</f>
        <v>862.5</v>
      </c>
      <c r="V26" s="396">
        <f t="shared" ref="V26:V32" si="28">R26*E26</f>
        <v>10350000</v>
      </c>
      <c r="W26" s="396">
        <f t="shared" ref="W26:W32" si="29">S26*E26</f>
        <v>10350000</v>
      </c>
      <c r="X26" s="396">
        <f t="shared" ref="X26:X32" si="30">T26*E26</f>
        <v>10350000</v>
      </c>
      <c r="Y26" s="396">
        <f t="shared" ref="Y26:Y32" si="31">U26*E26</f>
        <v>10350000</v>
      </c>
      <c r="Z26" s="184">
        <v>200</v>
      </c>
      <c r="AA26" s="96">
        <f t="shared" si="3"/>
        <v>2400000</v>
      </c>
      <c r="AB26" s="184">
        <v>150</v>
      </c>
      <c r="AC26" s="96">
        <f t="shared" si="4"/>
        <v>1800000</v>
      </c>
      <c r="AD26" s="184">
        <v>150</v>
      </c>
      <c r="AE26" s="96">
        <f t="shared" si="5"/>
        <v>1800000</v>
      </c>
      <c r="AF26" s="184">
        <v>150</v>
      </c>
      <c r="AG26" s="96">
        <f t="shared" si="6"/>
        <v>1800000</v>
      </c>
      <c r="AH26" s="184">
        <v>200</v>
      </c>
      <c r="AI26" s="96">
        <f t="shared" si="7"/>
        <v>2400000</v>
      </c>
      <c r="AJ26" s="184">
        <v>200</v>
      </c>
      <c r="AK26" s="96">
        <f t="shared" si="8"/>
        <v>2400000</v>
      </c>
      <c r="AL26" s="184">
        <v>200</v>
      </c>
      <c r="AM26" s="96">
        <f>AL26*E26</f>
        <v>2400000</v>
      </c>
      <c r="AN26" s="184">
        <v>200</v>
      </c>
      <c r="AO26" s="96">
        <f t="shared" si="9"/>
        <v>2400000</v>
      </c>
      <c r="AP26" s="184">
        <v>200</v>
      </c>
      <c r="AQ26" s="96">
        <f t="shared" ref="AQ26:AQ32" si="32">AP26*E26</f>
        <v>2400000</v>
      </c>
      <c r="AR26" s="184">
        <v>200</v>
      </c>
      <c r="AS26" s="96">
        <f t="shared" ref="AS26:AS32" si="33">AR26*E26</f>
        <v>2400000</v>
      </c>
      <c r="AT26" s="184">
        <v>250</v>
      </c>
      <c r="AU26" s="96">
        <f t="shared" si="10"/>
        <v>3000000</v>
      </c>
      <c r="AV26" s="184">
        <v>200</v>
      </c>
      <c r="AW26" s="96">
        <f t="shared" si="11"/>
        <v>2400000</v>
      </c>
      <c r="AX26" s="184">
        <v>250</v>
      </c>
      <c r="AY26" s="96">
        <f t="shared" si="12"/>
        <v>3000000</v>
      </c>
      <c r="AZ26" s="184">
        <v>250</v>
      </c>
      <c r="BA26" s="96">
        <f t="shared" ref="BA26:BA32" si="34">AZ26*E26</f>
        <v>3000000</v>
      </c>
      <c r="BB26" s="184">
        <v>250</v>
      </c>
      <c r="BC26" s="96">
        <f t="shared" si="13"/>
        <v>3000000</v>
      </c>
      <c r="BD26" s="184">
        <v>200</v>
      </c>
      <c r="BE26" s="96">
        <f t="shared" si="14"/>
        <v>2400000</v>
      </c>
      <c r="BF26" s="184">
        <v>200</v>
      </c>
      <c r="BG26" s="96">
        <f t="shared" si="15"/>
        <v>2400000</v>
      </c>
      <c r="BH26" s="184"/>
      <c r="BI26" s="96">
        <f t="shared" si="16"/>
        <v>0</v>
      </c>
      <c r="BJ26" s="108">
        <f t="shared" ref="BJ26:BJ32" si="35">BH26+BF26+BD26+BB26+AZ26+AX26+AV26+AT26+AR26+AP26+AN26+AL26+AJ26+AH26+AF26+AD26+AB26+Z26</f>
        <v>3450</v>
      </c>
      <c r="BK26" s="108">
        <f t="shared" ref="BK26:BK32" si="36">BI26+BG26+BE26+BC26+BA26+AY26+AW26+AU26+AS26+AQ26+AO26+AM26+AK26+AI26+AG26+AE26+AC26+AA26</f>
        <v>41400000</v>
      </c>
      <c r="BL26" s="362" t="s">
        <v>728</v>
      </c>
      <c r="BN26" s="69"/>
      <c r="BO26" s="69"/>
      <c r="BP26" s="69">
        <f t="shared" ref="BP26:BP32" si="37">G26</f>
        <v>41400000</v>
      </c>
      <c r="BQ26" s="69"/>
      <c r="BR26" s="69">
        <f t="shared" ref="BR26:BR32" si="38">BN26+BO26+BP26+BQ26</f>
        <v>41400000</v>
      </c>
      <c r="BS26" s="69"/>
      <c r="BT26" s="69"/>
      <c r="BU26" s="69">
        <f>BS26+BT26</f>
        <v>0</v>
      </c>
      <c r="BV26" s="108">
        <f t="shared" si="2"/>
        <v>41400000</v>
      </c>
    </row>
    <row r="27" spans="1:74" s="59" customFormat="1" ht="31.5">
      <c r="A27" s="815"/>
      <c r="B27" s="203"/>
      <c r="C27" s="503" t="s">
        <v>745</v>
      </c>
      <c r="D27" s="377" t="s">
        <v>443</v>
      </c>
      <c r="E27" s="325">
        <v>12000</v>
      </c>
      <c r="F27" s="184">
        <f t="shared" si="22"/>
        <v>2060</v>
      </c>
      <c r="G27" s="118">
        <f t="shared" si="23"/>
        <v>24720000</v>
      </c>
      <c r="H27" s="118"/>
      <c r="I27" s="118"/>
      <c r="J27" s="118">
        <f>G27*0.8</f>
        <v>19776000</v>
      </c>
      <c r="K27" s="118"/>
      <c r="L27" s="118"/>
      <c r="M27" s="118"/>
      <c r="N27" s="118"/>
      <c r="O27" s="150"/>
      <c r="P27" s="150">
        <f>G27*0.2</f>
        <v>4944000</v>
      </c>
      <c r="Q27" s="150"/>
      <c r="R27" s="92">
        <f t="shared" si="24"/>
        <v>515</v>
      </c>
      <c r="S27" s="92">
        <f t="shared" si="25"/>
        <v>515</v>
      </c>
      <c r="T27" s="92">
        <f t="shared" si="26"/>
        <v>515</v>
      </c>
      <c r="U27" s="92">
        <f t="shared" si="27"/>
        <v>515</v>
      </c>
      <c r="V27" s="396">
        <f t="shared" si="28"/>
        <v>6180000</v>
      </c>
      <c r="W27" s="396">
        <f t="shared" si="29"/>
        <v>6180000</v>
      </c>
      <c r="X27" s="396">
        <f t="shared" si="30"/>
        <v>6180000</v>
      </c>
      <c r="Y27" s="396">
        <f t="shared" si="31"/>
        <v>6180000</v>
      </c>
      <c r="Z27" s="184">
        <v>100</v>
      </c>
      <c r="AA27" s="96">
        <f t="shared" si="3"/>
        <v>1200000</v>
      </c>
      <c r="AB27" s="184">
        <v>100</v>
      </c>
      <c r="AC27" s="96">
        <f t="shared" si="4"/>
        <v>1200000</v>
      </c>
      <c r="AD27" s="184">
        <v>100</v>
      </c>
      <c r="AE27" s="96">
        <f t="shared" si="5"/>
        <v>1200000</v>
      </c>
      <c r="AF27" s="184">
        <v>100</v>
      </c>
      <c r="AG27" s="96">
        <f t="shared" si="6"/>
        <v>1200000</v>
      </c>
      <c r="AH27" s="184">
        <v>100</v>
      </c>
      <c r="AI27" s="96">
        <f t="shared" si="7"/>
        <v>1200000</v>
      </c>
      <c r="AJ27" s="184">
        <v>100</v>
      </c>
      <c r="AK27" s="96">
        <f t="shared" si="8"/>
        <v>1200000</v>
      </c>
      <c r="AL27" s="184">
        <v>100</v>
      </c>
      <c r="AM27" s="96">
        <f t="shared" ref="AM27:AM32" si="39">AL27*E27</f>
        <v>1200000</v>
      </c>
      <c r="AN27" s="184">
        <v>150</v>
      </c>
      <c r="AO27" s="96">
        <f t="shared" si="9"/>
        <v>1800000</v>
      </c>
      <c r="AP27" s="184">
        <v>100</v>
      </c>
      <c r="AQ27" s="96">
        <f t="shared" si="32"/>
        <v>1200000</v>
      </c>
      <c r="AR27" s="184">
        <v>100</v>
      </c>
      <c r="AS27" s="96">
        <f t="shared" si="33"/>
        <v>1200000</v>
      </c>
      <c r="AT27" s="184">
        <v>150</v>
      </c>
      <c r="AU27" s="96">
        <f t="shared" si="10"/>
        <v>1800000</v>
      </c>
      <c r="AV27" s="184">
        <v>100</v>
      </c>
      <c r="AW27" s="96">
        <f t="shared" si="11"/>
        <v>1200000</v>
      </c>
      <c r="AX27" s="184">
        <v>150</v>
      </c>
      <c r="AY27" s="96">
        <f t="shared" si="12"/>
        <v>1800000</v>
      </c>
      <c r="AZ27" s="184">
        <v>160</v>
      </c>
      <c r="BA27" s="96">
        <f t="shared" si="34"/>
        <v>1920000</v>
      </c>
      <c r="BB27" s="184">
        <v>200</v>
      </c>
      <c r="BC27" s="96">
        <f t="shared" si="13"/>
        <v>2400000</v>
      </c>
      <c r="BD27" s="184">
        <v>150</v>
      </c>
      <c r="BE27" s="96">
        <f t="shared" si="14"/>
        <v>1800000</v>
      </c>
      <c r="BF27" s="184">
        <v>100</v>
      </c>
      <c r="BG27" s="96">
        <f t="shared" si="15"/>
        <v>1200000</v>
      </c>
      <c r="BH27" s="184">
        <v>0</v>
      </c>
      <c r="BI27" s="96">
        <f t="shared" si="16"/>
        <v>0</v>
      </c>
      <c r="BJ27" s="108">
        <f t="shared" si="35"/>
        <v>2060</v>
      </c>
      <c r="BK27" s="108">
        <f t="shared" si="36"/>
        <v>24720000</v>
      </c>
      <c r="BL27" s="377" t="s">
        <v>736</v>
      </c>
      <c r="BN27" s="69"/>
      <c r="BO27" s="69"/>
      <c r="BP27" s="69">
        <f t="shared" si="37"/>
        <v>24720000</v>
      </c>
      <c r="BQ27" s="69"/>
      <c r="BR27" s="69">
        <f t="shared" si="38"/>
        <v>24720000</v>
      </c>
      <c r="BS27" s="69"/>
      <c r="BT27" s="69"/>
      <c r="BU27" s="69"/>
      <c r="BV27" s="108">
        <f t="shared" si="2"/>
        <v>24720000</v>
      </c>
    </row>
    <row r="28" spans="1:74" s="59" customFormat="1" ht="47.25">
      <c r="A28" s="815"/>
      <c r="B28" s="203"/>
      <c r="C28" s="503" t="s">
        <v>747</v>
      </c>
      <c r="D28" s="377" t="s">
        <v>326</v>
      </c>
      <c r="E28" s="325">
        <v>1500000</v>
      </c>
      <c r="F28" s="184">
        <f t="shared" si="22"/>
        <v>12</v>
      </c>
      <c r="G28" s="118">
        <f t="shared" si="23"/>
        <v>18000000</v>
      </c>
      <c r="H28" s="118"/>
      <c r="I28" s="118"/>
      <c r="J28" s="118"/>
      <c r="K28" s="118"/>
      <c r="L28" s="118">
        <f>G28</f>
        <v>18000000</v>
      </c>
      <c r="M28" s="118"/>
      <c r="N28" s="118"/>
      <c r="O28" s="150"/>
      <c r="P28" s="150"/>
      <c r="Q28" s="150"/>
      <c r="R28" s="92">
        <f t="shared" si="24"/>
        <v>3</v>
      </c>
      <c r="S28" s="92">
        <f t="shared" si="25"/>
        <v>3</v>
      </c>
      <c r="T28" s="92">
        <f t="shared" si="26"/>
        <v>3</v>
      </c>
      <c r="U28" s="92">
        <f t="shared" si="27"/>
        <v>3</v>
      </c>
      <c r="V28" s="396">
        <f t="shared" si="28"/>
        <v>4500000</v>
      </c>
      <c r="W28" s="396">
        <f t="shared" si="29"/>
        <v>4500000</v>
      </c>
      <c r="X28" s="396">
        <f t="shared" si="30"/>
        <v>4500000</v>
      </c>
      <c r="Y28" s="396">
        <f t="shared" si="31"/>
        <v>4500000</v>
      </c>
      <c r="Z28" s="184">
        <v>1</v>
      </c>
      <c r="AA28" s="96">
        <f t="shared" si="3"/>
        <v>1500000</v>
      </c>
      <c r="AB28" s="184">
        <v>1</v>
      </c>
      <c r="AC28" s="96">
        <f t="shared" si="4"/>
        <v>1500000</v>
      </c>
      <c r="AD28" s="184">
        <v>1</v>
      </c>
      <c r="AE28" s="96">
        <f t="shared" si="5"/>
        <v>1500000</v>
      </c>
      <c r="AF28" s="184">
        <v>0</v>
      </c>
      <c r="AG28" s="96">
        <f t="shared" si="6"/>
        <v>0</v>
      </c>
      <c r="AH28" s="184">
        <v>1</v>
      </c>
      <c r="AI28" s="96">
        <f t="shared" si="7"/>
        <v>1500000</v>
      </c>
      <c r="AJ28" s="184">
        <v>0</v>
      </c>
      <c r="AK28" s="96">
        <f t="shared" si="8"/>
        <v>0</v>
      </c>
      <c r="AL28" s="184">
        <v>1</v>
      </c>
      <c r="AM28" s="96">
        <f t="shared" si="39"/>
        <v>1500000</v>
      </c>
      <c r="AN28" s="184">
        <v>1</v>
      </c>
      <c r="AO28" s="96">
        <f t="shared" si="9"/>
        <v>1500000</v>
      </c>
      <c r="AP28" s="184">
        <v>0</v>
      </c>
      <c r="AQ28" s="96">
        <f t="shared" si="32"/>
        <v>0</v>
      </c>
      <c r="AR28" s="184">
        <v>1</v>
      </c>
      <c r="AS28" s="96">
        <f t="shared" si="33"/>
        <v>1500000</v>
      </c>
      <c r="AT28" s="184">
        <v>1</v>
      </c>
      <c r="AU28" s="96">
        <f t="shared" si="10"/>
        <v>1500000</v>
      </c>
      <c r="AV28" s="184">
        <v>0</v>
      </c>
      <c r="AW28" s="96">
        <f t="shared" si="11"/>
        <v>0</v>
      </c>
      <c r="AX28" s="184">
        <v>1</v>
      </c>
      <c r="AY28" s="96">
        <f t="shared" si="12"/>
        <v>1500000</v>
      </c>
      <c r="AZ28" s="184">
        <v>1</v>
      </c>
      <c r="BA28" s="96">
        <f t="shared" si="34"/>
        <v>1500000</v>
      </c>
      <c r="BB28" s="184">
        <v>1</v>
      </c>
      <c r="BC28" s="96">
        <f t="shared" si="13"/>
        <v>1500000</v>
      </c>
      <c r="BD28" s="184">
        <v>1</v>
      </c>
      <c r="BE28" s="96">
        <f t="shared" si="14"/>
        <v>1500000</v>
      </c>
      <c r="BF28" s="184">
        <v>0</v>
      </c>
      <c r="BG28" s="96">
        <f t="shared" si="15"/>
        <v>0</v>
      </c>
      <c r="BH28" s="184"/>
      <c r="BI28" s="96"/>
      <c r="BJ28" s="108">
        <f t="shared" si="35"/>
        <v>12</v>
      </c>
      <c r="BK28" s="108">
        <f t="shared" si="36"/>
        <v>18000000</v>
      </c>
      <c r="BL28" s="377" t="s">
        <v>733</v>
      </c>
      <c r="BN28" s="69"/>
      <c r="BO28" s="69"/>
      <c r="BP28" s="69">
        <f t="shared" si="37"/>
        <v>18000000</v>
      </c>
      <c r="BQ28" s="69"/>
      <c r="BR28" s="69">
        <f t="shared" si="38"/>
        <v>18000000</v>
      </c>
      <c r="BS28" s="69"/>
      <c r="BT28" s="69"/>
      <c r="BU28" s="69"/>
      <c r="BV28" s="108">
        <f t="shared" si="2"/>
        <v>18000000</v>
      </c>
    </row>
    <row r="29" spans="1:74" s="59" customFormat="1" ht="47.25">
      <c r="A29" s="815"/>
      <c r="B29" s="203"/>
      <c r="C29" s="503" t="s">
        <v>746</v>
      </c>
      <c r="D29" s="377" t="s">
        <v>326</v>
      </c>
      <c r="E29" s="325">
        <v>1500000</v>
      </c>
      <c r="F29" s="184">
        <f t="shared" si="22"/>
        <v>17</v>
      </c>
      <c r="G29" s="118">
        <f t="shared" si="23"/>
        <v>25500000</v>
      </c>
      <c r="H29" s="118"/>
      <c r="I29" s="118"/>
      <c r="J29" s="118">
        <f>G29</f>
        <v>25500000</v>
      </c>
      <c r="K29" s="118"/>
      <c r="L29" s="118"/>
      <c r="M29" s="118"/>
      <c r="N29" s="118"/>
      <c r="O29" s="150"/>
      <c r="P29" s="150"/>
      <c r="Q29" s="150"/>
      <c r="R29" s="92">
        <f t="shared" si="24"/>
        <v>4.25</v>
      </c>
      <c r="S29" s="92">
        <f t="shared" si="25"/>
        <v>4.25</v>
      </c>
      <c r="T29" s="92">
        <f t="shared" si="26"/>
        <v>4.25</v>
      </c>
      <c r="U29" s="92">
        <f t="shared" si="27"/>
        <v>4.25</v>
      </c>
      <c r="V29" s="396">
        <f t="shared" si="28"/>
        <v>6375000</v>
      </c>
      <c r="W29" s="396">
        <f t="shared" si="29"/>
        <v>6375000</v>
      </c>
      <c r="X29" s="396">
        <f t="shared" si="30"/>
        <v>6375000</v>
      </c>
      <c r="Y29" s="396">
        <f t="shared" si="31"/>
        <v>6375000</v>
      </c>
      <c r="Z29" s="184">
        <v>1</v>
      </c>
      <c r="AA29" s="96">
        <f>Z29*E29</f>
        <v>1500000</v>
      </c>
      <c r="AB29" s="184">
        <v>1</v>
      </c>
      <c r="AC29" s="96">
        <f>AB29*E29</f>
        <v>1500000</v>
      </c>
      <c r="AD29" s="184">
        <v>1</v>
      </c>
      <c r="AE29" s="96">
        <f>AD29*E29</f>
        <v>1500000</v>
      </c>
      <c r="AF29" s="184">
        <v>1</v>
      </c>
      <c r="AG29" s="96">
        <f>AF29*E29</f>
        <v>1500000</v>
      </c>
      <c r="AH29" s="184">
        <v>1</v>
      </c>
      <c r="AI29" s="96">
        <f>AH29*E29</f>
        <v>1500000</v>
      </c>
      <c r="AJ29" s="184">
        <v>1</v>
      </c>
      <c r="AK29" s="96">
        <f>AJ29*E29</f>
        <v>1500000</v>
      </c>
      <c r="AL29" s="184">
        <v>1</v>
      </c>
      <c r="AM29" s="96">
        <f>AL29*E29</f>
        <v>1500000</v>
      </c>
      <c r="AN29" s="184">
        <v>1</v>
      </c>
      <c r="AO29" s="96">
        <f>AN29*E29</f>
        <v>1500000</v>
      </c>
      <c r="AP29" s="184">
        <v>1</v>
      </c>
      <c r="AQ29" s="96">
        <f>AP29*E29</f>
        <v>1500000</v>
      </c>
      <c r="AR29" s="184">
        <v>1</v>
      </c>
      <c r="AS29" s="96">
        <f>AR29*E29</f>
        <v>1500000</v>
      </c>
      <c r="AT29" s="184">
        <v>1</v>
      </c>
      <c r="AU29" s="96">
        <f>AT29*E29</f>
        <v>1500000</v>
      </c>
      <c r="AV29" s="184">
        <v>1</v>
      </c>
      <c r="AW29" s="96">
        <f>AV29*E29</f>
        <v>1500000</v>
      </c>
      <c r="AX29" s="184">
        <v>1</v>
      </c>
      <c r="AY29" s="96">
        <f>AX29*E29</f>
        <v>1500000</v>
      </c>
      <c r="AZ29" s="184">
        <v>1</v>
      </c>
      <c r="BA29" s="96">
        <f>AZ29*E29</f>
        <v>1500000</v>
      </c>
      <c r="BB29" s="184">
        <v>1</v>
      </c>
      <c r="BC29" s="96">
        <f>BB29*E29</f>
        <v>1500000</v>
      </c>
      <c r="BD29" s="184">
        <v>1</v>
      </c>
      <c r="BE29" s="96">
        <f>BD29*E29</f>
        <v>1500000</v>
      </c>
      <c r="BF29" s="184">
        <v>1</v>
      </c>
      <c r="BG29" s="96">
        <f>BF29*E29</f>
        <v>1500000</v>
      </c>
      <c r="BH29" s="184"/>
      <c r="BI29" s="96"/>
      <c r="BJ29" s="108">
        <f>BH29+BF29+BD29+BB29+AZ29+AX29+AV29+AT29+AR29+AP29+AN29+AL29+AJ29+AH29+AF29+AD29+AB29+Z29</f>
        <v>17</v>
      </c>
      <c r="BK29" s="108">
        <f>BI29+BG29+BE29+BC29+BA29+AY29+AW29+AU29+AS29+AQ29+AO29+AM29+AK29+AI29+AG29+AE29+AC29+AA29</f>
        <v>25500000</v>
      </c>
      <c r="BL29" s="377" t="s">
        <v>737</v>
      </c>
      <c r="BN29" s="69"/>
      <c r="BO29" s="69"/>
      <c r="BP29" s="69">
        <f t="shared" si="37"/>
        <v>25500000</v>
      </c>
      <c r="BQ29" s="69"/>
      <c r="BR29" s="69">
        <f t="shared" si="38"/>
        <v>25500000</v>
      </c>
      <c r="BS29" s="69"/>
      <c r="BT29" s="69"/>
      <c r="BU29" s="69"/>
      <c r="BV29" s="108">
        <f t="shared" si="2"/>
        <v>25500000</v>
      </c>
    </row>
    <row r="30" spans="1:74" s="59" customFormat="1">
      <c r="A30" s="815"/>
      <c r="B30" s="203"/>
      <c r="C30" s="307" t="s">
        <v>735</v>
      </c>
      <c r="D30" s="362" t="s">
        <v>443</v>
      </c>
      <c r="E30" s="312">
        <v>12000</v>
      </c>
      <c r="F30" s="184">
        <f>BJ30</f>
        <v>1670</v>
      </c>
      <c r="G30" s="118">
        <f t="shared" si="23"/>
        <v>20040000</v>
      </c>
      <c r="H30" s="118"/>
      <c r="I30" s="118"/>
      <c r="J30" s="118"/>
      <c r="K30" s="118"/>
      <c r="L30" s="118">
        <f>G30*0.8</f>
        <v>16032000</v>
      </c>
      <c r="M30" s="118"/>
      <c r="N30" s="118"/>
      <c r="O30" s="150"/>
      <c r="P30" s="150">
        <f>G30*0.2</f>
        <v>4008000</v>
      </c>
      <c r="Q30" s="150"/>
      <c r="R30" s="92">
        <f t="shared" si="24"/>
        <v>417.5</v>
      </c>
      <c r="S30" s="92">
        <f t="shared" si="25"/>
        <v>417.5</v>
      </c>
      <c r="T30" s="92">
        <f t="shared" si="26"/>
        <v>417.5</v>
      </c>
      <c r="U30" s="92">
        <f t="shared" si="27"/>
        <v>417.5</v>
      </c>
      <c r="V30" s="396">
        <f t="shared" si="28"/>
        <v>5010000</v>
      </c>
      <c r="W30" s="396">
        <f t="shared" si="29"/>
        <v>5010000</v>
      </c>
      <c r="X30" s="396">
        <f t="shared" si="30"/>
        <v>5010000</v>
      </c>
      <c r="Y30" s="396">
        <f t="shared" si="31"/>
        <v>5010000</v>
      </c>
      <c r="Z30" s="184">
        <v>100</v>
      </c>
      <c r="AA30" s="96">
        <f t="shared" si="3"/>
        <v>1200000</v>
      </c>
      <c r="AB30" s="184">
        <v>100</v>
      </c>
      <c r="AC30" s="96">
        <f t="shared" si="4"/>
        <v>1200000</v>
      </c>
      <c r="AD30" s="184">
        <v>100</v>
      </c>
      <c r="AE30" s="96">
        <f t="shared" si="5"/>
        <v>1200000</v>
      </c>
      <c r="AF30" s="184">
        <v>100</v>
      </c>
      <c r="AG30" s="96">
        <f t="shared" si="6"/>
        <v>1200000</v>
      </c>
      <c r="AH30" s="184">
        <v>100</v>
      </c>
      <c r="AI30" s="96">
        <f t="shared" si="7"/>
        <v>1200000</v>
      </c>
      <c r="AJ30" s="184">
        <v>100</v>
      </c>
      <c r="AK30" s="96">
        <f t="shared" si="8"/>
        <v>1200000</v>
      </c>
      <c r="AL30" s="184">
        <v>100</v>
      </c>
      <c r="AM30" s="96">
        <f t="shared" si="39"/>
        <v>1200000</v>
      </c>
      <c r="AN30" s="184">
        <v>100</v>
      </c>
      <c r="AO30" s="96">
        <f t="shared" si="9"/>
        <v>1200000</v>
      </c>
      <c r="AP30" s="184">
        <v>70</v>
      </c>
      <c r="AQ30" s="96">
        <f t="shared" si="32"/>
        <v>840000</v>
      </c>
      <c r="AR30" s="184">
        <v>100</v>
      </c>
      <c r="AS30" s="96">
        <f t="shared" si="33"/>
        <v>1200000</v>
      </c>
      <c r="AT30" s="184">
        <v>100</v>
      </c>
      <c r="AU30" s="96">
        <f t="shared" si="10"/>
        <v>1200000</v>
      </c>
      <c r="AV30" s="184">
        <v>100</v>
      </c>
      <c r="AW30" s="96">
        <f t="shared" si="11"/>
        <v>1200000</v>
      </c>
      <c r="AX30" s="184">
        <v>100</v>
      </c>
      <c r="AY30" s="96">
        <f t="shared" si="12"/>
        <v>1200000</v>
      </c>
      <c r="AZ30" s="184">
        <v>100</v>
      </c>
      <c r="BA30" s="96">
        <f t="shared" si="34"/>
        <v>1200000</v>
      </c>
      <c r="BB30" s="184">
        <v>100</v>
      </c>
      <c r="BC30" s="96">
        <f t="shared" si="13"/>
        <v>1200000</v>
      </c>
      <c r="BD30" s="184">
        <v>100</v>
      </c>
      <c r="BE30" s="96">
        <f t="shared" si="14"/>
        <v>1200000</v>
      </c>
      <c r="BF30" s="184">
        <v>100</v>
      </c>
      <c r="BG30" s="96">
        <f t="shared" si="15"/>
        <v>1200000</v>
      </c>
      <c r="BH30" s="184">
        <v>0</v>
      </c>
      <c r="BI30" s="96">
        <f t="shared" si="16"/>
        <v>0</v>
      </c>
      <c r="BJ30" s="108">
        <f t="shared" si="35"/>
        <v>1670</v>
      </c>
      <c r="BK30" s="108">
        <f t="shared" si="36"/>
        <v>20040000</v>
      </c>
      <c r="BL30" s="362" t="s">
        <v>782</v>
      </c>
      <c r="BN30" s="69"/>
      <c r="BO30" s="69"/>
      <c r="BP30" s="69">
        <f t="shared" si="37"/>
        <v>20040000</v>
      </c>
      <c r="BQ30" s="69"/>
      <c r="BR30" s="69">
        <f t="shared" si="38"/>
        <v>20040000</v>
      </c>
      <c r="BS30" s="69"/>
      <c r="BT30" s="69"/>
      <c r="BU30" s="69"/>
      <c r="BV30" s="108">
        <f t="shared" si="2"/>
        <v>20040000</v>
      </c>
    </row>
    <row r="31" spans="1:74" s="59" customFormat="1">
      <c r="A31" s="815"/>
      <c r="B31" s="203"/>
      <c r="C31" s="307" t="s">
        <v>442</v>
      </c>
      <c r="D31" s="362" t="s">
        <v>443</v>
      </c>
      <c r="E31" s="312" t="s">
        <v>441</v>
      </c>
      <c r="F31" s="184">
        <f t="shared" si="22"/>
        <v>0</v>
      </c>
      <c r="G31" s="118">
        <f t="shared" si="23"/>
        <v>0</v>
      </c>
      <c r="H31" s="118">
        <f>G31*0.1</f>
        <v>0</v>
      </c>
      <c r="I31" s="118">
        <f>G31*0.8</f>
        <v>0</v>
      </c>
      <c r="J31" s="118"/>
      <c r="K31" s="118"/>
      <c r="L31" s="118"/>
      <c r="M31" s="118"/>
      <c r="N31" s="118"/>
      <c r="O31" s="150"/>
      <c r="P31" s="150">
        <f>G31*0.1</f>
        <v>0</v>
      </c>
      <c r="Q31" s="150"/>
      <c r="R31" s="92">
        <f t="shared" si="24"/>
        <v>0</v>
      </c>
      <c r="S31" s="92">
        <f t="shared" si="25"/>
        <v>0</v>
      </c>
      <c r="T31" s="92">
        <f t="shared" si="26"/>
        <v>0</v>
      </c>
      <c r="U31" s="92">
        <f t="shared" si="27"/>
        <v>0</v>
      </c>
      <c r="V31" s="396">
        <f t="shared" si="28"/>
        <v>0</v>
      </c>
      <c r="W31" s="396">
        <f t="shared" si="29"/>
        <v>0</v>
      </c>
      <c r="X31" s="396">
        <f t="shared" si="30"/>
        <v>0</v>
      </c>
      <c r="Y31" s="396">
        <f t="shared" si="31"/>
        <v>0</v>
      </c>
      <c r="Z31" s="184"/>
      <c r="AA31" s="96">
        <f t="shared" si="3"/>
        <v>0</v>
      </c>
      <c r="AB31" s="184"/>
      <c r="AC31" s="96">
        <f t="shared" si="4"/>
        <v>0</v>
      </c>
      <c r="AD31" s="184"/>
      <c r="AE31" s="96">
        <f t="shared" si="5"/>
        <v>0</v>
      </c>
      <c r="AF31" s="184"/>
      <c r="AG31" s="96">
        <f t="shared" si="6"/>
        <v>0</v>
      </c>
      <c r="AH31" s="184"/>
      <c r="AI31" s="96">
        <f t="shared" si="7"/>
        <v>0</v>
      </c>
      <c r="AJ31" s="184">
        <v>0</v>
      </c>
      <c r="AK31" s="96">
        <f t="shared" si="8"/>
        <v>0</v>
      </c>
      <c r="AL31" s="184"/>
      <c r="AM31" s="96">
        <f t="shared" si="39"/>
        <v>0</v>
      </c>
      <c r="AN31" s="184"/>
      <c r="AO31" s="96">
        <f t="shared" si="9"/>
        <v>0</v>
      </c>
      <c r="AP31" s="184"/>
      <c r="AQ31" s="96">
        <f t="shared" si="32"/>
        <v>0</v>
      </c>
      <c r="AR31" s="184"/>
      <c r="AS31" s="96">
        <f t="shared" si="33"/>
        <v>0</v>
      </c>
      <c r="AT31" s="184"/>
      <c r="AU31" s="96">
        <f t="shared" si="10"/>
        <v>0</v>
      </c>
      <c r="AV31" s="184"/>
      <c r="AW31" s="96">
        <f t="shared" si="11"/>
        <v>0</v>
      </c>
      <c r="AX31" s="184"/>
      <c r="AY31" s="96">
        <f t="shared" si="12"/>
        <v>0</v>
      </c>
      <c r="AZ31" s="184"/>
      <c r="BA31" s="96">
        <f t="shared" si="34"/>
        <v>0</v>
      </c>
      <c r="BB31" s="184"/>
      <c r="BC31" s="96">
        <f t="shared" si="13"/>
        <v>0</v>
      </c>
      <c r="BD31" s="184"/>
      <c r="BE31" s="96">
        <f t="shared" si="14"/>
        <v>0</v>
      </c>
      <c r="BF31" s="184"/>
      <c r="BG31" s="96">
        <f t="shared" si="15"/>
        <v>0</v>
      </c>
      <c r="BH31" s="184"/>
      <c r="BI31" s="96">
        <f t="shared" si="16"/>
        <v>0</v>
      </c>
      <c r="BJ31" s="108">
        <f t="shared" si="35"/>
        <v>0</v>
      </c>
      <c r="BK31" s="108">
        <f t="shared" si="36"/>
        <v>0</v>
      </c>
      <c r="BL31" s="362" t="s">
        <v>229</v>
      </c>
      <c r="BN31" s="69"/>
      <c r="BO31" s="69"/>
      <c r="BP31" s="69">
        <f t="shared" si="37"/>
        <v>0</v>
      </c>
      <c r="BQ31" s="69"/>
      <c r="BR31" s="69">
        <f t="shared" si="38"/>
        <v>0</v>
      </c>
      <c r="BS31" s="69"/>
      <c r="BT31" s="69"/>
      <c r="BU31" s="69">
        <f>BS31+BT31</f>
        <v>0</v>
      </c>
      <c r="BV31" s="108">
        <f t="shared" si="2"/>
        <v>0</v>
      </c>
    </row>
    <row r="32" spans="1:74" s="695" customFormat="1" ht="63">
      <c r="A32" s="815"/>
      <c r="B32" s="687"/>
      <c r="C32" s="697" t="s">
        <v>843</v>
      </c>
      <c r="D32" s="688" t="s">
        <v>443</v>
      </c>
      <c r="E32" s="689">
        <v>20000</v>
      </c>
      <c r="F32" s="414">
        <f t="shared" si="22"/>
        <v>940</v>
      </c>
      <c r="G32" s="690">
        <f>F32*E32</f>
        <v>18800000</v>
      </c>
      <c r="H32" s="690">
        <f>G32*0.1</f>
        <v>1880000</v>
      </c>
      <c r="I32" s="690">
        <f>G32*0.8</f>
        <v>15040000</v>
      </c>
      <c r="J32" s="690"/>
      <c r="K32" s="690"/>
      <c r="L32" s="690"/>
      <c r="M32" s="690"/>
      <c r="N32" s="690"/>
      <c r="O32" s="223"/>
      <c r="P32" s="223">
        <f>G32*0.1</f>
        <v>1880000</v>
      </c>
      <c r="Q32" s="223"/>
      <c r="R32" s="691">
        <f t="shared" si="24"/>
        <v>235</v>
      </c>
      <c r="S32" s="691">
        <f t="shared" si="25"/>
        <v>235</v>
      </c>
      <c r="T32" s="691">
        <f t="shared" si="26"/>
        <v>235</v>
      </c>
      <c r="U32" s="691">
        <f t="shared" si="27"/>
        <v>235</v>
      </c>
      <c r="V32" s="692">
        <f t="shared" si="28"/>
        <v>4700000</v>
      </c>
      <c r="W32" s="692">
        <f t="shared" si="29"/>
        <v>4700000</v>
      </c>
      <c r="X32" s="692">
        <f t="shared" si="30"/>
        <v>4700000</v>
      </c>
      <c r="Y32" s="692">
        <f t="shared" si="31"/>
        <v>4700000</v>
      </c>
      <c r="Z32" s="414">
        <v>60</v>
      </c>
      <c r="AA32" s="76">
        <f t="shared" si="3"/>
        <v>1200000</v>
      </c>
      <c r="AB32" s="414">
        <v>50</v>
      </c>
      <c r="AC32" s="76">
        <f t="shared" si="4"/>
        <v>1000000</v>
      </c>
      <c r="AD32" s="414">
        <v>50</v>
      </c>
      <c r="AE32" s="76">
        <f t="shared" si="5"/>
        <v>1000000</v>
      </c>
      <c r="AF32" s="414">
        <v>65</v>
      </c>
      <c r="AG32" s="76">
        <f t="shared" si="6"/>
        <v>1300000</v>
      </c>
      <c r="AH32" s="414">
        <v>60</v>
      </c>
      <c r="AI32" s="76">
        <f t="shared" si="7"/>
        <v>1200000</v>
      </c>
      <c r="AJ32" s="414">
        <v>60</v>
      </c>
      <c r="AK32" s="76">
        <f t="shared" si="8"/>
        <v>1200000</v>
      </c>
      <c r="AL32" s="414">
        <v>50</v>
      </c>
      <c r="AM32" s="76">
        <f t="shared" si="39"/>
        <v>1000000</v>
      </c>
      <c r="AN32" s="693">
        <v>70</v>
      </c>
      <c r="AO32" s="76">
        <f t="shared" si="9"/>
        <v>1400000</v>
      </c>
      <c r="AP32" s="414">
        <v>20</v>
      </c>
      <c r="AQ32" s="76">
        <f t="shared" si="32"/>
        <v>400000</v>
      </c>
      <c r="AR32" s="414">
        <v>50</v>
      </c>
      <c r="AS32" s="76">
        <f t="shared" si="33"/>
        <v>1000000</v>
      </c>
      <c r="AT32" s="693">
        <v>50</v>
      </c>
      <c r="AU32" s="76">
        <f t="shared" si="10"/>
        <v>1000000</v>
      </c>
      <c r="AV32" s="414">
        <v>50</v>
      </c>
      <c r="AW32" s="76">
        <f t="shared" si="11"/>
        <v>1000000</v>
      </c>
      <c r="AX32" s="414">
        <v>35</v>
      </c>
      <c r="AY32" s="76">
        <f t="shared" si="12"/>
        <v>700000</v>
      </c>
      <c r="AZ32" s="414">
        <v>70</v>
      </c>
      <c r="BA32" s="76">
        <f t="shared" si="34"/>
        <v>1400000</v>
      </c>
      <c r="BB32" s="414">
        <v>70</v>
      </c>
      <c r="BC32" s="76">
        <f t="shared" si="13"/>
        <v>1400000</v>
      </c>
      <c r="BD32" s="414">
        <v>70</v>
      </c>
      <c r="BE32" s="76">
        <f t="shared" si="14"/>
        <v>1400000</v>
      </c>
      <c r="BF32" s="414">
        <v>60</v>
      </c>
      <c r="BG32" s="76">
        <f t="shared" si="15"/>
        <v>1200000</v>
      </c>
      <c r="BH32" s="414"/>
      <c r="BI32" s="76">
        <f t="shared" si="16"/>
        <v>0</v>
      </c>
      <c r="BJ32" s="694">
        <f t="shared" si="35"/>
        <v>940</v>
      </c>
      <c r="BK32" s="694">
        <f t="shared" si="36"/>
        <v>18800000</v>
      </c>
      <c r="BL32" s="688" t="s">
        <v>229</v>
      </c>
      <c r="BN32" s="696"/>
      <c r="BO32" s="696"/>
      <c r="BP32" s="696">
        <f t="shared" si="37"/>
        <v>18800000</v>
      </c>
      <c r="BQ32" s="696"/>
      <c r="BR32" s="696">
        <f t="shared" si="38"/>
        <v>18800000</v>
      </c>
      <c r="BS32" s="696"/>
      <c r="BT32" s="696"/>
      <c r="BU32" s="696">
        <f>BS32+BT32</f>
        <v>0</v>
      </c>
      <c r="BV32" s="694">
        <f>BR32+BU32</f>
        <v>18800000</v>
      </c>
    </row>
    <row r="33" spans="1:74" s="149" customFormat="1" ht="16.5" customHeight="1">
      <c r="A33" s="815"/>
      <c r="B33" s="614"/>
      <c r="C33" s="336" t="s">
        <v>569</v>
      </c>
      <c r="D33" s="439" t="s">
        <v>121</v>
      </c>
      <c r="E33" s="440" t="s">
        <v>121</v>
      </c>
      <c r="F33" s="366">
        <f>SUM(F26:F32)</f>
        <v>8149</v>
      </c>
      <c r="G33" s="366">
        <f t="shared" ref="G33:BR33" si="40">SUM(G26:G32)</f>
        <v>148460000</v>
      </c>
      <c r="H33" s="366">
        <f t="shared" si="40"/>
        <v>1880000</v>
      </c>
      <c r="I33" s="366">
        <f t="shared" si="40"/>
        <v>48160000</v>
      </c>
      <c r="J33" s="366">
        <f t="shared" si="40"/>
        <v>45276000</v>
      </c>
      <c r="K33" s="366">
        <f t="shared" si="40"/>
        <v>0</v>
      </c>
      <c r="L33" s="366">
        <f t="shared" si="40"/>
        <v>34032000</v>
      </c>
      <c r="M33" s="366">
        <f t="shared" si="40"/>
        <v>0</v>
      </c>
      <c r="N33" s="366">
        <f t="shared" si="40"/>
        <v>0</v>
      </c>
      <c r="O33" s="366">
        <f t="shared" si="40"/>
        <v>0</v>
      </c>
      <c r="P33" s="366">
        <f t="shared" si="40"/>
        <v>19112000</v>
      </c>
      <c r="Q33" s="366">
        <f t="shared" si="40"/>
        <v>0</v>
      </c>
      <c r="R33" s="366">
        <f t="shared" si="40"/>
        <v>2037.25</v>
      </c>
      <c r="S33" s="366">
        <f t="shared" si="40"/>
        <v>2037.25</v>
      </c>
      <c r="T33" s="366">
        <f t="shared" si="40"/>
        <v>2037.25</v>
      </c>
      <c r="U33" s="366">
        <f t="shared" si="40"/>
        <v>2037.25</v>
      </c>
      <c r="V33" s="366">
        <f t="shared" si="40"/>
        <v>37115000</v>
      </c>
      <c r="W33" s="366">
        <f t="shared" si="40"/>
        <v>37115000</v>
      </c>
      <c r="X33" s="366">
        <f t="shared" si="40"/>
        <v>37115000</v>
      </c>
      <c r="Y33" s="366">
        <f t="shared" si="40"/>
        <v>37115000</v>
      </c>
      <c r="Z33" s="366">
        <f t="shared" si="40"/>
        <v>462</v>
      </c>
      <c r="AA33" s="366">
        <f t="shared" si="40"/>
        <v>9000000</v>
      </c>
      <c r="AB33" s="366">
        <f t="shared" si="40"/>
        <v>402</v>
      </c>
      <c r="AC33" s="366">
        <f t="shared" si="40"/>
        <v>8200000</v>
      </c>
      <c r="AD33" s="366">
        <f t="shared" si="40"/>
        <v>402</v>
      </c>
      <c r="AE33" s="366">
        <f t="shared" si="40"/>
        <v>8200000</v>
      </c>
      <c r="AF33" s="366">
        <f t="shared" si="40"/>
        <v>416</v>
      </c>
      <c r="AG33" s="366">
        <f t="shared" si="40"/>
        <v>7000000</v>
      </c>
      <c r="AH33" s="366">
        <f t="shared" si="40"/>
        <v>462</v>
      </c>
      <c r="AI33" s="366">
        <f t="shared" si="40"/>
        <v>9000000</v>
      </c>
      <c r="AJ33" s="366">
        <f t="shared" si="40"/>
        <v>461</v>
      </c>
      <c r="AK33" s="366">
        <f t="shared" si="40"/>
        <v>7500000</v>
      </c>
      <c r="AL33" s="366">
        <f t="shared" si="40"/>
        <v>452</v>
      </c>
      <c r="AM33" s="366">
        <f t="shared" si="40"/>
        <v>8800000</v>
      </c>
      <c r="AN33" s="366">
        <f t="shared" si="40"/>
        <v>522</v>
      </c>
      <c r="AO33" s="366">
        <f t="shared" si="40"/>
        <v>9800000</v>
      </c>
      <c r="AP33" s="366">
        <f t="shared" si="40"/>
        <v>391</v>
      </c>
      <c r="AQ33" s="366">
        <f t="shared" si="40"/>
        <v>6340000</v>
      </c>
      <c r="AR33" s="366">
        <f t="shared" si="40"/>
        <v>452</v>
      </c>
      <c r="AS33" s="366">
        <f t="shared" si="40"/>
        <v>8800000</v>
      </c>
      <c r="AT33" s="366">
        <f t="shared" si="40"/>
        <v>552</v>
      </c>
      <c r="AU33" s="366">
        <f t="shared" si="40"/>
        <v>10000000</v>
      </c>
      <c r="AV33" s="366">
        <f t="shared" si="40"/>
        <v>451</v>
      </c>
      <c r="AW33" s="366">
        <f t="shared" si="40"/>
        <v>7300000</v>
      </c>
      <c r="AX33" s="366">
        <f t="shared" si="40"/>
        <v>537</v>
      </c>
      <c r="AY33" s="366">
        <f t="shared" si="40"/>
        <v>9700000</v>
      </c>
      <c r="AZ33" s="366">
        <f t="shared" si="40"/>
        <v>582</v>
      </c>
      <c r="BA33" s="366">
        <f t="shared" si="40"/>
        <v>10520000</v>
      </c>
      <c r="BB33" s="366">
        <f t="shared" si="40"/>
        <v>622</v>
      </c>
      <c r="BC33" s="366">
        <f t="shared" si="40"/>
        <v>11000000</v>
      </c>
      <c r="BD33" s="366">
        <f t="shared" si="40"/>
        <v>522</v>
      </c>
      <c r="BE33" s="366">
        <f t="shared" si="40"/>
        <v>9800000</v>
      </c>
      <c r="BF33" s="366">
        <f t="shared" si="40"/>
        <v>461</v>
      </c>
      <c r="BG33" s="366">
        <f t="shared" si="40"/>
        <v>7500000</v>
      </c>
      <c r="BH33" s="366">
        <f t="shared" si="40"/>
        <v>0</v>
      </c>
      <c r="BI33" s="366">
        <f t="shared" si="40"/>
        <v>0</v>
      </c>
      <c r="BJ33" s="366">
        <f t="shared" si="40"/>
        <v>8149</v>
      </c>
      <c r="BK33" s="366">
        <f t="shared" si="40"/>
        <v>148460000</v>
      </c>
      <c r="BL33" s="366">
        <f t="shared" si="40"/>
        <v>0</v>
      </c>
      <c r="BM33" s="366">
        <f t="shared" si="40"/>
        <v>0</v>
      </c>
      <c r="BN33" s="366">
        <f t="shared" si="40"/>
        <v>0</v>
      </c>
      <c r="BO33" s="366">
        <f t="shared" si="40"/>
        <v>0</v>
      </c>
      <c r="BP33" s="366">
        <f t="shared" si="40"/>
        <v>148460000</v>
      </c>
      <c r="BQ33" s="366">
        <f t="shared" si="40"/>
        <v>0</v>
      </c>
      <c r="BR33" s="366">
        <f t="shared" si="40"/>
        <v>148460000</v>
      </c>
      <c r="BS33" s="366">
        <f>SUM(BS26:BS32)</f>
        <v>0</v>
      </c>
      <c r="BT33" s="366">
        <f>SUM(BT26:BT32)</f>
        <v>0</v>
      </c>
      <c r="BU33" s="366">
        <f>SUM(BU26:BU32)</f>
        <v>0</v>
      </c>
      <c r="BV33" s="366">
        <f>SUM(BV26:BV32)</f>
        <v>148460000</v>
      </c>
    </row>
    <row r="34" spans="1:74" s="59" customFormat="1">
      <c r="A34" s="815"/>
      <c r="B34" s="93">
        <v>23500</v>
      </c>
      <c r="C34" s="309" t="s">
        <v>570</v>
      </c>
      <c r="D34" s="362"/>
      <c r="E34" s="362"/>
      <c r="F34" s="184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92"/>
      <c r="S34" s="92"/>
      <c r="T34" s="92"/>
      <c r="U34" s="92"/>
      <c r="V34" s="150"/>
      <c r="W34" s="150"/>
      <c r="X34" s="150"/>
      <c r="Y34" s="150"/>
      <c r="Z34" s="184"/>
      <c r="AA34" s="96">
        <f t="shared" si="3"/>
        <v>0</v>
      </c>
      <c r="AB34" s="184"/>
      <c r="AC34" s="96">
        <f t="shared" si="4"/>
        <v>0</v>
      </c>
      <c r="AD34" s="184"/>
      <c r="AE34" s="96">
        <f t="shared" si="5"/>
        <v>0</v>
      </c>
      <c r="AF34" s="184"/>
      <c r="AG34" s="96">
        <f t="shared" si="6"/>
        <v>0</v>
      </c>
      <c r="AH34" s="184"/>
      <c r="AI34" s="96">
        <f t="shared" si="7"/>
        <v>0</v>
      </c>
      <c r="AJ34" s="184">
        <v>0</v>
      </c>
      <c r="AK34" s="96">
        <f t="shared" si="8"/>
        <v>0</v>
      </c>
      <c r="AL34" s="184"/>
      <c r="AM34" s="96"/>
      <c r="AN34" s="184"/>
      <c r="AO34" s="96">
        <f t="shared" si="9"/>
        <v>0</v>
      </c>
      <c r="AP34" s="184"/>
      <c r="AQ34" s="96"/>
      <c r="AR34" s="184"/>
      <c r="AS34" s="96"/>
      <c r="AT34" s="184"/>
      <c r="AU34" s="96">
        <f t="shared" si="10"/>
        <v>0</v>
      </c>
      <c r="AV34" s="184"/>
      <c r="AW34" s="96">
        <f t="shared" si="11"/>
        <v>0</v>
      </c>
      <c r="AX34" s="184"/>
      <c r="AY34" s="96">
        <f t="shared" si="12"/>
        <v>0</v>
      </c>
      <c r="AZ34" s="184"/>
      <c r="BA34" s="96"/>
      <c r="BB34" s="184"/>
      <c r="BC34" s="96">
        <f t="shared" si="13"/>
        <v>0</v>
      </c>
      <c r="BD34" s="184"/>
      <c r="BE34" s="96">
        <f t="shared" si="14"/>
        <v>0</v>
      </c>
      <c r="BF34" s="184"/>
      <c r="BG34" s="96">
        <f t="shared" si="15"/>
        <v>0</v>
      </c>
      <c r="BH34" s="184"/>
      <c r="BI34" s="96">
        <f t="shared" si="16"/>
        <v>0</v>
      </c>
      <c r="BJ34" s="184">
        <f>Z34+AB34+AD34+AF34+AH34+AJ34+AN34+AT34+AV34+AX34+BB34+BD34+BF34+BH34</f>
        <v>0</v>
      </c>
      <c r="BK34" s="96">
        <f>BH34+BF34+BD34+BB34+AZ34+AX34+AV34+AT34+AR34+AP34+AN34+AL34+AJ34+AH34+AF34+AD34+AB34+Z34</f>
        <v>0</v>
      </c>
      <c r="BL34" s="362"/>
      <c r="BN34" s="69"/>
      <c r="BO34" s="69"/>
      <c r="BP34" s="69"/>
      <c r="BQ34" s="69"/>
      <c r="BR34" s="69"/>
      <c r="BS34" s="69"/>
      <c r="BT34" s="69"/>
      <c r="BU34" s="69"/>
      <c r="BV34" s="108">
        <f t="shared" si="2"/>
        <v>0</v>
      </c>
    </row>
    <row r="35" spans="1:74" s="59" customFormat="1">
      <c r="A35" s="815"/>
      <c r="B35" s="93">
        <v>23510</v>
      </c>
      <c r="C35" s="307" t="s">
        <v>86</v>
      </c>
      <c r="D35" s="362" t="s">
        <v>87</v>
      </c>
      <c r="E35" s="312"/>
      <c r="F35" s="184">
        <f>BJ35</f>
        <v>0</v>
      </c>
      <c r="G35" s="118">
        <f>E35*F35</f>
        <v>0</v>
      </c>
      <c r="H35" s="118">
        <f>G35*0.2</f>
        <v>0</v>
      </c>
      <c r="I35" s="118">
        <f>G35*0.8</f>
        <v>0</v>
      </c>
      <c r="J35" s="118"/>
      <c r="K35" s="118"/>
      <c r="L35" s="118"/>
      <c r="M35" s="118"/>
      <c r="N35" s="118"/>
      <c r="O35" s="150"/>
      <c r="P35" s="150"/>
      <c r="Q35" s="150"/>
      <c r="R35" s="92">
        <f>F35*0.25</f>
        <v>0</v>
      </c>
      <c r="S35" s="92">
        <f>F35*0.25</f>
        <v>0</v>
      </c>
      <c r="T35" s="92">
        <f>F35*0.25</f>
        <v>0</v>
      </c>
      <c r="U35" s="92">
        <f>F35*0.25</f>
        <v>0</v>
      </c>
      <c r="V35" s="396">
        <f>R35*E35</f>
        <v>0</v>
      </c>
      <c r="W35" s="396">
        <f>S35*E35</f>
        <v>0</v>
      </c>
      <c r="X35" s="396">
        <f>T35*E35</f>
        <v>0</v>
      </c>
      <c r="Y35" s="396">
        <f>U35*E35</f>
        <v>0</v>
      </c>
      <c r="Z35" s="184"/>
      <c r="AA35" s="96">
        <f t="shared" si="3"/>
        <v>0</v>
      </c>
      <c r="AB35" s="184"/>
      <c r="AC35" s="96">
        <f t="shared" si="4"/>
        <v>0</v>
      </c>
      <c r="AD35" s="184"/>
      <c r="AE35" s="96">
        <f t="shared" si="5"/>
        <v>0</v>
      </c>
      <c r="AF35" s="184"/>
      <c r="AG35" s="96">
        <f t="shared" si="6"/>
        <v>0</v>
      </c>
      <c r="AH35" s="184"/>
      <c r="AI35" s="96">
        <f t="shared" si="7"/>
        <v>0</v>
      </c>
      <c r="AJ35" s="184">
        <v>0</v>
      </c>
      <c r="AK35" s="96">
        <f t="shared" si="8"/>
        <v>0</v>
      </c>
      <c r="AL35" s="184"/>
      <c r="AM35" s="96">
        <f>AL35*E35</f>
        <v>0</v>
      </c>
      <c r="AN35" s="184"/>
      <c r="AO35" s="96">
        <f t="shared" si="9"/>
        <v>0</v>
      </c>
      <c r="AP35" s="184"/>
      <c r="AQ35" s="96">
        <f>AP35*E35</f>
        <v>0</v>
      </c>
      <c r="AR35" s="184"/>
      <c r="AS35" s="96"/>
      <c r="AT35" s="184"/>
      <c r="AU35" s="96">
        <f t="shared" si="10"/>
        <v>0</v>
      </c>
      <c r="AV35" s="184"/>
      <c r="AW35" s="96">
        <f t="shared" si="11"/>
        <v>0</v>
      </c>
      <c r="AX35" s="184"/>
      <c r="AY35" s="96">
        <f t="shared" si="12"/>
        <v>0</v>
      </c>
      <c r="AZ35" s="184"/>
      <c r="BA35" s="96"/>
      <c r="BB35" s="184"/>
      <c r="BC35" s="96">
        <f t="shared" si="13"/>
        <v>0</v>
      </c>
      <c r="BD35" s="184"/>
      <c r="BE35" s="96">
        <f t="shared" si="14"/>
        <v>0</v>
      </c>
      <c r="BF35" s="184"/>
      <c r="BG35" s="96">
        <f t="shared" si="15"/>
        <v>0</v>
      </c>
      <c r="BH35" s="184"/>
      <c r="BI35" s="96">
        <f t="shared" si="16"/>
        <v>0</v>
      </c>
      <c r="BJ35" s="108">
        <f t="shared" ref="BJ35:BK39" si="41">BH35+BF35+BD35+BB35+AZ35+AX35+AV35+AT35+AR35+AP35+AN35+AL35+AJ35+AH35+AF35+AD35+AB35+Z35</f>
        <v>0</v>
      </c>
      <c r="BK35" s="108">
        <f t="shared" si="41"/>
        <v>0</v>
      </c>
      <c r="BL35" s="362" t="s">
        <v>224</v>
      </c>
      <c r="BN35" s="69"/>
      <c r="BO35" s="69"/>
      <c r="BP35" s="69">
        <f>G35</f>
        <v>0</v>
      </c>
      <c r="BQ35" s="69"/>
      <c r="BR35" s="69">
        <f>BN35+BO35+BP35+BQ35</f>
        <v>0</v>
      </c>
      <c r="BS35" s="69"/>
      <c r="BT35" s="69"/>
      <c r="BU35" s="69">
        <f>BS35+BT35</f>
        <v>0</v>
      </c>
      <c r="BV35" s="108">
        <f t="shared" si="2"/>
        <v>0</v>
      </c>
    </row>
    <row r="36" spans="1:74" s="59" customFormat="1">
      <c r="A36" s="815"/>
      <c r="B36" s="93">
        <v>23520</v>
      </c>
      <c r="C36" s="307" t="s">
        <v>88</v>
      </c>
      <c r="D36" s="362" t="s">
        <v>89</v>
      </c>
      <c r="E36" s="312" t="s">
        <v>577</v>
      </c>
      <c r="F36" s="184">
        <f>BJ36</f>
        <v>0</v>
      </c>
      <c r="G36" s="118">
        <f>E36*F36</f>
        <v>0</v>
      </c>
      <c r="H36" s="118">
        <f>G36*0.2</f>
        <v>0</v>
      </c>
      <c r="I36" s="118">
        <f>G36*0.8</f>
        <v>0</v>
      </c>
      <c r="J36" s="118"/>
      <c r="K36" s="118"/>
      <c r="L36" s="118"/>
      <c r="M36" s="118"/>
      <c r="N36" s="118"/>
      <c r="O36" s="150"/>
      <c r="P36" s="150"/>
      <c r="Q36" s="150"/>
      <c r="R36" s="92">
        <f>F36*0.25</f>
        <v>0</v>
      </c>
      <c r="S36" s="92">
        <f>F36*0.25</f>
        <v>0</v>
      </c>
      <c r="T36" s="92">
        <f>F36*0.25</f>
        <v>0</v>
      </c>
      <c r="U36" s="92">
        <f>F36*0.25</f>
        <v>0</v>
      </c>
      <c r="V36" s="396">
        <f>R36*E36</f>
        <v>0</v>
      </c>
      <c r="W36" s="396">
        <f>S36*E36</f>
        <v>0</v>
      </c>
      <c r="X36" s="396">
        <f>T36*E36</f>
        <v>0</v>
      </c>
      <c r="Y36" s="396">
        <f>U36*E36</f>
        <v>0</v>
      </c>
      <c r="Z36" s="184">
        <v>0</v>
      </c>
      <c r="AA36" s="96">
        <f t="shared" si="3"/>
        <v>0</v>
      </c>
      <c r="AB36" s="184">
        <v>0</v>
      </c>
      <c r="AC36" s="96">
        <f t="shared" si="4"/>
        <v>0</v>
      </c>
      <c r="AD36" s="184">
        <v>0</v>
      </c>
      <c r="AE36" s="96">
        <f t="shared" si="5"/>
        <v>0</v>
      </c>
      <c r="AF36" s="184">
        <v>0</v>
      </c>
      <c r="AG36" s="96">
        <f t="shared" si="6"/>
        <v>0</v>
      </c>
      <c r="AH36" s="184">
        <v>0</v>
      </c>
      <c r="AI36" s="96">
        <f t="shared" si="7"/>
        <v>0</v>
      </c>
      <c r="AJ36" s="184">
        <v>0</v>
      </c>
      <c r="AK36" s="96">
        <f t="shared" si="8"/>
        <v>0</v>
      </c>
      <c r="AL36" s="184">
        <v>0</v>
      </c>
      <c r="AM36" s="96">
        <f>AL36*E36</f>
        <v>0</v>
      </c>
      <c r="AN36" s="184">
        <v>0</v>
      </c>
      <c r="AO36" s="96">
        <f t="shared" si="9"/>
        <v>0</v>
      </c>
      <c r="AP36" s="184">
        <v>0</v>
      </c>
      <c r="AQ36" s="96">
        <f>AP36*E36</f>
        <v>0</v>
      </c>
      <c r="AR36" s="184">
        <v>0</v>
      </c>
      <c r="AS36" s="96">
        <f>AR36*E36</f>
        <v>0</v>
      </c>
      <c r="AT36" s="184">
        <v>0</v>
      </c>
      <c r="AU36" s="96">
        <f t="shared" si="10"/>
        <v>0</v>
      </c>
      <c r="AV36" s="184">
        <v>0</v>
      </c>
      <c r="AW36" s="96">
        <f t="shared" si="11"/>
        <v>0</v>
      </c>
      <c r="AX36" s="184">
        <v>0</v>
      </c>
      <c r="AY36" s="96">
        <f t="shared" si="12"/>
        <v>0</v>
      </c>
      <c r="AZ36" s="184">
        <v>0</v>
      </c>
      <c r="BA36" s="96">
        <f>AZ36*E36</f>
        <v>0</v>
      </c>
      <c r="BB36" s="184">
        <v>0</v>
      </c>
      <c r="BC36" s="96">
        <f t="shared" si="13"/>
        <v>0</v>
      </c>
      <c r="BD36" s="184">
        <v>0</v>
      </c>
      <c r="BE36" s="96">
        <f t="shared" si="14"/>
        <v>0</v>
      </c>
      <c r="BF36" s="184">
        <v>0</v>
      </c>
      <c r="BG36" s="96">
        <f t="shared" si="15"/>
        <v>0</v>
      </c>
      <c r="BH36" s="184">
        <v>0</v>
      </c>
      <c r="BI36" s="96">
        <f t="shared" si="16"/>
        <v>0</v>
      </c>
      <c r="BJ36" s="108">
        <f t="shared" si="41"/>
        <v>0</v>
      </c>
      <c r="BK36" s="108">
        <f t="shared" si="41"/>
        <v>0</v>
      </c>
      <c r="BL36" s="362" t="s">
        <v>224</v>
      </c>
      <c r="BN36" s="69"/>
      <c r="BO36" s="69"/>
      <c r="BP36" s="69">
        <f>G36</f>
        <v>0</v>
      </c>
      <c r="BQ36" s="69"/>
      <c r="BR36" s="69">
        <f>BN36+BO36+BP36+BQ36</f>
        <v>0</v>
      </c>
      <c r="BS36" s="69"/>
      <c r="BT36" s="69"/>
      <c r="BU36" s="69">
        <f>BS36+BT36</f>
        <v>0</v>
      </c>
      <c r="BV36" s="108">
        <f t="shared" si="2"/>
        <v>0</v>
      </c>
    </row>
    <row r="37" spans="1:74" s="59" customFormat="1">
      <c r="A37" s="815"/>
      <c r="B37" s="203"/>
      <c r="C37" s="307" t="s">
        <v>90</v>
      </c>
      <c r="D37" s="362" t="s">
        <v>91</v>
      </c>
      <c r="E37" s="312" t="s">
        <v>578</v>
      </c>
      <c r="F37" s="184">
        <f>BJ37</f>
        <v>17</v>
      </c>
      <c r="G37" s="118">
        <f>E37*F37</f>
        <v>6800000</v>
      </c>
      <c r="H37" s="118"/>
      <c r="I37" s="118">
        <f>G37*0.8</f>
        <v>5440000</v>
      </c>
      <c r="J37" s="118"/>
      <c r="K37" s="118"/>
      <c r="L37" s="118"/>
      <c r="M37" s="118"/>
      <c r="N37" s="118"/>
      <c r="O37" s="150"/>
      <c r="P37" s="150">
        <f>G37*0.2</f>
        <v>1360000</v>
      </c>
      <c r="Q37" s="150"/>
      <c r="R37" s="92">
        <f>F37*0.25</f>
        <v>4.25</v>
      </c>
      <c r="S37" s="92">
        <f>F37*0.25</f>
        <v>4.25</v>
      </c>
      <c r="T37" s="92">
        <f>F37*0.25</f>
        <v>4.25</v>
      </c>
      <c r="U37" s="92">
        <f>F37*0.25</f>
        <v>4.25</v>
      </c>
      <c r="V37" s="396">
        <f>R37*E37</f>
        <v>1700000</v>
      </c>
      <c r="W37" s="396">
        <f>S37*E37</f>
        <v>1700000</v>
      </c>
      <c r="X37" s="396">
        <f>T37*E37</f>
        <v>1700000</v>
      </c>
      <c r="Y37" s="396">
        <f>U37*E37</f>
        <v>1700000</v>
      </c>
      <c r="Z37" s="184">
        <v>1</v>
      </c>
      <c r="AA37" s="96">
        <f t="shared" si="3"/>
        <v>400000</v>
      </c>
      <c r="AB37" s="184">
        <v>1</v>
      </c>
      <c r="AC37" s="96">
        <f t="shared" si="4"/>
        <v>400000</v>
      </c>
      <c r="AD37" s="184">
        <v>1</v>
      </c>
      <c r="AE37" s="96">
        <f t="shared" si="5"/>
        <v>400000</v>
      </c>
      <c r="AF37" s="184">
        <v>1</v>
      </c>
      <c r="AG37" s="96">
        <f t="shared" si="6"/>
        <v>400000</v>
      </c>
      <c r="AH37" s="184">
        <v>1</v>
      </c>
      <c r="AI37" s="96">
        <f t="shared" si="7"/>
        <v>400000</v>
      </c>
      <c r="AJ37" s="184">
        <v>1</v>
      </c>
      <c r="AK37" s="96">
        <f t="shared" si="8"/>
        <v>400000</v>
      </c>
      <c r="AL37" s="184">
        <v>1</v>
      </c>
      <c r="AM37" s="96">
        <f>AL37*E37</f>
        <v>400000</v>
      </c>
      <c r="AN37" s="184">
        <v>1</v>
      </c>
      <c r="AO37" s="96">
        <f t="shared" si="9"/>
        <v>400000</v>
      </c>
      <c r="AP37" s="184">
        <v>1</v>
      </c>
      <c r="AQ37" s="96">
        <f>AP37*E37</f>
        <v>400000</v>
      </c>
      <c r="AR37" s="184">
        <v>1</v>
      </c>
      <c r="AS37" s="96">
        <f>AR37*E37</f>
        <v>400000</v>
      </c>
      <c r="AT37" s="184">
        <v>1</v>
      </c>
      <c r="AU37" s="96">
        <f t="shared" si="10"/>
        <v>400000</v>
      </c>
      <c r="AV37" s="184">
        <v>1</v>
      </c>
      <c r="AW37" s="96">
        <f t="shared" si="11"/>
        <v>400000</v>
      </c>
      <c r="AX37" s="184">
        <v>1</v>
      </c>
      <c r="AY37" s="96">
        <f t="shared" si="12"/>
        <v>400000</v>
      </c>
      <c r="AZ37" s="184">
        <v>1</v>
      </c>
      <c r="BA37" s="96">
        <f>AZ37*E37</f>
        <v>400000</v>
      </c>
      <c r="BB37" s="184">
        <v>1</v>
      </c>
      <c r="BC37" s="96">
        <f t="shared" si="13"/>
        <v>400000</v>
      </c>
      <c r="BD37" s="184">
        <v>1</v>
      </c>
      <c r="BE37" s="96">
        <f t="shared" si="14"/>
        <v>400000</v>
      </c>
      <c r="BF37" s="184">
        <v>1</v>
      </c>
      <c r="BG37" s="96">
        <f t="shared" si="15"/>
        <v>400000</v>
      </c>
      <c r="BH37" s="184">
        <v>0</v>
      </c>
      <c r="BI37" s="96">
        <f t="shared" si="16"/>
        <v>0</v>
      </c>
      <c r="BJ37" s="108">
        <f t="shared" si="41"/>
        <v>17</v>
      </c>
      <c r="BK37" s="108">
        <f t="shared" si="41"/>
        <v>6800000</v>
      </c>
      <c r="BL37" s="362" t="s">
        <v>228</v>
      </c>
      <c r="BN37" s="69"/>
      <c r="BO37" s="69"/>
      <c r="BP37" s="69">
        <f>G37</f>
        <v>6800000</v>
      </c>
      <c r="BQ37" s="69"/>
      <c r="BR37" s="69">
        <f>BN37+BO37+BP37+BQ37</f>
        <v>6800000</v>
      </c>
      <c r="BS37" s="69"/>
      <c r="BT37" s="69"/>
      <c r="BU37" s="69">
        <f>BS37+BT37</f>
        <v>0</v>
      </c>
      <c r="BV37" s="108">
        <f t="shared" si="2"/>
        <v>6800000</v>
      </c>
    </row>
    <row r="38" spans="1:74" s="59" customFormat="1">
      <c r="A38" s="815"/>
      <c r="B38" s="203"/>
      <c r="C38" s="307" t="s">
        <v>92</v>
      </c>
      <c r="D38" s="362" t="s">
        <v>89</v>
      </c>
      <c r="E38" s="312">
        <v>500000</v>
      </c>
      <c r="F38" s="184">
        <f>BJ38</f>
        <v>17</v>
      </c>
      <c r="G38" s="118">
        <f>E38*F38</f>
        <v>8500000</v>
      </c>
      <c r="H38" s="118"/>
      <c r="I38" s="118">
        <f>G38*0.8</f>
        <v>6800000</v>
      </c>
      <c r="J38" s="118"/>
      <c r="K38" s="118"/>
      <c r="L38" s="118"/>
      <c r="M38" s="118"/>
      <c r="N38" s="118"/>
      <c r="O38" s="150"/>
      <c r="P38" s="150">
        <f>G38*0.2</f>
        <v>1700000</v>
      </c>
      <c r="Q38" s="150"/>
      <c r="R38" s="92">
        <f>F38*0.25</f>
        <v>4.25</v>
      </c>
      <c r="S38" s="92">
        <f>F38*0.25</f>
        <v>4.25</v>
      </c>
      <c r="T38" s="92">
        <f>F38*0.25</f>
        <v>4.25</v>
      </c>
      <c r="U38" s="92">
        <f>F38*0.25</f>
        <v>4.25</v>
      </c>
      <c r="V38" s="396">
        <f>R38*E38</f>
        <v>2125000</v>
      </c>
      <c r="W38" s="396">
        <f>S38*E38</f>
        <v>2125000</v>
      </c>
      <c r="X38" s="396">
        <f>T38*E38</f>
        <v>2125000</v>
      </c>
      <c r="Y38" s="396">
        <f>U38*E38</f>
        <v>2125000</v>
      </c>
      <c r="Z38" s="184">
        <v>1</v>
      </c>
      <c r="AA38" s="96">
        <f t="shared" si="3"/>
        <v>500000</v>
      </c>
      <c r="AB38" s="184">
        <v>1</v>
      </c>
      <c r="AC38" s="96">
        <f t="shared" si="4"/>
        <v>500000</v>
      </c>
      <c r="AD38" s="184">
        <v>1</v>
      </c>
      <c r="AE38" s="96">
        <f t="shared" si="5"/>
        <v>500000</v>
      </c>
      <c r="AF38" s="184">
        <v>1</v>
      </c>
      <c r="AG38" s="96">
        <f t="shared" si="6"/>
        <v>500000</v>
      </c>
      <c r="AH38" s="184">
        <v>1</v>
      </c>
      <c r="AI38" s="96">
        <f t="shared" si="7"/>
        <v>500000</v>
      </c>
      <c r="AJ38" s="184">
        <v>1</v>
      </c>
      <c r="AK38" s="96">
        <f t="shared" si="8"/>
        <v>500000</v>
      </c>
      <c r="AL38" s="184">
        <v>1</v>
      </c>
      <c r="AM38" s="96">
        <f>AL38*E38</f>
        <v>500000</v>
      </c>
      <c r="AN38" s="184">
        <v>1</v>
      </c>
      <c r="AO38" s="96">
        <f t="shared" si="9"/>
        <v>500000</v>
      </c>
      <c r="AP38" s="184">
        <v>1</v>
      </c>
      <c r="AQ38" s="96">
        <f>AP38*E38</f>
        <v>500000</v>
      </c>
      <c r="AR38" s="184">
        <v>1</v>
      </c>
      <c r="AS38" s="96">
        <f>AR38*E38</f>
        <v>500000</v>
      </c>
      <c r="AT38" s="184">
        <v>1</v>
      </c>
      <c r="AU38" s="96">
        <f t="shared" si="10"/>
        <v>500000</v>
      </c>
      <c r="AV38" s="184">
        <v>1</v>
      </c>
      <c r="AW38" s="96">
        <f t="shared" si="11"/>
        <v>500000</v>
      </c>
      <c r="AX38" s="184">
        <v>1</v>
      </c>
      <c r="AY38" s="96">
        <f t="shared" si="12"/>
        <v>500000</v>
      </c>
      <c r="AZ38" s="184">
        <v>1</v>
      </c>
      <c r="BA38" s="96">
        <f>AZ38*E38</f>
        <v>500000</v>
      </c>
      <c r="BB38" s="184">
        <v>1</v>
      </c>
      <c r="BC38" s="96">
        <f t="shared" si="13"/>
        <v>500000</v>
      </c>
      <c r="BD38" s="184">
        <v>1</v>
      </c>
      <c r="BE38" s="96">
        <f t="shared" si="14"/>
        <v>500000</v>
      </c>
      <c r="BF38" s="184">
        <v>1</v>
      </c>
      <c r="BG38" s="96">
        <f t="shared" si="15"/>
        <v>500000</v>
      </c>
      <c r="BH38" s="184">
        <v>0</v>
      </c>
      <c r="BI38" s="96">
        <f t="shared" si="16"/>
        <v>0</v>
      </c>
      <c r="BJ38" s="108">
        <f t="shared" si="41"/>
        <v>17</v>
      </c>
      <c r="BK38" s="108">
        <f t="shared" si="41"/>
        <v>8500000</v>
      </c>
      <c r="BL38" s="362" t="s">
        <v>224</v>
      </c>
      <c r="BN38" s="69"/>
      <c r="BO38" s="69"/>
      <c r="BP38" s="69">
        <f>G38</f>
        <v>8500000</v>
      </c>
      <c r="BQ38" s="69"/>
      <c r="BR38" s="69">
        <f>BN38+BO38+BP38+BQ38</f>
        <v>8500000</v>
      </c>
      <c r="BS38" s="69"/>
      <c r="BT38" s="69"/>
      <c r="BU38" s="69">
        <f>BS38+BT38</f>
        <v>0</v>
      </c>
      <c r="BV38" s="108">
        <f t="shared" si="2"/>
        <v>8500000</v>
      </c>
    </row>
    <row r="39" spans="1:74" s="59" customFormat="1">
      <c r="A39" s="815"/>
      <c r="B39" s="203"/>
      <c r="C39" s="307" t="s">
        <v>571</v>
      </c>
      <c r="D39" s="362" t="s">
        <v>89</v>
      </c>
      <c r="E39" s="312" t="s">
        <v>486</v>
      </c>
      <c r="F39" s="184">
        <f>BJ39</f>
        <v>17</v>
      </c>
      <c r="G39" s="118">
        <f>E39*F39</f>
        <v>1700000</v>
      </c>
      <c r="H39" s="118"/>
      <c r="I39" s="118">
        <f>G39*0.8</f>
        <v>1360000</v>
      </c>
      <c r="J39" s="118"/>
      <c r="K39" s="118"/>
      <c r="L39" s="118"/>
      <c r="M39" s="118"/>
      <c r="N39" s="118"/>
      <c r="O39" s="150"/>
      <c r="P39" s="150">
        <f>G39*0.2</f>
        <v>340000</v>
      </c>
      <c r="Q39" s="150"/>
      <c r="R39" s="92">
        <f>F39*0.25</f>
        <v>4.25</v>
      </c>
      <c r="S39" s="92">
        <f>F39*0.25</f>
        <v>4.25</v>
      </c>
      <c r="T39" s="92">
        <f>F39*0.25</f>
        <v>4.25</v>
      </c>
      <c r="U39" s="92">
        <f>F39*0.25</f>
        <v>4.25</v>
      </c>
      <c r="V39" s="396">
        <f>R39*E39</f>
        <v>425000</v>
      </c>
      <c r="W39" s="396">
        <f>S39*E39</f>
        <v>425000</v>
      </c>
      <c r="X39" s="396">
        <f>T39*E39</f>
        <v>425000</v>
      </c>
      <c r="Y39" s="396">
        <f>U39*E39</f>
        <v>425000</v>
      </c>
      <c r="Z39" s="184">
        <v>1</v>
      </c>
      <c r="AA39" s="96">
        <f t="shared" si="3"/>
        <v>100000</v>
      </c>
      <c r="AB39" s="184">
        <v>1</v>
      </c>
      <c r="AC39" s="96">
        <f t="shared" si="4"/>
        <v>100000</v>
      </c>
      <c r="AD39" s="184">
        <v>1</v>
      </c>
      <c r="AE39" s="96">
        <f t="shared" si="5"/>
        <v>100000</v>
      </c>
      <c r="AF39" s="184">
        <v>1</v>
      </c>
      <c r="AG39" s="96">
        <f t="shared" si="6"/>
        <v>100000</v>
      </c>
      <c r="AH39" s="184">
        <v>1</v>
      </c>
      <c r="AI39" s="96">
        <f t="shared" si="7"/>
        <v>100000</v>
      </c>
      <c r="AJ39" s="184">
        <v>1</v>
      </c>
      <c r="AK39" s="96">
        <f t="shared" si="8"/>
        <v>100000</v>
      </c>
      <c r="AL39" s="184">
        <v>1</v>
      </c>
      <c r="AM39" s="96">
        <f>AL39*E39</f>
        <v>100000</v>
      </c>
      <c r="AN39" s="184">
        <v>1</v>
      </c>
      <c r="AO39" s="96">
        <f t="shared" si="9"/>
        <v>100000</v>
      </c>
      <c r="AP39" s="184">
        <v>1</v>
      </c>
      <c r="AQ39" s="96">
        <f>AP39*E39</f>
        <v>100000</v>
      </c>
      <c r="AR39" s="184">
        <v>1</v>
      </c>
      <c r="AS39" s="96">
        <f>AR39*E39</f>
        <v>100000</v>
      </c>
      <c r="AT39" s="184">
        <v>1</v>
      </c>
      <c r="AU39" s="96">
        <f t="shared" si="10"/>
        <v>100000</v>
      </c>
      <c r="AV39" s="184">
        <v>1</v>
      </c>
      <c r="AW39" s="96">
        <f t="shared" si="11"/>
        <v>100000</v>
      </c>
      <c r="AX39" s="184">
        <v>1</v>
      </c>
      <c r="AY39" s="96">
        <f t="shared" si="12"/>
        <v>100000</v>
      </c>
      <c r="AZ39" s="184">
        <v>1</v>
      </c>
      <c r="BA39" s="96">
        <f>AZ39*E39</f>
        <v>100000</v>
      </c>
      <c r="BB39" s="184">
        <v>1</v>
      </c>
      <c r="BC39" s="96">
        <f t="shared" si="13"/>
        <v>100000</v>
      </c>
      <c r="BD39" s="184">
        <v>1</v>
      </c>
      <c r="BE39" s="96">
        <f t="shared" si="14"/>
        <v>100000</v>
      </c>
      <c r="BF39" s="184">
        <v>1</v>
      </c>
      <c r="BG39" s="96">
        <f t="shared" si="15"/>
        <v>100000</v>
      </c>
      <c r="BH39" s="184">
        <v>0</v>
      </c>
      <c r="BI39" s="96">
        <f t="shared" si="16"/>
        <v>0</v>
      </c>
      <c r="BJ39" s="108">
        <f t="shared" si="41"/>
        <v>17</v>
      </c>
      <c r="BK39" s="108">
        <f t="shared" si="41"/>
        <v>1700000</v>
      </c>
      <c r="BL39" s="362" t="s">
        <v>224</v>
      </c>
      <c r="BN39" s="69"/>
      <c r="BO39" s="69"/>
      <c r="BP39" s="69">
        <f>G39</f>
        <v>1700000</v>
      </c>
      <c r="BQ39" s="69"/>
      <c r="BR39" s="69">
        <f>BN39+BO39+BP39+BQ39</f>
        <v>1700000</v>
      </c>
      <c r="BS39" s="69"/>
      <c r="BT39" s="69"/>
      <c r="BU39" s="69">
        <f>BS39+BT39</f>
        <v>0</v>
      </c>
      <c r="BV39" s="108">
        <f t="shared" si="2"/>
        <v>1700000</v>
      </c>
    </row>
    <row r="40" spans="1:74" s="149" customFormat="1">
      <c r="A40" s="815"/>
      <c r="B40" s="614"/>
      <c r="C40" s="336" t="s">
        <v>572</v>
      </c>
      <c r="D40" s="439" t="s">
        <v>121</v>
      </c>
      <c r="E40" s="366"/>
      <c r="F40" s="366">
        <f>SUM(F35:F39)</f>
        <v>51</v>
      </c>
      <c r="G40" s="366">
        <f t="shared" ref="G40:BR40" si="42">SUM(G35:G39)</f>
        <v>17000000</v>
      </c>
      <c r="H40" s="366">
        <f t="shared" si="42"/>
        <v>0</v>
      </c>
      <c r="I40" s="366">
        <f t="shared" si="42"/>
        <v>13600000</v>
      </c>
      <c r="J40" s="366">
        <f t="shared" si="42"/>
        <v>0</v>
      </c>
      <c r="K40" s="366">
        <f t="shared" si="42"/>
        <v>0</v>
      </c>
      <c r="L40" s="366">
        <f t="shared" si="42"/>
        <v>0</v>
      </c>
      <c r="M40" s="366">
        <f t="shared" si="42"/>
        <v>0</v>
      </c>
      <c r="N40" s="366">
        <f t="shared" si="42"/>
        <v>0</v>
      </c>
      <c r="O40" s="366">
        <f t="shared" si="42"/>
        <v>0</v>
      </c>
      <c r="P40" s="366">
        <f t="shared" si="42"/>
        <v>3400000</v>
      </c>
      <c r="Q40" s="366">
        <f t="shared" si="42"/>
        <v>0</v>
      </c>
      <c r="R40" s="366">
        <f t="shared" si="42"/>
        <v>12.75</v>
      </c>
      <c r="S40" s="366">
        <f t="shared" si="42"/>
        <v>12.75</v>
      </c>
      <c r="T40" s="366">
        <f t="shared" si="42"/>
        <v>12.75</v>
      </c>
      <c r="U40" s="366">
        <f t="shared" si="42"/>
        <v>12.75</v>
      </c>
      <c r="V40" s="366">
        <f t="shared" si="42"/>
        <v>4250000</v>
      </c>
      <c r="W40" s="366">
        <f t="shared" si="42"/>
        <v>4250000</v>
      </c>
      <c r="X40" s="366">
        <f t="shared" si="42"/>
        <v>4250000</v>
      </c>
      <c r="Y40" s="366">
        <f t="shared" si="42"/>
        <v>4250000</v>
      </c>
      <c r="Z40" s="366">
        <f t="shared" si="42"/>
        <v>3</v>
      </c>
      <c r="AA40" s="366">
        <f t="shared" si="42"/>
        <v>1000000</v>
      </c>
      <c r="AB40" s="366">
        <f t="shared" si="42"/>
        <v>3</v>
      </c>
      <c r="AC40" s="366">
        <f t="shared" si="42"/>
        <v>1000000</v>
      </c>
      <c r="AD40" s="366">
        <f t="shared" si="42"/>
        <v>3</v>
      </c>
      <c r="AE40" s="366">
        <f t="shared" si="42"/>
        <v>1000000</v>
      </c>
      <c r="AF40" s="366">
        <f t="shared" si="42"/>
        <v>3</v>
      </c>
      <c r="AG40" s="366">
        <f t="shared" si="42"/>
        <v>1000000</v>
      </c>
      <c r="AH40" s="366">
        <f t="shared" si="42"/>
        <v>3</v>
      </c>
      <c r="AI40" s="366">
        <f t="shared" si="42"/>
        <v>1000000</v>
      </c>
      <c r="AJ40" s="366">
        <f t="shared" si="42"/>
        <v>3</v>
      </c>
      <c r="AK40" s="366">
        <f t="shared" si="42"/>
        <v>1000000</v>
      </c>
      <c r="AL40" s="366">
        <f t="shared" si="42"/>
        <v>3</v>
      </c>
      <c r="AM40" s="366">
        <f t="shared" si="42"/>
        <v>1000000</v>
      </c>
      <c r="AN40" s="366">
        <f t="shared" si="42"/>
        <v>3</v>
      </c>
      <c r="AO40" s="366">
        <f t="shared" si="42"/>
        <v>1000000</v>
      </c>
      <c r="AP40" s="366">
        <f t="shared" si="42"/>
        <v>3</v>
      </c>
      <c r="AQ40" s="366">
        <f t="shared" si="42"/>
        <v>1000000</v>
      </c>
      <c r="AR40" s="366">
        <f t="shared" si="42"/>
        <v>3</v>
      </c>
      <c r="AS40" s="366">
        <f t="shared" si="42"/>
        <v>1000000</v>
      </c>
      <c r="AT40" s="366">
        <f t="shared" si="42"/>
        <v>3</v>
      </c>
      <c r="AU40" s="366">
        <f t="shared" si="42"/>
        <v>1000000</v>
      </c>
      <c r="AV40" s="366">
        <f t="shared" si="42"/>
        <v>3</v>
      </c>
      <c r="AW40" s="366">
        <f t="shared" si="42"/>
        <v>1000000</v>
      </c>
      <c r="AX40" s="366">
        <f t="shared" si="42"/>
        <v>3</v>
      </c>
      <c r="AY40" s="366">
        <f t="shared" si="42"/>
        <v>1000000</v>
      </c>
      <c r="AZ40" s="366">
        <f t="shared" si="42"/>
        <v>3</v>
      </c>
      <c r="BA40" s="366">
        <f t="shared" si="42"/>
        <v>1000000</v>
      </c>
      <c r="BB40" s="366">
        <f t="shared" si="42"/>
        <v>3</v>
      </c>
      <c r="BC40" s="366">
        <f t="shared" si="42"/>
        <v>1000000</v>
      </c>
      <c r="BD40" s="366">
        <f t="shared" si="42"/>
        <v>3</v>
      </c>
      <c r="BE40" s="366">
        <f t="shared" si="42"/>
        <v>1000000</v>
      </c>
      <c r="BF40" s="366">
        <f t="shared" si="42"/>
        <v>3</v>
      </c>
      <c r="BG40" s="366">
        <f t="shared" si="42"/>
        <v>1000000</v>
      </c>
      <c r="BH40" s="366">
        <f t="shared" si="42"/>
        <v>0</v>
      </c>
      <c r="BI40" s="366">
        <f t="shared" si="42"/>
        <v>0</v>
      </c>
      <c r="BJ40" s="366">
        <f t="shared" si="42"/>
        <v>51</v>
      </c>
      <c r="BK40" s="366">
        <f t="shared" si="42"/>
        <v>17000000</v>
      </c>
      <c r="BL40" s="366">
        <f t="shared" si="42"/>
        <v>0</v>
      </c>
      <c r="BM40" s="366">
        <f t="shared" si="42"/>
        <v>0</v>
      </c>
      <c r="BN40" s="366">
        <f t="shared" si="42"/>
        <v>0</v>
      </c>
      <c r="BO40" s="366">
        <f t="shared" si="42"/>
        <v>0</v>
      </c>
      <c r="BP40" s="366">
        <f t="shared" si="42"/>
        <v>17000000</v>
      </c>
      <c r="BQ40" s="366">
        <f t="shared" si="42"/>
        <v>0</v>
      </c>
      <c r="BR40" s="366">
        <f t="shared" si="42"/>
        <v>17000000</v>
      </c>
      <c r="BS40" s="366">
        <f>SUM(BS35:BS39)</f>
        <v>0</v>
      </c>
      <c r="BT40" s="366">
        <f>SUM(BT35:BT39)</f>
        <v>0</v>
      </c>
      <c r="BU40" s="366">
        <f>SUM(BU35:BU39)</f>
        <v>0</v>
      </c>
      <c r="BV40" s="366">
        <f>SUM(BV35:BV39)</f>
        <v>17000000</v>
      </c>
    </row>
    <row r="41" spans="1:74" s="59" customFormat="1">
      <c r="A41" s="815"/>
      <c r="B41" s="93">
        <v>23600</v>
      </c>
      <c r="C41" s="309" t="s">
        <v>788</v>
      </c>
      <c r="D41" s="362"/>
      <c r="E41" s="362"/>
      <c r="F41" s="184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184"/>
      <c r="AA41" s="96">
        <f t="shared" si="3"/>
        <v>0</v>
      </c>
      <c r="AB41" s="184"/>
      <c r="AC41" s="96">
        <f t="shared" si="4"/>
        <v>0</v>
      </c>
      <c r="AD41" s="184"/>
      <c r="AE41" s="96">
        <f t="shared" si="5"/>
        <v>0</v>
      </c>
      <c r="AF41" s="184"/>
      <c r="AG41" s="96">
        <f t="shared" si="6"/>
        <v>0</v>
      </c>
      <c r="AH41" s="203"/>
      <c r="AI41" s="96">
        <f t="shared" si="7"/>
        <v>0</v>
      </c>
      <c r="AJ41" s="203">
        <v>0</v>
      </c>
      <c r="AK41" s="96">
        <f t="shared" si="8"/>
        <v>0</v>
      </c>
      <c r="AL41" s="203"/>
      <c r="AM41" s="96"/>
      <c r="AN41" s="203"/>
      <c r="AO41" s="96">
        <f t="shared" si="9"/>
        <v>0</v>
      </c>
      <c r="AP41" s="203"/>
      <c r="AQ41" s="96"/>
      <c r="AR41" s="203"/>
      <c r="AS41" s="96"/>
      <c r="AT41" s="203"/>
      <c r="AU41" s="96">
        <f t="shared" si="10"/>
        <v>0</v>
      </c>
      <c r="AV41" s="203"/>
      <c r="AW41" s="96">
        <f t="shared" si="11"/>
        <v>0</v>
      </c>
      <c r="AX41" s="203"/>
      <c r="AY41" s="96">
        <f t="shared" si="12"/>
        <v>0</v>
      </c>
      <c r="AZ41" s="203"/>
      <c r="BA41" s="96"/>
      <c r="BB41" s="203"/>
      <c r="BC41" s="96">
        <f t="shared" si="13"/>
        <v>0</v>
      </c>
      <c r="BD41" s="203"/>
      <c r="BE41" s="96">
        <f t="shared" si="14"/>
        <v>0</v>
      </c>
      <c r="BF41" s="203"/>
      <c r="BG41" s="96">
        <f t="shared" si="15"/>
        <v>0</v>
      </c>
      <c r="BH41" s="203"/>
      <c r="BI41" s="96"/>
      <c r="BJ41" s="184"/>
      <c r="BK41" s="96"/>
      <c r="BL41" s="362"/>
      <c r="BN41" s="69"/>
      <c r="BO41" s="69"/>
      <c r="BP41" s="69"/>
      <c r="BQ41" s="69"/>
      <c r="BR41" s="69"/>
      <c r="BS41" s="69"/>
      <c r="BT41" s="69"/>
      <c r="BU41" s="69"/>
      <c r="BV41" s="108">
        <f t="shared" si="2"/>
        <v>0</v>
      </c>
    </row>
    <row r="42" spans="1:74" s="59" customFormat="1" ht="31.5">
      <c r="A42" s="815"/>
      <c r="B42" s="93"/>
      <c r="C42" s="678" t="s">
        <v>832</v>
      </c>
      <c r="D42" s="308" t="s">
        <v>16</v>
      </c>
      <c r="E42" s="312">
        <v>1000000</v>
      </c>
      <c r="F42" s="111">
        <f t="shared" ref="F42:F49" si="43">BJ42</f>
        <v>17</v>
      </c>
      <c r="G42" s="680">
        <f>BK42</f>
        <v>17000000</v>
      </c>
      <c r="H42" s="702">
        <f>G42*0.1</f>
        <v>1700000</v>
      </c>
      <c r="I42" s="702">
        <f>G42*0.8</f>
        <v>13600000</v>
      </c>
      <c r="J42" s="203"/>
      <c r="K42" s="203"/>
      <c r="L42" s="203"/>
      <c r="M42" s="203"/>
      <c r="N42" s="203"/>
      <c r="O42" s="203"/>
      <c r="P42" s="702">
        <f>G42*0.1</f>
        <v>1700000</v>
      </c>
      <c r="Q42" s="203"/>
      <c r="R42" s="203">
        <f>F42*0.5</f>
        <v>8.5</v>
      </c>
      <c r="S42" s="203">
        <f>F42*0.5</f>
        <v>8.5</v>
      </c>
      <c r="T42" s="203"/>
      <c r="U42" s="203"/>
      <c r="V42" s="89">
        <f>G42*0.5</f>
        <v>8500000</v>
      </c>
      <c r="W42" s="89">
        <f>G42*0.5</f>
        <v>8500000</v>
      </c>
      <c r="X42" s="203"/>
      <c r="Y42" s="203"/>
      <c r="Z42" s="184">
        <v>1</v>
      </c>
      <c r="AA42" s="224">
        <f>Z42*E42</f>
        <v>1000000</v>
      </c>
      <c r="AB42" s="184">
        <v>1</v>
      </c>
      <c r="AC42" s="224">
        <f t="shared" si="4"/>
        <v>1000000</v>
      </c>
      <c r="AD42" s="184">
        <v>1</v>
      </c>
      <c r="AE42" s="224">
        <f t="shared" si="5"/>
        <v>1000000</v>
      </c>
      <c r="AF42" s="184">
        <v>1</v>
      </c>
      <c r="AG42" s="224">
        <f>AF42*E42-500000</f>
        <v>500000</v>
      </c>
      <c r="AH42" s="203">
        <v>1</v>
      </c>
      <c r="AI42" s="224">
        <f>AH42*E42-900000</f>
        <v>100000</v>
      </c>
      <c r="AJ42" s="203">
        <v>1</v>
      </c>
      <c r="AK42" s="224">
        <f>AJ42*E42-500000</f>
        <v>500000</v>
      </c>
      <c r="AL42" s="203">
        <v>1</v>
      </c>
      <c r="AM42" s="224">
        <f>AL42*E42-900000</f>
        <v>100000</v>
      </c>
      <c r="AN42" s="203">
        <v>1</v>
      </c>
      <c r="AO42" s="224">
        <f>AN42*E42-900000</f>
        <v>100000</v>
      </c>
      <c r="AP42" s="203">
        <v>1</v>
      </c>
      <c r="AQ42" s="224">
        <f>AP42*E42</f>
        <v>1000000</v>
      </c>
      <c r="AR42" s="203">
        <v>1</v>
      </c>
      <c r="AS42" s="224">
        <f>AR42*E42</f>
        <v>1000000</v>
      </c>
      <c r="AT42" s="203">
        <v>1</v>
      </c>
      <c r="AU42" s="224">
        <f>AT42*E42-900000</f>
        <v>100000</v>
      </c>
      <c r="AV42" s="203">
        <v>1</v>
      </c>
      <c r="AW42" s="224">
        <f t="shared" si="11"/>
        <v>1000000</v>
      </c>
      <c r="AX42" s="203">
        <v>1</v>
      </c>
      <c r="AY42" s="224">
        <f>AX42*E42-100000</f>
        <v>900000</v>
      </c>
      <c r="AZ42" s="203">
        <v>1</v>
      </c>
      <c r="BA42" s="224">
        <f>AZ42*E42-500000</f>
        <v>500000</v>
      </c>
      <c r="BB42" s="203">
        <v>1</v>
      </c>
      <c r="BC42" s="224">
        <f>BB42*E42-400000</f>
        <v>600000</v>
      </c>
      <c r="BD42" s="203">
        <v>1</v>
      </c>
      <c r="BE42" s="224">
        <f>BD42*E42-900000</f>
        <v>100000</v>
      </c>
      <c r="BF42" s="203">
        <v>1</v>
      </c>
      <c r="BG42" s="224">
        <f>BF42*E42-500000</f>
        <v>500000</v>
      </c>
      <c r="BH42" s="203"/>
      <c r="BI42" s="96"/>
      <c r="BJ42" s="142">
        <f t="shared" ref="BJ42:BJ49" si="44">BH42+BF42+BD42+BB42+AZ42+AX42+AV42+AT42+AR42+AP42+AN42+AL42+AJ42+AH42+AF42+AD42+AB42+Z42</f>
        <v>17</v>
      </c>
      <c r="BK42" s="224">
        <f t="shared" ref="BK42:BK43" si="45">BJ42*E42</f>
        <v>17000000</v>
      </c>
      <c r="BL42" s="679" t="s">
        <v>227</v>
      </c>
      <c r="BN42" s="69">
        <f>G42</f>
        <v>17000000</v>
      </c>
      <c r="BO42" s="69"/>
      <c r="BP42" s="69"/>
      <c r="BQ42" s="69"/>
      <c r="BR42" s="70">
        <f t="shared" ref="BR42:BR50" si="46">BN42+BO42+BP42+BQ42</f>
        <v>17000000</v>
      </c>
      <c r="BS42" s="69"/>
      <c r="BT42" s="69"/>
      <c r="BU42" s="69"/>
      <c r="BV42" s="108">
        <f t="shared" si="2"/>
        <v>17000000</v>
      </c>
    </row>
    <row r="43" spans="1:74" s="59" customFormat="1">
      <c r="A43" s="815"/>
      <c r="B43" s="93"/>
      <c r="C43" s="678" t="s">
        <v>833</v>
      </c>
      <c r="D43" s="308"/>
      <c r="E43" s="312">
        <v>1000000</v>
      </c>
      <c r="F43" s="111">
        <f t="shared" si="43"/>
        <v>5</v>
      </c>
      <c r="G43" s="680">
        <f>BK43</f>
        <v>5000000</v>
      </c>
      <c r="H43" s="702">
        <f>G43*0.1</f>
        <v>500000</v>
      </c>
      <c r="I43" s="702">
        <f>G43*0.8</f>
        <v>4000000</v>
      </c>
      <c r="J43" s="203"/>
      <c r="K43" s="203"/>
      <c r="L43" s="203"/>
      <c r="M43" s="203"/>
      <c r="N43" s="203"/>
      <c r="O43" s="203"/>
      <c r="P43" s="702">
        <f>G43*0.1</f>
        <v>500000</v>
      </c>
      <c r="Q43" s="203"/>
      <c r="R43" s="203">
        <f>F43*0.5</f>
        <v>2.5</v>
      </c>
      <c r="S43" s="203">
        <f>F43*0.5</f>
        <v>2.5</v>
      </c>
      <c r="T43" s="203"/>
      <c r="U43" s="203"/>
      <c r="V43" s="89">
        <f>G43*0.5</f>
        <v>2500000</v>
      </c>
      <c r="W43" s="89">
        <f>G43*0.5</f>
        <v>2500000</v>
      </c>
      <c r="X43" s="203"/>
      <c r="Y43" s="203"/>
      <c r="Z43" s="184"/>
      <c r="AA43" s="224"/>
      <c r="AB43" s="184"/>
      <c r="AC43" s="224">
        <f t="shared" si="4"/>
        <v>0</v>
      </c>
      <c r="AD43" s="184">
        <v>1</v>
      </c>
      <c r="AE43" s="224">
        <f t="shared" si="5"/>
        <v>1000000</v>
      </c>
      <c r="AF43" s="184">
        <v>1</v>
      </c>
      <c r="AG43" s="224">
        <f t="shared" si="6"/>
        <v>1000000</v>
      </c>
      <c r="AH43" s="203"/>
      <c r="AI43" s="224"/>
      <c r="AJ43" s="203"/>
      <c r="AK43" s="224"/>
      <c r="AL43" s="203">
        <v>1</v>
      </c>
      <c r="AM43" s="224">
        <f>AL43*E43-640000</f>
        <v>360000</v>
      </c>
      <c r="AN43" s="203">
        <v>1</v>
      </c>
      <c r="AO43" s="224">
        <f>AN43*E43-750000</f>
        <v>250000</v>
      </c>
      <c r="AP43" s="203"/>
      <c r="AQ43" s="224"/>
      <c r="AR43" s="203"/>
      <c r="AS43" s="224"/>
      <c r="AT43" s="203"/>
      <c r="AU43" s="224"/>
      <c r="AV43" s="203">
        <v>1</v>
      </c>
      <c r="AW43" s="224">
        <f t="shared" si="11"/>
        <v>1000000</v>
      </c>
      <c r="AX43" s="203"/>
      <c r="AY43" s="224"/>
      <c r="AZ43" s="203"/>
      <c r="BA43" s="224"/>
      <c r="BB43" s="203"/>
      <c r="BC43" s="224"/>
      <c r="BD43" s="203"/>
      <c r="BE43" s="224"/>
      <c r="BF43" s="203"/>
      <c r="BG43" s="224"/>
      <c r="BH43" s="203"/>
      <c r="BI43" s="96"/>
      <c r="BJ43" s="142">
        <f t="shared" si="44"/>
        <v>5</v>
      </c>
      <c r="BK43" s="224">
        <f t="shared" si="45"/>
        <v>5000000</v>
      </c>
      <c r="BL43" s="679" t="s">
        <v>227</v>
      </c>
      <c r="BN43" s="69">
        <f>G43</f>
        <v>5000000</v>
      </c>
      <c r="BO43" s="69"/>
      <c r="BP43" s="69"/>
      <c r="BQ43" s="69"/>
      <c r="BR43" s="70">
        <f t="shared" si="46"/>
        <v>5000000</v>
      </c>
      <c r="BS43" s="69"/>
      <c r="BT43" s="69"/>
      <c r="BU43" s="69"/>
      <c r="BV43" s="108">
        <f t="shared" si="2"/>
        <v>5000000</v>
      </c>
    </row>
    <row r="44" spans="1:74" s="31" customFormat="1" ht="31.5">
      <c r="A44" s="815"/>
      <c r="B44" s="72"/>
      <c r="C44" s="156" t="s">
        <v>743</v>
      </c>
      <c r="D44" s="72" t="s">
        <v>326</v>
      </c>
      <c r="E44" s="703">
        <v>100000</v>
      </c>
      <c r="F44" s="111">
        <f t="shared" si="43"/>
        <v>101</v>
      </c>
      <c r="G44" s="117">
        <f>F44*E44</f>
        <v>10100000</v>
      </c>
      <c r="H44" s="117"/>
      <c r="I44" s="117"/>
      <c r="J44" s="267">
        <f>G44*1</f>
        <v>10100000</v>
      </c>
      <c r="K44" s="151"/>
      <c r="L44" s="151"/>
      <c r="M44" s="151"/>
      <c r="N44" s="151"/>
      <c r="O44" s="151"/>
      <c r="P44" s="267">
        <f>G44*0</f>
        <v>0</v>
      </c>
      <c r="Q44" s="151"/>
      <c r="R44" s="538">
        <f t="shared" ref="R44:R49" si="47">F44*0.25</f>
        <v>25.25</v>
      </c>
      <c r="S44" s="538">
        <f t="shared" ref="S44:S49" si="48">F44*0.25</f>
        <v>25.25</v>
      </c>
      <c r="T44" s="538">
        <f t="shared" ref="T44:T49" si="49">F44*0.25</f>
        <v>25.25</v>
      </c>
      <c r="U44" s="538">
        <f t="shared" ref="U44:U49" si="50">F44*0.25</f>
        <v>25.25</v>
      </c>
      <c r="V44" s="110">
        <f t="shared" ref="V44:V49" si="51">R44*E44</f>
        <v>2525000</v>
      </c>
      <c r="W44" s="110">
        <f t="shared" ref="W44:W49" si="52">S44*E44</f>
        <v>2525000</v>
      </c>
      <c r="X44" s="110">
        <f t="shared" ref="X44:X49" si="53">T44*E44</f>
        <v>2525000</v>
      </c>
      <c r="Y44" s="110">
        <f t="shared" ref="Y44:Y49" si="54">U44*E44</f>
        <v>2525000</v>
      </c>
      <c r="Z44" s="112">
        <v>6</v>
      </c>
      <c r="AA44" s="224">
        <f>Z44*E44</f>
        <v>600000</v>
      </c>
      <c r="AB44" s="112">
        <v>6</v>
      </c>
      <c r="AC44" s="224">
        <f t="shared" si="4"/>
        <v>600000</v>
      </c>
      <c r="AD44" s="112">
        <v>6</v>
      </c>
      <c r="AE44" s="224">
        <f t="shared" si="5"/>
        <v>600000</v>
      </c>
      <c r="AF44" s="112">
        <v>6</v>
      </c>
      <c r="AG44" s="224">
        <f t="shared" si="6"/>
        <v>600000</v>
      </c>
      <c r="AH44" s="112">
        <v>6</v>
      </c>
      <c r="AI44" s="224">
        <f t="shared" si="7"/>
        <v>600000</v>
      </c>
      <c r="AJ44" s="112">
        <v>6</v>
      </c>
      <c r="AK44" s="224">
        <f t="shared" si="8"/>
        <v>600000</v>
      </c>
      <c r="AL44" s="112">
        <v>6</v>
      </c>
      <c r="AM44" s="224">
        <f>AL44*E44</f>
        <v>600000</v>
      </c>
      <c r="AN44" s="112">
        <v>8</v>
      </c>
      <c r="AO44" s="224">
        <f t="shared" si="9"/>
        <v>800000</v>
      </c>
      <c r="AP44" s="112">
        <v>3</v>
      </c>
      <c r="AQ44" s="224">
        <f>AP44*E44</f>
        <v>300000</v>
      </c>
      <c r="AR44" s="112">
        <v>6</v>
      </c>
      <c r="AS44" s="224">
        <f>AR44*E44</f>
        <v>600000</v>
      </c>
      <c r="AT44" s="112">
        <v>6</v>
      </c>
      <c r="AU44" s="224">
        <f t="shared" si="10"/>
        <v>600000</v>
      </c>
      <c r="AV44" s="112">
        <v>6</v>
      </c>
      <c r="AW44" s="224">
        <f t="shared" si="11"/>
        <v>600000</v>
      </c>
      <c r="AX44" s="112">
        <v>6</v>
      </c>
      <c r="AY44" s="224">
        <f t="shared" si="12"/>
        <v>600000</v>
      </c>
      <c r="AZ44" s="112">
        <v>6</v>
      </c>
      <c r="BA44" s="224">
        <f>AZ44*E44</f>
        <v>600000</v>
      </c>
      <c r="BB44" s="112">
        <v>6</v>
      </c>
      <c r="BC44" s="224">
        <f t="shared" si="13"/>
        <v>600000</v>
      </c>
      <c r="BD44" s="112">
        <v>6</v>
      </c>
      <c r="BE44" s="224">
        <f t="shared" si="14"/>
        <v>600000</v>
      </c>
      <c r="BF44" s="136">
        <v>6</v>
      </c>
      <c r="BG44" s="224">
        <f t="shared" si="15"/>
        <v>600000</v>
      </c>
      <c r="BH44" s="112">
        <v>0</v>
      </c>
      <c r="BI44" s="224">
        <f>BH44*E44</f>
        <v>0</v>
      </c>
      <c r="BJ44" s="142">
        <f t="shared" si="44"/>
        <v>101</v>
      </c>
      <c r="BK44" s="224">
        <f>BJ44*E44</f>
        <v>10100000</v>
      </c>
      <c r="BL44" s="158" t="s">
        <v>744</v>
      </c>
      <c r="BM44" s="273">
        <f>BI44+BG44+BE44+BC44+BA44+AY44+AW44+AU44+AS44+AQ44+AO44+AM44+AK44+AI44+AG44+AE44+AC44+AA44</f>
        <v>10100000</v>
      </c>
      <c r="BN44" s="43"/>
      <c r="BO44" s="43"/>
      <c r="BP44" s="179">
        <f>G44</f>
        <v>10100000</v>
      </c>
      <c r="BQ44" s="43"/>
      <c r="BR44" s="70">
        <f t="shared" si="46"/>
        <v>10100000</v>
      </c>
      <c r="BS44" s="43"/>
      <c r="BT44" s="43"/>
      <c r="BU44" s="43"/>
      <c r="BV44" s="108">
        <f t="shared" si="2"/>
        <v>10100000</v>
      </c>
    </row>
    <row r="45" spans="1:74" s="31" customFormat="1">
      <c r="A45" s="815"/>
      <c r="B45" s="72"/>
      <c r="C45" s="156" t="s">
        <v>804</v>
      </c>
      <c r="D45" s="72"/>
      <c r="E45" s="703">
        <v>2000000</v>
      </c>
      <c r="F45" s="111">
        <f t="shared" si="43"/>
        <v>2</v>
      </c>
      <c r="G45" s="117">
        <f>F45*E45</f>
        <v>4000000</v>
      </c>
      <c r="H45" s="117"/>
      <c r="I45" s="117"/>
      <c r="J45" s="267"/>
      <c r="K45" s="151"/>
      <c r="L45" s="267">
        <f>G45</f>
        <v>4000000</v>
      </c>
      <c r="M45" s="151"/>
      <c r="N45" s="151"/>
      <c r="O45" s="151"/>
      <c r="P45" s="267"/>
      <c r="Q45" s="151"/>
      <c r="R45" s="538">
        <f>F45*0.25</f>
        <v>0.5</v>
      </c>
      <c r="S45" s="538">
        <f>F45*0.25</f>
        <v>0.5</v>
      </c>
      <c r="T45" s="538">
        <f>F45*0.25</f>
        <v>0.5</v>
      </c>
      <c r="U45" s="538">
        <f>F45*0.25</f>
        <v>0.5</v>
      </c>
      <c r="V45" s="110">
        <f>R45*E45</f>
        <v>1000000</v>
      </c>
      <c r="W45" s="110">
        <f>S45*E45</f>
        <v>1000000</v>
      </c>
      <c r="X45" s="110">
        <f>T45*E45</f>
        <v>1000000</v>
      </c>
      <c r="Y45" s="110">
        <f>U45*E45</f>
        <v>1000000</v>
      </c>
      <c r="Z45" s="112"/>
      <c r="AA45" s="224"/>
      <c r="AB45" s="112"/>
      <c r="AC45" s="224"/>
      <c r="AD45" s="112"/>
      <c r="AE45" s="224"/>
      <c r="AF45" s="112">
        <v>1</v>
      </c>
      <c r="AG45" s="224">
        <f t="shared" si="6"/>
        <v>2000000</v>
      </c>
      <c r="AH45" s="112"/>
      <c r="AI45" s="224"/>
      <c r="AJ45" s="112"/>
      <c r="AK45" s="224"/>
      <c r="AL45" s="112"/>
      <c r="AM45" s="224"/>
      <c r="AN45" s="112"/>
      <c r="AO45" s="224"/>
      <c r="AP45" s="112"/>
      <c r="AQ45" s="224"/>
      <c r="AR45" s="112"/>
      <c r="AS45" s="224"/>
      <c r="AT45" s="112"/>
      <c r="AU45" s="224"/>
      <c r="AV45" s="112"/>
      <c r="AW45" s="224"/>
      <c r="AX45" s="112"/>
      <c r="AY45" s="224"/>
      <c r="AZ45" s="112"/>
      <c r="BA45" s="224"/>
      <c r="BB45" s="112"/>
      <c r="BC45" s="224"/>
      <c r="BD45" s="112">
        <v>1</v>
      </c>
      <c r="BE45" s="224">
        <f t="shared" si="14"/>
        <v>2000000</v>
      </c>
      <c r="BF45" s="136"/>
      <c r="BG45" s="224"/>
      <c r="BH45" s="112"/>
      <c r="BI45" s="224"/>
      <c r="BJ45" s="142">
        <f t="shared" si="44"/>
        <v>2</v>
      </c>
      <c r="BK45" s="224">
        <f>BJ45*E45</f>
        <v>4000000</v>
      </c>
      <c r="BL45" s="158" t="s">
        <v>783</v>
      </c>
      <c r="BM45" s="273"/>
      <c r="BN45" s="43">
        <f>G45</f>
        <v>4000000</v>
      </c>
      <c r="BO45" s="43"/>
      <c r="BP45" s="179"/>
      <c r="BQ45" s="43"/>
      <c r="BR45" s="70">
        <f t="shared" si="46"/>
        <v>4000000</v>
      </c>
      <c r="BS45" s="43"/>
      <c r="BT45" s="43"/>
      <c r="BU45" s="43"/>
      <c r="BV45" s="108">
        <f t="shared" si="2"/>
        <v>4000000</v>
      </c>
    </row>
    <row r="46" spans="1:74" s="31" customFormat="1">
      <c r="A46" s="815"/>
      <c r="B46" s="72"/>
      <c r="C46" s="156" t="s">
        <v>781</v>
      </c>
      <c r="D46" s="72" t="s">
        <v>326</v>
      </c>
      <c r="E46" s="703">
        <v>800000</v>
      </c>
      <c r="F46" s="111">
        <f t="shared" si="43"/>
        <v>20</v>
      </c>
      <c r="G46" s="117">
        <f>F46*E46</f>
        <v>16000000</v>
      </c>
      <c r="H46" s="117"/>
      <c r="I46" s="117"/>
      <c r="J46" s="267"/>
      <c r="K46" s="151"/>
      <c r="L46" s="267">
        <f>G46</f>
        <v>16000000</v>
      </c>
      <c r="M46" s="151"/>
      <c r="N46" s="151"/>
      <c r="O46" s="151"/>
      <c r="P46" s="267"/>
      <c r="Q46" s="151"/>
      <c r="R46" s="538">
        <f t="shared" si="47"/>
        <v>5</v>
      </c>
      <c r="S46" s="538">
        <f t="shared" si="48"/>
        <v>5</v>
      </c>
      <c r="T46" s="538">
        <f t="shared" si="49"/>
        <v>5</v>
      </c>
      <c r="U46" s="538">
        <f t="shared" si="50"/>
        <v>5</v>
      </c>
      <c r="V46" s="110">
        <f t="shared" si="51"/>
        <v>4000000</v>
      </c>
      <c r="W46" s="110">
        <f t="shared" si="52"/>
        <v>4000000</v>
      </c>
      <c r="X46" s="110">
        <f t="shared" si="53"/>
        <v>4000000</v>
      </c>
      <c r="Y46" s="110">
        <f t="shared" si="54"/>
        <v>4000000</v>
      </c>
      <c r="Z46" s="112">
        <v>1</v>
      </c>
      <c r="AA46" s="224">
        <f>Z46*E46</f>
        <v>800000</v>
      </c>
      <c r="AB46" s="112">
        <v>1</v>
      </c>
      <c r="AC46" s="224">
        <f t="shared" si="4"/>
        <v>800000</v>
      </c>
      <c r="AD46" s="112">
        <v>1</v>
      </c>
      <c r="AE46" s="224">
        <f t="shared" si="5"/>
        <v>800000</v>
      </c>
      <c r="AF46" s="112">
        <v>2</v>
      </c>
      <c r="AG46" s="224">
        <f t="shared" si="6"/>
        <v>1600000</v>
      </c>
      <c r="AH46" s="112">
        <v>1</v>
      </c>
      <c r="AI46" s="224">
        <f t="shared" si="7"/>
        <v>800000</v>
      </c>
      <c r="AJ46" s="112">
        <v>1</v>
      </c>
      <c r="AK46" s="224">
        <f t="shared" si="8"/>
        <v>800000</v>
      </c>
      <c r="AL46" s="112">
        <v>1</v>
      </c>
      <c r="AM46" s="224">
        <f>AL46*E46</f>
        <v>800000</v>
      </c>
      <c r="AN46" s="112">
        <v>1</v>
      </c>
      <c r="AO46" s="224">
        <f t="shared" si="9"/>
        <v>800000</v>
      </c>
      <c r="AP46" s="112">
        <v>2</v>
      </c>
      <c r="AQ46" s="224">
        <f>AP46*E46</f>
        <v>1600000</v>
      </c>
      <c r="AR46" s="112">
        <v>2</v>
      </c>
      <c r="AS46" s="224">
        <f>AR46*E46</f>
        <v>1600000</v>
      </c>
      <c r="AT46" s="112">
        <v>1</v>
      </c>
      <c r="AU46" s="224">
        <f t="shared" si="10"/>
        <v>800000</v>
      </c>
      <c r="AV46" s="112">
        <v>1</v>
      </c>
      <c r="AW46" s="224">
        <f t="shared" si="11"/>
        <v>800000</v>
      </c>
      <c r="AX46" s="112">
        <v>1</v>
      </c>
      <c r="AY46" s="224">
        <f t="shared" si="12"/>
        <v>800000</v>
      </c>
      <c r="AZ46" s="112">
        <v>1</v>
      </c>
      <c r="BA46" s="224">
        <f>AZ46*E46</f>
        <v>800000</v>
      </c>
      <c r="BB46" s="112">
        <v>1</v>
      </c>
      <c r="BC46" s="224">
        <f t="shared" si="13"/>
        <v>800000</v>
      </c>
      <c r="BD46" s="112">
        <v>1</v>
      </c>
      <c r="BE46" s="224">
        <f t="shared" si="14"/>
        <v>800000</v>
      </c>
      <c r="BF46" s="136">
        <v>1</v>
      </c>
      <c r="BG46" s="224">
        <f t="shared" si="15"/>
        <v>800000</v>
      </c>
      <c r="BH46" s="112"/>
      <c r="BI46" s="224"/>
      <c r="BJ46" s="142">
        <f t="shared" si="44"/>
        <v>20</v>
      </c>
      <c r="BK46" s="224">
        <f>BJ46*E46</f>
        <v>16000000</v>
      </c>
      <c r="BL46" s="158" t="s">
        <v>783</v>
      </c>
      <c r="BM46" s="273"/>
      <c r="BN46" s="43"/>
      <c r="BO46" s="43"/>
      <c r="BP46" s="179">
        <f>G46</f>
        <v>16000000</v>
      </c>
      <c r="BQ46" s="43"/>
      <c r="BR46" s="70">
        <f t="shared" si="46"/>
        <v>16000000</v>
      </c>
      <c r="BS46" s="43"/>
      <c r="BT46" s="43"/>
      <c r="BU46" s="43"/>
      <c r="BV46" s="108">
        <f t="shared" si="2"/>
        <v>16000000</v>
      </c>
    </row>
    <row r="47" spans="1:74" s="31" customFormat="1" ht="31.5">
      <c r="A47" s="815"/>
      <c r="B47" s="72"/>
      <c r="C47" s="156" t="s">
        <v>749</v>
      </c>
      <c r="D47" s="72" t="s">
        <v>748</v>
      </c>
      <c r="E47" s="703">
        <v>200000</v>
      </c>
      <c r="F47" s="111">
        <f t="shared" si="43"/>
        <v>100</v>
      </c>
      <c r="G47" s="117">
        <f>F47*E47</f>
        <v>20000000</v>
      </c>
      <c r="H47" s="117"/>
      <c r="I47" s="117"/>
      <c r="J47" s="267">
        <f>G47*1</f>
        <v>20000000</v>
      </c>
      <c r="K47" s="151"/>
      <c r="L47" s="151"/>
      <c r="M47" s="151"/>
      <c r="N47" s="151"/>
      <c r="O47" s="151"/>
      <c r="P47" s="267"/>
      <c r="Q47" s="151"/>
      <c r="R47" s="538">
        <f t="shared" si="47"/>
        <v>25</v>
      </c>
      <c r="S47" s="538">
        <f t="shared" si="48"/>
        <v>25</v>
      </c>
      <c r="T47" s="538">
        <f t="shared" si="49"/>
        <v>25</v>
      </c>
      <c r="U47" s="538">
        <f t="shared" si="50"/>
        <v>25</v>
      </c>
      <c r="V47" s="110">
        <f t="shared" si="51"/>
        <v>5000000</v>
      </c>
      <c r="W47" s="110">
        <f t="shared" si="52"/>
        <v>5000000</v>
      </c>
      <c r="X47" s="110">
        <f t="shared" si="53"/>
        <v>5000000</v>
      </c>
      <c r="Y47" s="110">
        <f t="shared" si="54"/>
        <v>5000000</v>
      </c>
      <c r="Z47" s="112">
        <v>6</v>
      </c>
      <c r="AA47" s="224">
        <f>Z47*E47</f>
        <v>1200000</v>
      </c>
      <c r="AB47" s="112">
        <v>6</v>
      </c>
      <c r="AC47" s="224">
        <f t="shared" si="4"/>
        <v>1200000</v>
      </c>
      <c r="AD47" s="112">
        <v>6</v>
      </c>
      <c r="AE47" s="224">
        <f t="shared" si="5"/>
        <v>1200000</v>
      </c>
      <c r="AF47" s="112">
        <v>5</v>
      </c>
      <c r="AG47" s="224">
        <f t="shared" si="6"/>
        <v>1000000</v>
      </c>
      <c r="AH47" s="112">
        <v>5</v>
      </c>
      <c r="AI47" s="224">
        <f t="shared" si="7"/>
        <v>1000000</v>
      </c>
      <c r="AJ47" s="112">
        <v>5</v>
      </c>
      <c r="AK47" s="224">
        <f t="shared" si="8"/>
        <v>1000000</v>
      </c>
      <c r="AL47" s="112">
        <v>5</v>
      </c>
      <c r="AM47" s="224">
        <f>AL47*E47</f>
        <v>1000000</v>
      </c>
      <c r="AN47" s="112">
        <v>5</v>
      </c>
      <c r="AO47" s="224">
        <f t="shared" si="9"/>
        <v>1000000</v>
      </c>
      <c r="AP47" s="112">
        <v>3</v>
      </c>
      <c r="AQ47" s="224">
        <f>AP47*E47</f>
        <v>600000</v>
      </c>
      <c r="AR47" s="112">
        <v>6</v>
      </c>
      <c r="AS47" s="224">
        <f>AR47*E47</f>
        <v>1200000</v>
      </c>
      <c r="AT47" s="112">
        <v>5</v>
      </c>
      <c r="AU47" s="224">
        <f t="shared" si="10"/>
        <v>1000000</v>
      </c>
      <c r="AV47" s="112">
        <v>5</v>
      </c>
      <c r="AW47" s="224">
        <f t="shared" si="11"/>
        <v>1000000</v>
      </c>
      <c r="AX47" s="112">
        <v>5</v>
      </c>
      <c r="AY47" s="224">
        <f t="shared" si="12"/>
        <v>1000000</v>
      </c>
      <c r="AZ47" s="112">
        <v>8</v>
      </c>
      <c r="BA47" s="224">
        <f>AZ47*E47</f>
        <v>1600000</v>
      </c>
      <c r="BB47" s="112">
        <v>7</v>
      </c>
      <c r="BC47" s="224">
        <f t="shared" si="13"/>
        <v>1400000</v>
      </c>
      <c r="BD47" s="112">
        <v>10</v>
      </c>
      <c r="BE47" s="224">
        <f t="shared" si="14"/>
        <v>2000000</v>
      </c>
      <c r="BF47" s="136">
        <v>8</v>
      </c>
      <c r="BG47" s="224">
        <f t="shared" si="15"/>
        <v>1600000</v>
      </c>
      <c r="BH47" s="112"/>
      <c r="BI47" s="224"/>
      <c r="BJ47" s="142">
        <f t="shared" si="44"/>
        <v>100</v>
      </c>
      <c r="BK47" s="224">
        <f>BJ47*E47</f>
        <v>20000000</v>
      </c>
      <c r="BL47" s="158" t="s">
        <v>744</v>
      </c>
      <c r="BM47" s="273"/>
      <c r="BN47" s="43"/>
      <c r="BO47" s="43"/>
      <c r="BP47" s="179">
        <f>G47</f>
        <v>20000000</v>
      </c>
      <c r="BQ47" s="43"/>
      <c r="BR47" s="70">
        <f t="shared" si="46"/>
        <v>20000000</v>
      </c>
      <c r="BS47" s="43"/>
      <c r="BT47" s="43"/>
      <c r="BU47" s="43"/>
      <c r="BV47" s="108">
        <f t="shared" si="2"/>
        <v>20000000</v>
      </c>
    </row>
    <row r="48" spans="1:74" s="90" customFormat="1">
      <c r="A48" s="815"/>
      <c r="B48" s="93"/>
      <c r="C48" s="323" t="s">
        <v>603</v>
      </c>
      <c r="D48" s="377" t="s">
        <v>32</v>
      </c>
      <c r="E48" s="325" t="s">
        <v>441</v>
      </c>
      <c r="F48" s="111">
        <f t="shared" si="43"/>
        <v>820</v>
      </c>
      <c r="G48" s="123">
        <f>F48*E48</f>
        <v>8200000</v>
      </c>
      <c r="H48" s="123">
        <f>0.2*G48</f>
        <v>1640000</v>
      </c>
      <c r="I48" s="123">
        <f>0.8*G48</f>
        <v>6560000</v>
      </c>
      <c r="J48" s="123"/>
      <c r="K48" s="123"/>
      <c r="L48" s="123"/>
      <c r="M48" s="123"/>
      <c r="N48" s="123"/>
      <c r="O48" s="123"/>
      <c r="P48" s="123"/>
      <c r="Q48" s="123"/>
      <c r="R48" s="222">
        <f t="shared" si="47"/>
        <v>205</v>
      </c>
      <c r="S48" s="222">
        <f t="shared" si="48"/>
        <v>205</v>
      </c>
      <c r="T48" s="222">
        <f t="shared" si="49"/>
        <v>205</v>
      </c>
      <c r="U48" s="222">
        <f t="shared" si="50"/>
        <v>205</v>
      </c>
      <c r="V48" s="223">
        <f t="shared" si="51"/>
        <v>2050000</v>
      </c>
      <c r="W48" s="223">
        <f t="shared" si="52"/>
        <v>2050000</v>
      </c>
      <c r="X48" s="223">
        <f t="shared" si="53"/>
        <v>2050000</v>
      </c>
      <c r="Y48" s="223">
        <f t="shared" si="54"/>
        <v>2050000</v>
      </c>
      <c r="Z48" s="222">
        <v>50</v>
      </c>
      <c r="AA48" s="224">
        <f>Z48*E48</f>
        <v>500000</v>
      </c>
      <c r="AB48" s="222">
        <v>50</v>
      </c>
      <c r="AC48" s="224">
        <f t="shared" si="4"/>
        <v>500000</v>
      </c>
      <c r="AD48" s="222">
        <v>50</v>
      </c>
      <c r="AE48" s="224">
        <f t="shared" si="5"/>
        <v>500000</v>
      </c>
      <c r="AF48" s="222">
        <v>50</v>
      </c>
      <c r="AG48" s="224">
        <f t="shared" si="6"/>
        <v>500000</v>
      </c>
      <c r="AH48" s="222">
        <v>50</v>
      </c>
      <c r="AI48" s="224">
        <f t="shared" si="7"/>
        <v>500000</v>
      </c>
      <c r="AJ48" s="222">
        <v>50</v>
      </c>
      <c r="AK48" s="224">
        <f t="shared" si="8"/>
        <v>500000</v>
      </c>
      <c r="AL48" s="222">
        <v>50</v>
      </c>
      <c r="AM48" s="224">
        <f>AL48*E48</f>
        <v>500000</v>
      </c>
      <c r="AN48" s="222">
        <v>50</v>
      </c>
      <c r="AO48" s="224">
        <f t="shared" si="9"/>
        <v>500000</v>
      </c>
      <c r="AP48" s="222">
        <v>20</v>
      </c>
      <c r="AQ48" s="224">
        <f>AP48*E48</f>
        <v>200000</v>
      </c>
      <c r="AR48" s="222">
        <v>50</v>
      </c>
      <c r="AS48" s="224">
        <f>AR48*E48</f>
        <v>500000</v>
      </c>
      <c r="AT48" s="222">
        <v>50</v>
      </c>
      <c r="AU48" s="224">
        <f t="shared" si="10"/>
        <v>500000</v>
      </c>
      <c r="AV48" s="222">
        <v>50</v>
      </c>
      <c r="AW48" s="224">
        <f t="shared" si="11"/>
        <v>500000</v>
      </c>
      <c r="AX48" s="223">
        <v>50</v>
      </c>
      <c r="AY48" s="224">
        <f t="shared" si="12"/>
        <v>500000</v>
      </c>
      <c r="AZ48" s="222">
        <v>50</v>
      </c>
      <c r="BA48" s="224">
        <f>AZ48*E48</f>
        <v>500000</v>
      </c>
      <c r="BB48" s="222">
        <v>50</v>
      </c>
      <c r="BC48" s="224">
        <f t="shared" si="13"/>
        <v>500000</v>
      </c>
      <c r="BD48" s="222">
        <v>50</v>
      </c>
      <c r="BE48" s="224">
        <f t="shared" si="14"/>
        <v>500000</v>
      </c>
      <c r="BF48" s="222">
        <v>50</v>
      </c>
      <c r="BG48" s="224">
        <f t="shared" si="15"/>
        <v>500000</v>
      </c>
      <c r="BH48" s="222"/>
      <c r="BI48" s="224">
        <f>BH48*E48</f>
        <v>0</v>
      </c>
      <c r="BJ48" s="142">
        <f t="shared" si="44"/>
        <v>820</v>
      </c>
      <c r="BK48" s="224">
        <f>BJ48*E48</f>
        <v>8200000</v>
      </c>
      <c r="BL48" s="377" t="s">
        <v>771</v>
      </c>
      <c r="BM48" s="403">
        <f>BI48+BG48+BE48+BC48+BA48+AY48+AW48+AU48+AS48+AQ48+AO48+AM48+AK48+AI48+AG48+AE48+AC48+AA48</f>
        <v>8200000</v>
      </c>
      <c r="BN48" s="123"/>
      <c r="BO48" s="98"/>
      <c r="BP48" s="98">
        <f>G48</f>
        <v>8200000</v>
      </c>
      <c r="BQ48" s="98"/>
      <c r="BR48" s="70">
        <f t="shared" si="46"/>
        <v>8200000</v>
      </c>
      <c r="BS48" s="98"/>
      <c r="BT48" s="98"/>
      <c r="BU48" s="98"/>
      <c r="BV48" s="108">
        <f t="shared" si="2"/>
        <v>8200000</v>
      </c>
    </row>
    <row r="49" spans="1:74" s="59" customFormat="1" ht="47.25">
      <c r="A49" s="815"/>
      <c r="B49" s="93"/>
      <c r="C49" s="674" t="s">
        <v>775</v>
      </c>
      <c r="D49" s="362" t="s">
        <v>87</v>
      </c>
      <c r="E49" s="312">
        <v>3000000</v>
      </c>
      <c r="F49" s="184">
        <f t="shared" si="43"/>
        <v>16</v>
      </c>
      <c r="G49" s="150">
        <f>BK49</f>
        <v>31450000</v>
      </c>
      <c r="H49" s="203">
        <f>G49*0.2</f>
        <v>6290000</v>
      </c>
      <c r="I49" s="203">
        <f>G49*0.8</f>
        <v>25160000</v>
      </c>
      <c r="J49" s="203"/>
      <c r="K49" s="203"/>
      <c r="L49" s="203"/>
      <c r="M49" s="203"/>
      <c r="N49" s="203"/>
      <c r="O49" s="203"/>
      <c r="P49" s="203"/>
      <c r="Q49" s="203"/>
      <c r="R49" s="203">
        <f t="shared" si="47"/>
        <v>4</v>
      </c>
      <c r="S49" s="203">
        <f t="shared" si="48"/>
        <v>4</v>
      </c>
      <c r="T49" s="203">
        <f t="shared" si="49"/>
        <v>4</v>
      </c>
      <c r="U49" s="203">
        <f t="shared" si="50"/>
        <v>4</v>
      </c>
      <c r="V49" s="203">
        <f t="shared" si="51"/>
        <v>12000000</v>
      </c>
      <c r="W49" s="203">
        <f t="shared" si="52"/>
        <v>12000000</v>
      </c>
      <c r="X49" s="203">
        <f t="shared" si="53"/>
        <v>12000000</v>
      </c>
      <c r="Y49" s="203">
        <f t="shared" si="54"/>
        <v>12000000</v>
      </c>
      <c r="Z49" s="184">
        <v>1</v>
      </c>
      <c r="AA49" s="96">
        <f>Z49*E49-1500000</f>
        <v>1500000</v>
      </c>
      <c r="AB49" s="184">
        <v>1</v>
      </c>
      <c r="AC49" s="293">
        <f>AB49*E49-1000000</f>
        <v>2000000</v>
      </c>
      <c r="AD49" s="184">
        <v>1</v>
      </c>
      <c r="AE49" s="96">
        <f>AD49*E49-1000000</f>
        <v>2000000</v>
      </c>
      <c r="AF49" s="184">
        <v>1</v>
      </c>
      <c r="AG49" s="96">
        <f>AF49*E49</f>
        <v>3000000</v>
      </c>
      <c r="AH49" s="203">
        <v>1</v>
      </c>
      <c r="AI49" s="666">
        <f>AH49*E49-500000</f>
        <v>2500000</v>
      </c>
      <c r="AJ49" s="203">
        <v>1</v>
      </c>
      <c r="AK49" s="96">
        <f>AJ49*E49-250000</f>
        <v>2750000</v>
      </c>
      <c r="AL49" s="203">
        <v>1</v>
      </c>
      <c r="AM49" s="666">
        <f>AL49*E49-2500000</f>
        <v>500000</v>
      </c>
      <c r="AN49" s="203">
        <v>1</v>
      </c>
      <c r="AO49" s="96">
        <f>AN49*E49-1800000</f>
        <v>1200000</v>
      </c>
      <c r="AP49" s="203">
        <v>0</v>
      </c>
      <c r="AQ49" s="96">
        <f>AP49*E49</f>
        <v>0</v>
      </c>
      <c r="AR49" s="203">
        <v>1</v>
      </c>
      <c r="AS49" s="666">
        <f>AR49*E49</f>
        <v>3000000</v>
      </c>
      <c r="AT49" s="203">
        <v>1</v>
      </c>
      <c r="AU49" s="96">
        <f>AT49*E49</f>
        <v>3000000</v>
      </c>
      <c r="AV49" s="203">
        <v>1</v>
      </c>
      <c r="AW49" s="293">
        <f>AV49*E49-1000000</f>
        <v>2000000</v>
      </c>
      <c r="AX49" s="673">
        <v>1</v>
      </c>
      <c r="AY49" s="96">
        <f>AX49*E49-1500000</f>
        <v>1500000</v>
      </c>
      <c r="AZ49" s="203">
        <v>1</v>
      </c>
      <c r="BA49" s="293">
        <f>AZ49*E49</f>
        <v>3000000</v>
      </c>
      <c r="BB49" s="203">
        <v>1</v>
      </c>
      <c r="BC49" s="293">
        <f>BB49*E49-1500000</f>
        <v>1500000</v>
      </c>
      <c r="BD49" s="203">
        <v>1</v>
      </c>
      <c r="BE49" s="96">
        <f>BD49*E49-1500000</f>
        <v>1500000</v>
      </c>
      <c r="BF49" s="203">
        <v>1</v>
      </c>
      <c r="BG49" s="96">
        <f>BF49*E49-2500000</f>
        <v>500000</v>
      </c>
      <c r="BH49" s="203"/>
      <c r="BI49" s="96"/>
      <c r="BJ49" s="184">
        <f t="shared" si="44"/>
        <v>16</v>
      </c>
      <c r="BK49" s="96">
        <f>BI49+BG49+BE49+BC49+BA49+AY49+AW49+AU49+AS49+AQ49+AO49+AM49+AK49+AI49+AG49+AE49+AC49+AA49</f>
        <v>31450000</v>
      </c>
      <c r="BL49" s="364" t="s">
        <v>224</v>
      </c>
      <c r="BN49" s="69">
        <f>G49</f>
        <v>31450000</v>
      </c>
      <c r="BO49" s="69"/>
      <c r="BP49" s="69"/>
      <c r="BQ49" s="69"/>
      <c r="BR49" s="70">
        <f t="shared" si="46"/>
        <v>31450000</v>
      </c>
      <c r="BS49" s="69"/>
      <c r="BT49" s="69"/>
      <c r="BU49" s="69"/>
      <c r="BV49" s="108">
        <f t="shared" si="2"/>
        <v>31450000</v>
      </c>
    </row>
    <row r="50" spans="1:74" s="59" customFormat="1">
      <c r="A50" s="815"/>
      <c r="B50" s="93">
        <v>23610</v>
      </c>
      <c r="C50" s="323" t="s">
        <v>573</v>
      </c>
      <c r="D50" s="377" t="s">
        <v>87</v>
      </c>
      <c r="E50" s="325" t="s">
        <v>579</v>
      </c>
      <c r="F50" s="184">
        <f>F49</f>
        <v>16</v>
      </c>
      <c r="G50" s="184">
        <f t="shared" ref="G50:BK50" si="55">G49</f>
        <v>31450000</v>
      </c>
      <c r="H50" s="184"/>
      <c r="I50" s="184">
        <f t="shared" si="55"/>
        <v>25160000</v>
      </c>
      <c r="J50" s="184">
        <f t="shared" si="55"/>
        <v>0</v>
      </c>
      <c r="K50" s="184">
        <f t="shared" si="55"/>
        <v>0</v>
      </c>
      <c r="L50" s="184">
        <f t="shared" si="55"/>
        <v>0</v>
      </c>
      <c r="M50" s="184">
        <f t="shared" si="55"/>
        <v>0</v>
      </c>
      <c r="N50" s="184">
        <f t="shared" si="55"/>
        <v>0</v>
      </c>
      <c r="O50" s="184">
        <f t="shared" si="55"/>
        <v>0</v>
      </c>
      <c r="P50" s="184">
        <f>G50*0.2</f>
        <v>6290000</v>
      </c>
      <c r="Q50" s="184">
        <f t="shared" si="55"/>
        <v>0</v>
      </c>
      <c r="R50" s="184">
        <f t="shared" si="55"/>
        <v>4</v>
      </c>
      <c r="S50" s="184">
        <f t="shared" si="55"/>
        <v>4</v>
      </c>
      <c r="T50" s="184">
        <f t="shared" si="55"/>
        <v>4</v>
      </c>
      <c r="U50" s="184">
        <f t="shared" si="55"/>
        <v>4</v>
      </c>
      <c r="V50" s="184">
        <f t="shared" si="55"/>
        <v>12000000</v>
      </c>
      <c r="W50" s="184">
        <f t="shared" si="55"/>
        <v>12000000</v>
      </c>
      <c r="X50" s="184">
        <f t="shared" si="55"/>
        <v>12000000</v>
      </c>
      <c r="Y50" s="184">
        <f t="shared" si="55"/>
        <v>12000000</v>
      </c>
      <c r="Z50" s="184">
        <f t="shared" si="55"/>
        <v>1</v>
      </c>
      <c r="AA50" s="184">
        <f t="shared" si="55"/>
        <v>1500000</v>
      </c>
      <c r="AB50" s="184">
        <f t="shared" si="55"/>
        <v>1</v>
      </c>
      <c r="AC50" s="184">
        <f t="shared" si="55"/>
        <v>2000000</v>
      </c>
      <c r="AD50" s="184">
        <f t="shared" si="55"/>
        <v>1</v>
      </c>
      <c r="AE50" s="184">
        <f t="shared" si="55"/>
        <v>2000000</v>
      </c>
      <c r="AF50" s="184">
        <f t="shared" si="55"/>
        <v>1</v>
      </c>
      <c r="AG50" s="184">
        <f t="shared" si="55"/>
        <v>3000000</v>
      </c>
      <c r="AH50" s="184">
        <f t="shared" si="55"/>
        <v>1</v>
      </c>
      <c r="AI50" s="184">
        <f t="shared" si="55"/>
        <v>2500000</v>
      </c>
      <c r="AJ50" s="184">
        <f t="shared" si="55"/>
        <v>1</v>
      </c>
      <c r="AK50" s="184">
        <f t="shared" si="55"/>
        <v>2750000</v>
      </c>
      <c r="AL50" s="184">
        <f t="shared" si="55"/>
        <v>1</v>
      </c>
      <c r="AM50" s="184">
        <f t="shared" si="55"/>
        <v>500000</v>
      </c>
      <c r="AN50" s="184">
        <f t="shared" si="55"/>
        <v>1</v>
      </c>
      <c r="AO50" s="184">
        <f t="shared" si="55"/>
        <v>1200000</v>
      </c>
      <c r="AP50" s="184">
        <f t="shared" si="55"/>
        <v>0</v>
      </c>
      <c r="AQ50" s="184">
        <f t="shared" si="55"/>
        <v>0</v>
      </c>
      <c r="AR50" s="184">
        <f t="shared" si="55"/>
        <v>1</v>
      </c>
      <c r="AS50" s="184">
        <f t="shared" si="55"/>
        <v>3000000</v>
      </c>
      <c r="AT50" s="184">
        <f t="shared" si="55"/>
        <v>1</v>
      </c>
      <c r="AU50" s="184">
        <f t="shared" si="55"/>
        <v>3000000</v>
      </c>
      <c r="AV50" s="184">
        <f t="shared" si="55"/>
        <v>1</v>
      </c>
      <c r="AW50" s="184">
        <f t="shared" si="55"/>
        <v>2000000</v>
      </c>
      <c r="AX50" s="184">
        <f t="shared" si="55"/>
        <v>1</v>
      </c>
      <c r="AY50" s="184">
        <f t="shared" si="55"/>
        <v>1500000</v>
      </c>
      <c r="AZ50" s="184">
        <f t="shared" si="55"/>
        <v>1</v>
      </c>
      <c r="BA50" s="184">
        <f t="shared" si="55"/>
        <v>3000000</v>
      </c>
      <c r="BB50" s="184">
        <f t="shared" si="55"/>
        <v>1</v>
      </c>
      <c r="BC50" s="184">
        <f t="shared" si="55"/>
        <v>1500000</v>
      </c>
      <c r="BD50" s="184">
        <f t="shared" si="55"/>
        <v>1</v>
      </c>
      <c r="BE50" s="184">
        <f t="shared" si="55"/>
        <v>1500000</v>
      </c>
      <c r="BF50" s="184">
        <f t="shared" si="55"/>
        <v>1</v>
      </c>
      <c r="BG50" s="184">
        <f t="shared" si="55"/>
        <v>500000</v>
      </c>
      <c r="BH50" s="184">
        <f t="shared" si="55"/>
        <v>0</v>
      </c>
      <c r="BI50" s="184">
        <f t="shared" si="55"/>
        <v>0</v>
      </c>
      <c r="BJ50" s="184">
        <f t="shared" si="55"/>
        <v>16</v>
      </c>
      <c r="BK50" s="184">
        <f t="shared" si="55"/>
        <v>31450000</v>
      </c>
      <c r="BL50" s="377" t="s">
        <v>228</v>
      </c>
      <c r="BN50" s="69"/>
      <c r="BO50" s="69"/>
      <c r="BP50" s="69">
        <f>G50</f>
        <v>31450000</v>
      </c>
      <c r="BQ50" s="69"/>
      <c r="BR50" s="70">
        <f t="shared" si="46"/>
        <v>31450000</v>
      </c>
      <c r="BS50" s="69"/>
      <c r="BT50" s="69"/>
      <c r="BU50" s="69">
        <f>BS50+BT50</f>
        <v>0</v>
      </c>
      <c r="BV50" s="108">
        <f t="shared" si="2"/>
        <v>31450000</v>
      </c>
    </row>
    <row r="51" spans="1:74" s="149" customFormat="1" ht="31.5">
      <c r="A51" s="815"/>
      <c r="B51" s="122"/>
      <c r="C51" s="420" t="s">
        <v>789</v>
      </c>
      <c r="D51" s="439"/>
      <c r="E51" s="539"/>
      <c r="F51" s="539">
        <f>SUM(F42:F50)</f>
        <v>1097</v>
      </c>
      <c r="G51" s="539">
        <f t="shared" ref="G51:BR51" si="56">SUM(G42:G50)</f>
        <v>143200000</v>
      </c>
      <c r="H51" s="539">
        <f t="shared" si="56"/>
        <v>10130000</v>
      </c>
      <c r="I51" s="539">
        <f t="shared" si="56"/>
        <v>74480000</v>
      </c>
      <c r="J51" s="539">
        <f t="shared" si="56"/>
        <v>30100000</v>
      </c>
      <c r="K51" s="539">
        <f t="shared" si="56"/>
        <v>0</v>
      </c>
      <c r="L51" s="539">
        <f t="shared" si="56"/>
        <v>20000000</v>
      </c>
      <c r="M51" s="539">
        <f t="shared" si="56"/>
        <v>0</v>
      </c>
      <c r="N51" s="539">
        <f t="shared" si="56"/>
        <v>0</v>
      </c>
      <c r="O51" s="539">
        <f t="shared" si="56"/>
        <v>0</v>
      </c>
      <c r="P51" s="539">
        <f t="shared" si="56"/>
        <v>8490000</v>
      </c>
      <c r="Q51" s="539">
        <f t="shared" si="56"/>
        <v>0</v>
      </c>
      <c r="R51" s="539">
        <f t="shared" si="56"/>
        <v>279.75</v>
      </c>
      <c r="S51" s="539">
        <f t="shared" si="56"/>
        <v>279.75</v>
      </c>
      <c r="T51" s="539">
        <f t="shared" si="56"/>
        <v>268.75</v>
      </c>
      <c r="U51" s="539">
        <f t="shared" si="56"/>
        <v>268.75</v>
      </c>
      <c r="V51" s="539">
        <f t="shared" si="56"/>
        <v>49575000</v>
      </c>
      <c r="W51" s="539">
        <f t="shared" si="56"/>
        <v>49575000</v>
      </c>
      <c r="X51" s="539">
        <f t="shared" si="56"/>
        <v>38575000</v>
      </c>
      <c r="Y51" s="539">
        <f t="shared" si="56"/>
        <v>38575000</v>
      </c>
      <c r="Z51" s="539">
        <f t="shared" si="56"/>
        <v>66</v>
      </c>
      <c r="AA51" s="539">
        <f t="shared" si="56"/>
        <v>7100000</v>
      </c>
      <c r="AB51" s="539">
        <f t="shared" si="56"/>
        <v>66</v>
      </c>
      <c r="AC51" s="539">
        <f t="shared" si="56"/>
        <v>8100000</v>
      </c>
      <c r="AD51" s="539">
        <f t="shared" si="56"/>
        <v>67</v>
      </c>
      <c r="AE51" s="539">
        <f t="shared" si="56"/>
        <v>9100000</v>
      </c>
      <c r="AF51" s="539">
        <f t="shared" si="56"/>
        <v>68</v>
      </c>
      <c r="AG51" s="539">
        <f t="shared" si="56"/>
        <v>13200000</v>
      </c>
      <c r="AH51" s="539">
        <f t="shared" si="56"/>
        <v>65</v>
      </c>
      <c r="AI51" s="539">
        <f t="shared" si="56"/>
        <v>8000000</v>
      </c>
      <c r="AJ51" s="539">
        <f t="shared" si="56"/>
        <v>65</v>
      </c>
      <c r="AK51" s="539">
        <f t="shared" si="56"/>
        <v>8900000</v>
      </c>
      <c r="AL51" s="539">
        <f t="shared" si="56"/>
        <v>66</v>
      </c>
      <c r="AM51" s="539">
        <f t="shared" si="56"/>
        <v>4360000</v>
      </c>
      <c r="AN51" s="539">
        <f t="shared" si="56"/>
        <v>68</v>
      </c>
      <c r="AO51" s="539">
        <f t="shared" si="56"/>
        <v>5850000</v>
      </c>
      <c r="AP51" s="539">
        <f t="shared" si="56"/>
        <v>29</v>
      </c>
      <c r="AQ51" s="539">
        <f t="shared" si="56"/>
        <v>3700000</v>
      </c>
      <c r="AR51" s="539">
        <f t="shared" si="56"/>
        <v>67</v>
      </c>
      <c r="AS51" s="539">
        <f t="shared" si="56"/>
        <v>10900000</v>
      </c>
      <c r="AT51" s="539">
        <f t="shared" si="56"/>
        <v>65</v>
      </c>
      <c r="AU51" s="539">
        <f t="shared" si="56"/>
        <v>9000000</v>
      </c>
      <c r="AV51" s="539">
        <f t="shared" si="56"/>
        <v>66</v>
      </c>
      <c r="AW51" s="539">
        <f t="shared" si="56"/>
        <v>8900000</v>
      </c>
      <c r="AX51" s="539">
        <f t="shared" si="56"/>
        <v>65</v>
      </c>
      <c r="AY51" s="539">
        <f t="shared" si="56"/>
        <v>6800000</v>
      </c>
      <c r="AZ51" s="539">
        <f t="shared" si="56"/>
        <v>68</v>
      </c>
      <c r="BA51" s="539">
        <f t="shared" si="56"/>
        <v>10000000</v>
      </c>
      <c r="BB51" s="539">
        <f t="shared" si="56"/>
        <v>67</v>
      </c>
      <c r="BC51" s="539">
        <f t="shared" si="56"/>
        <v>6900000</v>
      </c>
      <c r="BD51" s="539">
        <f t="shared" si="56"/>
        <v>71</v>
      </c>
      <c r="BE51" s="539">
        <f t="shared" si="56"/>
        <v>9000000</v>
      </c>
      <c r="BF51" s="539">
        <f t="shared" si="56"/>
        <v>68</v>
      </c>
      <c r="BG51" s="539">
        <f t="shared" si="56"/>
        <v>5000000</v>
      </c>
      <c r="BH51" s="539">
        <f t="shared" si="56"/>
        <v>0</v>
      </c>
      <c r="BI51" s="539">
        <f t="shared" si="56"/>
        <v>0</v>
      </c>
      <c r="BJ51" s="539">
        <f t="shared" si="56"/>
        <v>1097</v>
      </c>
      <c r="BK51" s="539">
        <f t="shared" si="56"/>
        <v>143200000</v>
      </c>
      <c r="BL51" s="539">
        <f t="shared" si="56"/>
        <v>0</v>
      </c>
      <c r="BM51" s="539">
        <f t="shared" si="56"/>
        <v>18300000</v>
      </c>
      <c r="BN51" s="539">
        <f t="shared" si="56"/>
        <v>57450000</v>
      </c>
      <c r="BO51" s="539">
        <f t="shared" si="56"/>
        <v>0</v>
      </c>
      <c r="BP51" s="539">
        <f t="shared" si="56"/>
        <v>85750000</v>
      </c>
      <c r="BQ51" s="539">
        <f t="shared" si="56"/>
        <v>0</v>
      </c>
      <c r="BR51" s="539">
        <f t="shared" si="56"/>
        <v>143200000</v>
      </c>
      <c r="BS51" s="539">
        <f t="shared" ref="BS51:BV51" si="57">SUM(BS42:BS50)</f>
        <v>0</v>
      </c>
      <c r="BT51" s="539">
        <f t="shared" si="57"/>
        <v>0</v>
      </c>
      <c r="BU51" s="539">
        <f t="shared" si="57"/>
        <v>0</v>
      </c>
      <c r="BV51" s="539">
        <f t="shared" si="57"/>
        <v>143200000</v>
      </c>
    </row>
    <row r="52" spans="1:74" s="59" customFormat="1">
      <c r="A52" s="815"/>
      <c r="B52" s="93">
        <v>23620</v>
      </c>
      <c r="C52" s="309" t="s">
        <v>574</v>
      </c>
      <c r="D52" s="362"/>
      <c r="E52" s="362"/>
      <c r="F52" s="184"/>
      <c r="G52" s="118"/>
      <c r="H52" s="118"/>
      <c r="I52" s="118"/>
      <c r="J52" s="118"/>
      <c r="K52" s="118"/>
      <c r="L52" s="118"/>
      <c r="M52" s="118"/>
      <c r="N52" s="118"/>
      <c r="O52" s="150"/>
      <c r="P52" s="150"/>
      <c r="Q52" s="150"/>
      <c r="R52" s="92"/>
      <c r="S52" s="92"/>
      <c r="T52" s="92"/>
      <c r="U52" s="92"/>
      <c r="V52" s="396"/>
      <c r="W52" s="396"/>
      <c r="X52" s="396"/>
      <c r="Y52" s="396"/>
      <c r="Z52" s="184"/>
      <c r="AA52" s="96"/>
      <c r="AB52" s="184"/>
      <c r="AC52" s="96"/>
      <c r="AD52" s="184"/>
      <c r="AE52" s="96"/>
      <c r="AF52" s="184"/>
      <c r="AG52" s="96"/>
      <c r="AH52" s="184"/>
      <c r="AI52" s="96"/>
      <c r="AJ52" s="184"/>
      <c r="AK52" s="96"/>
      <c r="AL52" s="184"/>
      <c r="AM52" s="96"/>
      <c r="AN52" s="184"/>
      <c r="AO52" s="96"/>
      <c r="AP52" s="184"/>
      <c r="AQ52" s="96"/>
      <c r="AR52" s="184"/>
      <c r="AS52" s="96"/>
      <c r="AT52" s="184"/>
      <c r="AU52" s="96"/>
      <c r="AV52" s="184"/>
      <c r="AW52" s="96"/>
      <c r="AX52" s="184"/>
      <c r="AY52" s="96"/>
      <c r="AZ52" s="184"/>
      <c r="BA52" s="96"/>
      <c r="BB52" s="184"/>
      <c r="BC52" s="96"/>
      <c r="BD52" s="184"/>
      <c r="BE52" s="96"/>
      <c r="BF52" s="184"/>
      <c r="BG52" s="96"/>
      <c r="BH52" s="184"/>
      <c r="BI52" s="96"/>
      <c r="BJ52" s="184"/>
      <c r="BK52" s="96"/>
      <c r="BL52" s="362"/>
      <c r="BN52" s="69">
        <f>G52</f>
        <v>0</v>
      </c>
      <c r="BO52" s="69"/>
      <c r="BP52" s="69"/>
      <c r="BQ52" s="69"/>
      <c r="BR52" s="69">
        <f>BN52+BO52+BP52+BQ52</f>
        <v>0</v>
      </c>
      <c r="BS52" s="69"/>
      <c r="BT52" s="69"/>
      <c r="BU52" s="69">
        <f>BS52+BT52</f>
        <v>0</v>
      </c>
      <c r="BV52" s="108">
        <f t="shared" si="2"/>
        <v>0</v>
      </c>
    </row>
    <row r="53" spans="1:74" s="149" customFormat="1">
      <c r="A53" s="815"/>
      <c r="B53" s="677"/>
      <c r="C53" s="323" t="s">
        <v>575</v>
      </c>
      <c r="D53" s="377" t="s">
        <v>684</v>
      </c>
      <c r="E53" s="325" t="s">
        <v>473</v>
      </c>
      <c r="F53" s="185">
        <f>BJ53</f>
        <v>0</v>
      </c>
      <c r="G53" s="185">
        <f>BK53</f>
        <v>0</v>
      </c>
      <c r="H53" s="185"/>
      <c r="I53" s="185">
        <f>G53*0.8</f>
        <v>0</v>
      </c>
      <c r="J53" s="185"/>
      <c r="K53" s="185"/>
      <c r="L53" s="185"/>
      <c r="M53" s="185"/>
      <c r="N53" s="185"/>
      <c r="O53" s="185"/>
      <c r="P53" s="185">
        <f>G53*0.2</f>
        <v>0</v>
      </c>
      <c r="Q53" s="185"/>
      <c r="R53" s="185"/>
      <c r="S53" s="185">
        <f t="shared" ref="S53:Y53" si="58">BW53</f>
        <v>0</v>
      </c>
      <c r="T53" s="185">
        <f t="shared" si="58"/>
        <v>0</v>
      </c>
      <c r="U53" s="185">
        <f t="shared" si="58"/>
        <v>0</v>
      </c>
      <c r="V53" s="185">
        <f t="shared" si="58"/>
        <v>0</v>
      </c>
      <c r="W53" s="185">
        <f t="shared" si="58"/>
        <v>0</v>
      </c>
      <c r="X53" s="185">
        <f t="shared" si="58"/>
        <v>0</v>
      </c>
      <c r="Y53" s="185">
        <f t="shared" si="58"/>
        <v>0</v>
      </c>
      <c r="Z53" s="185">
        <v>0</v>
      </c>
      <c r="AA53" s="185">
        <f t="shared" si="3"/>
        <v>0</v>
      </c>
      <c r="AB53" s="185">
        <v>0</v>
      </c>
      <c r="AC53" s="185">
        <f t="shared" si="4"/>
        <v>0</v>
      </c>
      <c r="AD53" s="185">
        <v>0</v>
      </c>
      <c r="AE53" s="185">
        <f t="shared" si="5"/>
        <v>0</v>
      </c>
      <c r="AF53" s="185">
        <v>0</v>
      </c>
      <c r="AG53" s="185">
        <f t="shared" si="6"/>
        <v>0</v>
      </c>
      <c r="AH53" s="185">
        <v>0</v>
      </c>
      <c r="AI53" s="185">
        <f t="shared" si="7"/>
        <v>0</v>
      </c>
      <c r="AJ53" s="185">
        <v>0</v>
      </c>
      <c r="AK53" s="185">
        <f t="shared" si="8"/>
        <v>0</v>
      </c>
      <c r="AL53" s="185">
        <v>0</v>
      </c>
      <c r="AM53" s="185">
        <f>AL53*E53</f>
        <v>0</v>
      </c>
      <c r="AN53" s="185">
        <v>0</v>
      </c>
      <c r="AO53" s="185">
        <f t="shared" si="9"/>
        <v>0</v>
      </c>
      <c r="AP53" s="185">
        <v>0</v>
      </c>
      <c r="AQ53" s="185">
        <f>AP53*E53</f>
        <v>0</v>
      </c>
      <c r="AR53" s="185">
        <v>0</v>
      </c>
      <c r="AS53" s="185">
        <f>AR53*E53</f>
        <v>0</v>
      </c>
      <c r="AT53" s="185">
        <v>0</v>
      </c>
      <c r="AU53" s="185">
        <f>AT53*E53</f>
        <v>0</v>
      </c>
      <c r="AV53" s="185">
        <v>0</v>
      </c>
      <c r="AW53" s="185">
        <f>AV53*E53</f>
        <v>0</v>
      </c>
      <c r="AX53" s="185">
        <v>0</v>
      </c>
      <c r="AY53" s="185">
        <f>AX53*E53</f>
        <v>0</v>
      </c>
      <c r="AZ53" s="185">
        <v>0</v>
      </c>
      <c r="BA53" s="185">
        <f>AZ53*E53</f>
        <v>0</v>
      </c>
      <c r="BB53" s="185">
        <v>0</v>
      </c>
      <c r="BC53" s="185">
        <f>BB53*E53</f>
        <v>0</v>
      </c>
      <c r="BD53" s="185">
        <v>0</v>
      </c>
      <c r="BE53" s="185">
        <f>BD53*E53</f>
        <v>0</v>
      </c>
      <c r="BF53" s="185">
        <v>0</v>
      </c>
      <c r="BG53" s="185">
        <f>BF53*E53</f>
        <v>0</v>
      </c>
      <c r="BH53" s="185">
        <f>DL53</f>
        <v>0</v>
      </c>
      <c r="BI53" s="185">
        <f>DM53</f>
        <v>0</v>
      </c>
      <c r="BJ53" s="185">
        <f>BH53+BF53+BD53+BB53+AZ53+AX53+AV53+AT53+AR53+AP53+AN53+AL53+AJ53+AH53+AF53+AD53+AB53+Z53</f>
        <v>0</v>
      </c>
      <c r="BK53" s="185">
        <f>BI53+BG53+BE53+BC53+BA53+AY53+AW53+AU53+AS53+AQ53+AO53+AM53+AK53+AI53+AG53+AE53+AC53+AA53</f>
        <v>0</v>
      </c>
      <c r="BL53" s="377" t="s">
        <v>228</v>
      </c>
      <c r="BN53" s="388"/>
      <c r="BO53" s="388">
        <f t="shared" ref="BO53:BU53" si="59">SUM(BO50:BO52)</f>
        <v>0</v>
      </c>
      <c r="BP53" s="388"/>
      <c r="BQ53" s="388">
        <f t="shared" si="59"/>
        <v>0</v>
      </c>
      <c r="BR53" s="388"/>
      <c r="BS53" s="388">
        <f t="shared" si="59"/>
        <v>0</v>
      </c>
      <c r="BT53" s="388">
        <f t="shared" si="59"/>
        <v>0</v>
      </c>
      <c r="BU53" s="388">
        <f t="shared" si="59"/>
        <v>0</v>
      </c>
      <c r="BV53" s="389">
        <f t="shared" si="2"/>
        <v>0</v>
      </c>
    </row>
    <row r="54" spans="1:74" s="149" customFormat="1">
      <c r="A54" s="815"/>
      <c r="B54" s="677"/>
      <c r="C54" s="323" t="s">
        <v>834</v>
      </c>
      <c r="D54" s="377" t="s">
        <v>835</v>
      </c>
      <c r="E54" s="325">
        <v>30000</v>
      </c>
      <c r="F54" s="185">
        <f>BJ54</f>
        <v>28</v>
      </c>
      <c r="G54" s="185">
        <f>BK54</f>
        <v>840000</v>
      </c>
      <c r="H54" s="185"/>
      <c r="I54" s="185">
        <f>G54</f>
        <v>840000</v>
      </c>
      <c r="J54" s="185"/>
      <c r="K54" s="185"/>
      <c r="L54" s="185"/>
      <c r="M54" s="185"/>
      <c r="N54" s="185"/>
      <c r="O54" s="185"/>
      <c r="P54" s="185"/>
      <c r="Q54" s="185"/>
      <c r="R54" s="185">
        <f>F54</f>
        <v>28</v>
      </c>
      <c r="S54" s="185"/>
      <c r="T54" s="185"/>
      <c r="U54" s="185"/>
      <c r="V54" s="185">
        <f>G54</f>
        <v>840000</v>
      </c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>
        <v>0</v>
      </c>
      <c r="AM54" s="185"/>
      <c r="AN54" s="185">
        <v>8</v>
      </c>
      <c r="AO54" s="185">
        <f t="shared" si="9"/>
        <v>240000</v>
      </c>
      <c r="AP54" s="185"/>
      <c r="AQ54" s="185"/>
      <c r="AR54" s="185">
        <v>10</v>
      </c>
      <c r="AS54" s="686">
        <f>AR54*E54</f>
        <v>300000</v>
      </c>
      <c r="AT54" s="185"/>
      <c r="AU54" s="185"/>
      <c r="AV54" s="185"/>
      <c r="AW54" s="185"/>
      <c r="AX54" s="185"/>
      <c r="AY54" s="185"/>
      <c r="AZ54" s="185">
        <v>10</v>
      </c>
      <c r="BA54" s="185">
        <f>AZ54*E54</f>
        <v>300000</v>
      </c>
      <c r="BB54" s="185"/>
      <c r="BC54" s="185"/>
      <c r="BD54" s="185"/>
      <c r="BE54" s="185"/>
      <c r="BF54" s="185"/>
      <c r="BG54" s="185"/>
      <c r="BH54" s="185"/>
      <c r="BI54" s="185"/>
      <c r="BJ54" s="185">
        <f>BH54+BF54+BD54+BB54+AZ54+AX54+AV54+AT54+AR54+AP54+AN54+AL54+AJ54+AH54+AF54+AD54+AB54+Z54</f>
        <v>28</v>
      </c>
      <c r="BK54" s="185">
        <f>BI54+BG54+BE54+BC54+BA54+AY54+AW54+AU54+AS54+AQ54+AO54+AM54+AK54+AI54+AG54+AE54+AC54+AA54</f>
        <v>840000</v>
      </c>
      <c r="BL54" s="377" t="s">
        <v>225</v>
      </c>
      <c r="BN54" s="388"/>
      <c r="BO54" s="388">
        <f>BK54</f>
        <v>840000</v>
      </c>
      <c r="BP54" s="388"/>
      <c r="BQ54" s="388"/>
      <c r="BR54" s="388">
        <f t="shared" ref="BR54" si="60">BN54+BO54+BP54+BQ54</f>
        <v>840000</v>
      </c>
      <c r="BS54" s="388"/>
      <c r="BT54" s="388"/>
      <c r="BU54" s="388"/>
      <c r="BV54" s="389">
        <f t="shared" si="2"/>
        <v>840000</v>
      </c>
    </row>
    <row r="55" spans="1:74" s="149" customFormat="1">
      <c r="A55" s="815"/>
      <c r="B55" s="677"/>
      <c r="C55" s="346" t="s">
        <v>836</v>
      </c>
      <c r="D55" s="364"/>
      <c r="E55" s="347"/>
      <c r="F55" s="368">
        <f>SUM(F53:F54)</f>
        <v>28</v>
      </c>
      <c r="G55" s="368">
        <f t="shared" ref="G55:BR55" si="61">SUM(G53:G54)</f>
        <v>840000</v>
      </c>
      <c r="H55" s="368">
        <f t="shared" si="61"/>
        <v>0</v>
      </c>
      <c r="I55" s="368">
        <f t="shared" si="61"/>
        <v>840000</v>
      </c>
      <c r="J55" s="368">
        <f t="shared" si="61"/>
        <v>0</v>
      </c>
      <c r="K55" s="368">
        <f t="shared" si="61"/>
        <v>0</v>
      </c>
      <c r="L55" s="368">
        <f t="shared" si="61"/>
        <v>0</v>
      </c>
      <c r="M55" s="368">
        <f t="shared" si="61"/>
        <v>0</v>
      </c>
      <c r="N55" s="368">
        <f t="shared" si="61"/>
        <v>0</v>
      </c>
      <c r="O55" s="368">
        <f t="shared" si="61"/>
        <v>0</v>
      </c>
      <c r="P55" s="368">
        <f t="shared" si="61"/>
        <v>0</v>
      </c>
      <c r="Q55" s="368">
        <f t="shared" si="61"/>
        <v>0</v>
      </c>
      <c r="R55" s="368">
        <f t="shared" si="61"/>
        <v>28</v>
      </c>
      <c r="S55" s="368">
        <f t="shared" si="61"/>
        <v>0</v>
      </c>
      <c r="T55" s="368">
        <f t="shared" si="61"/>
        <v>0</v>
      </c>
      <c r="U55" s="368">
        <f t="shared" si="61"/>
        <v>0</v>
      </c>
      <c r="V55" s="368">
        <f t="shared" si="61"/>
        <v>840000</v>
      </c>
      <c r="W55" s="368">
        <f t="shared" si="61"/>
        <v>0</v>
      </c>
      <c r="X55" s="368">
        <f t="shared" si="61"/>
        <v>0</v>
      </c>
      <c r="Y55" s="368">
        <f t="shared" si="61"/>
        <v>0</v>
      </c>
      <c r="Z55" s="368">
        <f t="shared" si="61"/>
        <v>0</v>
      </c>
      <c r="AA55" s="368">
        <f t="shared" si="61"/>
        <v>0</v>
      </c>
      <c r="AB55" s="368">
        <f t="shared" si="61"/>
        <v>0</v>
      </c>
      <c r="AC55" s="368">
        <f t="shared" si="61"/>
        <v>0</v>
      </c>
      <c r="AD55" s="368">
        <f t="shared" si="61"/>
        <v>0</v>
      </c>
      <c r="AE55" s="368">
        <f t="shared" si="61"/>
        <v>0</v>
      </c>
      <c r="AF55" s="368">
        <f t="shared" si="61"/>
        <v>0</v>
      </c>
      <c r="AG55" s="368">
        <f t="shared" si="61"/>
        <v>0</v>
      </c>
      <c r="AH55" s="368">
        <f t="shared" si="61"/>
        <v>0</v>
      </c>
      <c r="AI55" s="368">
        <f t="shared" si="61"/>
        <v>0</v>
      </c>
      <c r="AJ55" s="368">
        <f t="shared" si="61"/>
        <v>0</v>
      </c>
      <c r="AK55" s="368">
        <f t="shared" si="61"/>
        <v>0</v>
      </c>
      <c r="AL55" s="368">
        <f t="shared" si="61"/>
        <v>0</v>
      </c>
      <c r="AM55" s="368">
        <f t="shared" si="61"/>
        <v>0</v>
      </c>
      <c r="AN55" s="368">
        <f t="shared" si="61"/>
        <v>8</v>
      </c>
      <c r="AO55" s="368">
        <f t="shared" si="61"/>
        <v>240000</v>
      </c>
      <c r="AP55" s="368">
        <f t="shared" si="61"/>
        <v>0</v>
      </c>
      <c r="AQ55" s="368">
        <f t="shared" si="61"/>
        <v>0</v>
      </c>
      <c r="AR55" s="368">
        <f t="shared" si="61"/>
        <v>10</v>
      </c>
      <c r="AS55" s="368">
        <f t="shared" si="61"/>
        <v>300000</v>
      </c>
      <c r="AT55" s="368">
        <f t="shared" si="61"/>
        <v>0</v>
      </c>
      <c r="AU55" s="368">
        <f t="shared" si="61"/>
        <v>0</v>
      </c>
      <c r="AV55" s="368">
        <f t="shared" si="61"/>
        <v>0</v>
      </c>
      <c r="AW55" s="368">
        <f t="shared" si="61"/>
        <v>0</v>
      </c>
      <c r="AX55" s="368">
        <f t="shared" si="61"/>
        <v>0</v>
      </c>
      <c r="AY55" s="368">
        <f t="shared" si="61"/>
        <v>0</v>
      </c>
      <c r="AZ55" s="368">
        <f t="shared" si="61"/>
        <v>10</v>
      </c>
      <c r="BA55" s="368">
        <f t="shared" si="61"/>
        <v>300000</v>
      </c>
      <c r="BB55" s="368">
        <f t="shared" si="61"/>
        <v>0</v>
      </c>
      <c r="BC55" s="368">
        <f t="shared" si="61"/>
        <v>0</v>
      </c>
      <c r="BD55" s="368">
        <f t="shared" si="61"/>
        <v>0</v>
      </c>
      <c r="BE55" s="368">
        <f t="shared" si="61"/>
        <v>0</v>
      </c>
      <c r="BF55" s="368">
        <f t="shared" si="61"/>
        <v>0</v>
      </c>
      <c r="BG55" s="368">
        <f t="shared" si="61"/>
        <v>0</v>
      </c>
      <c r="BH55" s="368">
        <f t="shared" si="61"/>
        <v>0</v>
      </c>
      <c r="BI55" s="368">
        <f t="shared" si="61"/>
        <v>0</v>
      </c>
      <c r="BJ55" s="368">
        <f t="shared" si="61"/>
        <v>28</v>
      </c>
      <c r="BK55" s="368">
        <f t="shared" si="61"/>
        <v>840000</v>
      </c>
      <c r="BL55" s="368">
        <f t="shared" si="61"/>
        <v>0</v>
      </c>
      <c r="BM55" s="368">
        <f t="shared" si="61"/>
        <v>0</v>
      </c>
      <c r="BN55" s="368">
        <f t="shared" si="61"/>
        <v>0</v>
      </c>
      <c r="BO55" s="368">
        <f t="shared" si="61"/>
        <v>840000</v>
      </c>
      <c r="BP55" s="368">
        <f t="shared" si="61"/>
        <v>0</v>
      </c>
      <c r="BQ55" s="368">
        <f t="shared" si="61"/>
        <v>0</v>
      </c>
      <c r="BR55" s="368">
        <f t="shared" si="61"/>
        <v>840000</v>
      </c>
      <c r="BS55" s="368">
        <f t="shared" ref="BS55:BV55" si="62">SUM(BS53:BS54)</f>
        <v>0</v>
      </c>
      <c r="BT55" s="368">
        <f t="shared" si="62"/>
        <v>0</v>
      </c>
      <c r="BU55" s="368">
        <f t="shared" si="62"/>
        <v>0</v>
      </c>
      <c r="BV55" s="368">
        <f t="shared" si="62"/>
        <v>840000</v>
      </c>
    </row>
    <row r="56" spans="1:74" s="59" customFormat="1">
      <c r="A56" s="815"/>
      <c r="B56" s="93">
        <v>23700</v>
      </c>
      <c r="C56" s="382" t="s">
        <v>17</v>
      </c>
      <c r="D56" s="376" t="s">
        <v>121</v>
      </c>
      <c r="E56" s="383" t="s">
        <v>121</v>
      </c>
      <c r="F56" s="540">
        <f>F55+F51+F40+F33+F24+F19+F15</f>
        <v>10013</v>
      </c>
      <c r="G56" s="540">
        <f t="shared" ref="G56:BR56" si="63">G55+G51+G40+G33+G24+G19+G15</f>
        <v>311021000</v>
      </c>
      <c r="H56" s="540">
        <f t="shared" si="63"/>
        <v>12134200</v>
      </c>
      <c r="I56" s="540">
        <f t="shared" si="63"/>
        <v>138296800</v>
      </c>
      <c r="J56" s="540">
        <f t="shared" si="63"/>
        <v>75376000</v>
      </c>
      <c r="K56" s="540">
        <f t="shared" si="63"/>
        <v>0</v>
      </c>
      <c r="L56" s="540">
        <f t="shared" si="63"/>
        <v>54032000</v>
      </c>
      <c r="M56" s="540">
        <f t="shared" si="63"/>
        <v>0</v>
      </c>
      <c r="N56" s="540">
        <f t="shared" si="63"/>
        <v>0</v>
      </c>
      <c r="O56" s="540">
        <f t="shared" si="63"/>
        <v>0</v>
      </c>
      <c r="P56" s="540">
        <f t="shared" si="63"/>
        <v>31182000</v>
      </c>
      <c r="Q56" s="540">
        <f t="shared" si="63"/>
        <v>0</v>
      </c>
      <c r="R56" s="540">
        <f t="shared" si="63"/>
        <v>2529.75</v>
      </c>
      <c r="S56" s="540">
        <f t="shared" si="63"/>
        <v>2501.75</v>
      </c>
      <c r="T56" s="540">
        <f t="shared" si="63"/>
        <v>2490.75</v>
      </c>
      <c r="U56" s="540">
        <f t="shared" si="63"/>
        <v>2490.75</v>
      </c>
      <c r="V56" s="540">
        <f t="shared" si="63"/>
        <v>92160250</v>
      </c>
      <c r="W56" s="540">
        <f t="shared" si="63"/>
        <v>91320250</v>
      </c>
      <c r="X56" s="540">
        <f t="shared" si="63"/>
        <v>80320250</v>
      </c>
      <c r="Y56" s="540">
        <f t="shared" si="63"/>
        <v>80320250</v>
      </c>
      <c r="Z56" s="540">
        <f t="shared" si="63"/>
        <v>537</v>
      </c>
      <c r="AA56" s="540">
        <f t="shared" si="63"/>
        <v>17103600</v>
      </c>
      <c r="AB56" s="540">
        <f t="shared" si="63"/>
        <v>477</v>
      </c>
      <c r="AC56" s="540">
        <f t="shared" si="63"/>
        <v>17303600</v>
      </c>
      <c r="AD56" s="540">
        <f t="shared" si="63"/>
        <v>480</v>
      </c>
      <c r="AE56" s="540">
        <f t="shared" si="63"/>
        <v>18304800</v>
      </c>
      <c r="AF56" s="540">
        <f t="shared" si="63"/>
        <v>497</v>
      </c>
      <c r="AG56" s="540">
        <f t="shared" si="63"/>
        <v>21206000</v>
      </c>
      <c r="AH56" s="540">
        <f t="shared" si="63"/>
        <v>534</v>
      </c>
      <c r="AI56" s="540">
        <f t="shared" si="63"/>
        <v>18002400</v>
      </c>
      <c r="AJ56" s="540">
        <f t="shared" si="63"/>
        <v>537</v>
      </c>
      <c r="AK56" s="540">
        <f t="shared" si="63"/>
        <v>17404800</v>
      </c>
      <c r="AL56" s="540">
        <f t="shared" si="63"/>
        <v>534</v>
      </c>
      <c r="AM56" s="540">
        <f t="shared" si="63"/>
        <v>15066000</v>
      </c>
      <c r="AN56" s="540">
        <f t="shared" si="63"/>
        <v>617</v>
      </c>
      <c r="AO56" s="540">
        <f t="shared" si="63"/>
        <v>16899600</v>
      </c>
      <c r="AP56" s="540">
        <f t="shared" si="63"/>
        <v>427</v>
      </c>
      <c r="AQ56" s="540">
        <f t="shared" si="63"/>
        <v>11042400</v>
      </c>
      <c r="AR56" s="540">
        <f t="shared" si="63"/>
        <v>538</v>
      </c>
      <c r="AS56" s="540">
        <f t="shared" si="63"/>
        <v>21003600</v>
      </c>
      <c r="AT56" s="540">
        <f t="shared" si="63"/>
        <v>632</v>
      </c>
      <c r="AU56" s="540">
        <f t="shared" si="63"/>
        <v>20007200</v>
      </c>
      <c r="AV56" s="540">
        <f t="shared" si="63"/>
        <v>530</v>
      </c>
      <c r="AW56" s="540">
        <f t="shared" si="63"/>
        <v>17206000</v>
      </c>
      <c r="AX56" s="540">
        <f t="shared" si="63"/>
        <v>623</v>
      </c>
      <c r="AY56" s="540">
        <f t="shared" si="63"/>
        <v>17510800</v>
      </c>
      <c r="AZ56" s="540">
        <f t="shared" si="63"/>
        <v>663</v>
      </c>
      <c r="BA56" s="540">
        <f t="shared" si="63"/>
        <v>21820000</v>
      </c>
      <c r="BB56" s="540">
        <f t="shared" si="63"/>
        <v>698</v>
      </c>
      <c r="BC56" s="540">
        <f t="shared" si="63"/>
        <v>18903600</v>
      </c>
      <c r="BD56" s="540">
        <f t="shared" si="63"/>
        <v>620</v>
      </c>
      <c r="BE56" s="540">
        <f t="shared" si="63"/>
        <v>19814400</v>
      </c>
      <c r="BF56" s="540">
        <f t="shared" si="63"/>
        <v>544</v>
      </c>
      <c r="BG56" s="540">
        <f t="shared" si="63"/>
        <v>13507200</v>
      </c>
      <c r="BH56" s="540">
        <f t="shared" si="63"/>
        <v>525</v>
      </c>
      <c r="BI56" s="540">
        <f t="shared" si="63"/>
        <v>525000</v>
      </c>
      <c r="BJ56" s="540">
        <f t="shared" si="63"/>
        <v>10013</v>
      </c>
      <c r="BK56" s="540">
        <f t="shared" si="63"/>
        <v>311021000</v>
      </c>
      <c r="BL56" s="540">
        <f t="shared" si="63"/>
        <v>0</v>
      </c>
      <c r="BM56" s="540">
        <f t="shared" si="63"/>
        <v>18300000</v>
      </c>
      <c r="BN56" s="540">
        <f t="shared" si="63"/>
        <v>57450000</v>
      </c>
      <c r="BO56" s="540">
        <f t="shared" si="63"/>
        <v>1461000</v>
      </c>
      <c r="BP56" s="540">
        <f t="shared" si="63"/>
        <v>252110000</v>
      </c>
      <c r="BQ56" s="540">
        <f t="shared" si="63"/>
        <v>0</v>
      </c>
      <c r="BR56" s="540">
        <f t="shared" si="63"/>
        <v>311021000</v>
      </c>
      <c r="BS56" s="540">
        <f t="shared" ref="BS56:BV56" si="64">BS55+BS51+BS40+BS33+BS24+BS19+BS15</f>
        <v>0</v>
      </c>
      <c r="BT56" s="540">
        <f t="shared" si="64"/>
        <v>0</v>
      </c>
      <c r="BU56" s="540">
        <f t="shared" si="64"/>
        <v>0</v>
      </c>
      <c r="BV56" s="540">
        <f t="shared" si="64"/>
        <v>311021000</v>
      </c>
    </row>
    <row r="57" spans="1:74">
      <c r="C57" s="64" t="s">
        <v>406</v>
      </c>
    </row>
    <row r="58" spans="1:74">
      <c r="C58" s="31" t="s">
        <v>290</v>
      </c>
    </row>
    <row r="59" spans="1:74">
      <c r="C59" s="31" t="s">
        <v>412</v>
      </c>
      <c r="J59" s="294"/>
    </row>
    <row r="60" spans="1:74">
      <c r="C60" s="31" t="s">
        <v>291</v>
      </c>
      <c r="I60" s="294"/>
    </row>
    <row r="61" spans="1:74">
      <c r="C61" s="31" t="s">
        <v>292</v>
      </c>
    </row>
    <row r="62" spans="1:74">
      <c r="C62" s="31" t="s">
        <v>293</v>
      </c>
    </row>
    <row r="63" spans="1:74">
      <c r="C63" s="31" t="s">
        <v>294</v>
      </c>
    </row>
    <row r="64" spans="1:74">
      <c r="C64" s="31" t="s">
        <v>295</v>
      </c>
    </row>
    <row r="65" spans="3:3">
      <c r="C65" s="31" t="s">
        <v>296</v>
      </c>
    </row>
    <row r="66" spans="3:3">
      <c r="C66" s="31" t="s">
        <v>297</v>
      </c>
    </row>
    <row r="67" spans="3:3">
      <c r="C67" s="31" t="s">
        <v>298</v>
      </c>
    </row>
    <row r="68" spans="3:3">
      <c r="C68" s="31" t="s">
        <v>413</v>
      </c>
    </row>
    <row r="69" spans="3:3">
      <c r="C69" s="31" t="s">
        <v>414</v>
      </c>
    </row>
    <row r="70" spans="3:3">
      <c r="C70" s="31" t="s">
        <v>415</v>
      </c>
    </row>
  </sheetData>
  <mergeCells count="45">
    <mergeCell ref="A1:B1"/>
    <mergeCell ref="C1:Q1"/>
    <mergeCell ref="A2:B2"/>
    <mergeCell ref="C2:Q2"/>
    <mergeCell ref="A3:B3"/>
    <mergeCell ref="C3:Q3"/>
    <mergeCell ref="AF6:AG7"/>
    <mergeCell ref="A4:B4"/>
    <mergeCell ref="C4:Q4"/>
    <mergeCell ref="A5:B5"/>
    <mergeCell ref="C5:Q5"/>
    <mergeCell ref="A6:D6"/>
    <mergeCell ref="F6:G6"/>
    <mergeCell ref="H6:Q6"/>
    <mergeCell ref="R6:U7"/>
    <mergeCell ref="V6:Y7"/>
    <mergeCell ref="Z6:AA7"/>
    <mergeCell ref="AB6:AC7"/>
    <mergeCell ref="AD6:AE7"/>
    <mergeCell ref="AX6:AY7"/>
    <mergeCell ref="AZ6:BA7"/>
    <mergeCell ref="BB6:BC7"/>
    <mergeCell ref="BD6:BE7"/>
    <mergeCell ref="AH6:AI7"/>
    <mergeCell ref="AJ6:AK7"/>
    <mergeCell ref="AL6:AM7"/>
    <mergeCell ref="AN6:AO7"/>
    <mergeCell ref="AP6:AQ7"/>
    <mergeCell ref="AR6:AS7"/>
    <mergeCell ref="BN7:BR7"/>
    <mergeCell ref="BS7:BU7"/>
    <mergeCell ref="BV7:BV8"/>
    <mergeCell ref="A9:A56"/>
    <mergeCell ref="BF6:BG7"/>
    <mergeCell ref="BH6:BI7"/>
    <mergeCell ref="BJ6:BK7"/>
    <mergeCell ref="A7:A8"/>
    <mergeCell ref="B7:B8"/>
    <mergeCell ref="C7:C8"/>
    <mergeCell ref="D7:D8"/>
    <mergeCell ref="E7:E8"/>
    <mergeCell ref="F7:F8"/>
    <mergeCell ref="G7:G8"/>
    <mergeCell ref="AT6:AU7"/>
    <mergeCell ref="AV6:AW7"/>
  </mergeCells>
  <pageMargins left="0.47" right="0.54" top="0.75" bottom="0.75" header="0.3" footer="0.3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D47"/>
  <sheetViews>
    <sheetView topLeftCell="B1" zoomScale="70" zoomScaleNormal="70" workbookViewId="0">
      <pane xSplit="7" ySplit="8" topLeftCell="AL12" activePane="bottomRight" state="frozen"/>
      <selection activeCell="B1" sqref="B1"/>
      <selection pane="topRight" activeCell="H1" sqref="H1"/>
      <selection pane="bottomLeft" activeCell="B9" sqref="B9"/>
      <selection pane="bottomRight" activeCell="AT29" sqref="AT29"/>
    </sheetView>
  </sheetViews>
  <sheetFormatPr defaultColWidth="9.140625" defaultRowHeight="15.75"/>
  <cols>
    <col min="1" max="1" width="12" style="193" customWidth="1"/>
    <col min="2" max="2" width="6.7109375" style="193" hidden="1" customWidth="1"/>
    <col min="3" max="3" width="13.42578125" style="193" hidden="1" customWidth="1"/>
    <col min="4" max="4" width="39.28515625" style="193" bestFit="1" customWidth="1"/>
    <col min="5" max="5" width="5" style="193" customWidth="1"/>
    <col min="6" max="6" width="9.5703125" style="194" customWidth="1"/>
    <col min="7" max="7" width="6.28515625" style="194" bestFit="1" customWidth="1"/>
    <col min="8" max="8" width="14.7109375" style="195" customWidth="1"/>
    <col min="9" max="9" width="12.7109375" style="195" customWidth="1"/>
    <col min="10" max="10" width="13.7109375" style="195" customWidth="1"/>
    <col min="11" max="11" width="15.140625" style="195" customWidth="1"/>
    <col min="12" max="13" width="13.5703125" style="195" customWidth="1"/>
    <col min="14" max="14" width="9.28515625" style="195" customWidth="1"/>
    <col min="15" max="15" width="12.5703125" style="195" customWidth="1"/>
    <col min="16" max="16" width="15.5703125" style="194" customWidth="1"/>
    <col min="17" max="17" width="12.42578125" style="194" customWidth="1"/>
    <col min="18" max="18" width="13.28515625" style="194" customWidth="1"/>
    <col min="19" max="19" width="8" style="188" customWidth="1"/>
    <col min="20" max="20" width="7.42578125" style="188" customWidth="1"/>
    <col min="21" max="22" width="9.42578125" style="188" customWidth="1"/>
    <col min="23" max="23" width="16.28515625" style="187" customWidth="1"/>
    <col min="24" max="24" width="17" style="187" customWidth="1"/>
    <col min="25" max="25" width="17.85546875" style="187" customWidth="1"/>
    <col min="26" max="26" width="17.42578125" style="187" customWidth="1"/>
    <col min="27" max="27" width="5.140625" style="194" customWidth="1"/>
    <col min="28" max="28" width="15.85546875" style="193" customWidth="1"/>
    <col min="29" max="29" width="5.85546875" style="193" customWidth="1"/>
    <col min="30" max="30" width="13.85546875" style="193" customWidth="1"/>
    <col min="31" max="31" width="5" style="193" customWidth="1"/>
    <col min="32" max="32" width="13.85546875" style="193" customWidth="1"/>
    <col min="33" max="33" width="6.5703125" style="193" customWidth="1"/>
    <col min="34" max="34" width="14.28515625" style="193" customWidth="1"/>
    <col min="35" max="35" width="5.140625" style="193" customWidth="1"/>
    <col min="36" max="36" width="14.28515625" style="193" customWidth="1"/>
    <col min="37" max="37" width="5.7109375" style="193" customWidth="1"/>
    <col min="38" max="38" width="14" style="193" customWidth="1"/>
    <col min="39" max="39" width="5.7109375" style="193" customWidth="1"/>
    <col min="40" max="40" width="14.85546875" style="193" customWidth="1"/>
    <col min="41" max="41" width="5.140625" style="193" customWidth="1"/>
    <col min="42" max="42" width="13.140625" style="193" customWidth="1"/>
    <col min="43" max="43" width="5" style="193" customWidth="1"/>
    <col min="44" max="44" width="14" style="193" customWidth="1"/>
    <col min="45" max="45" width="6.5703125" style="193" customWidth="1"/>
    <col min="46" max="46" width="14.28515625" style="193" customWidth="1"/>
    <col min="47" max="47" width="5.140625" style="193" customWidth="1"/>
    <col min="48" max="48" width="14.85546875" style="193" customWidth="1"/>
    <col min="49" max="49" width="5.140625" style="193" customWidth="1"/>
    <col min="50" max="50" width="14.28515625" style="193" customWidth="1"/>
    <col min="51" max="51" width="5.140625" style="193" customWidth="1"/>
    <col min="52" max="52" width="14.28515625" style="193" customWidth="1"/>
    <col min="53" max="53" width="5.140625" style="193" customWidth="1"/>
    <col min="54" max="54" width="13.85546875" style="193" customWidth="1"/>
    <col min="55" max="55" width="5.140625" style="193" customWidth="1"/>
    <col min="56" max="56" width="14.28515625" style="193" customWidth="1"/>
    <col min="57" max="57" width="5.140625" style="193" customWidth="1"/>
    <col min="58" max="58" width="14.7109375" style="193" customWidth="1"/>
    <col min="59" max="59" width="5.140625" style="64" customWidth="1"/>
    <col min="60" max="60" width="14.28515625" style="64" customWidth="1"/>
    <col min="61" max="61" width="7.140625" style="64" customWidth="1"/>
    <col min="62" max="62" width="9" style="64" customWidth="1"/>
    <col min="63" max="63" width="10.5703125" style="64" customWidth="1"/>
    <col min="64" max="64" width="17.7109375" style="64" customWidth="1"/>
    <col min="65" max="65" width="25.28515625" style="619" customWidth="1"/>
    <col min="66" max="66" width="9.140625" style="64" customWidth="1"/>
    <col min="67" max="67" width="18.85546875" style="64" bestFit="1" customWidth="1"/>
    <col min="68" max="68" width="9.140625" style="64" customWidth="1"/>
    <col min="69" max="69" width="20.85546875" style="64" bestFit="1" customWidth="1"/>
    <col min="70" max="70" width="9.140625" style="64" customWidth="1"/>
    <col min="71" max="71" width="18.85546875" style="64" bestFit="1" customWidth="1"/>
    <col min="72" max="74" width="9.140625" style="64" customWidth="1"/>
    <col min="75" max="75" width="18.85546875" style="64" bestFit="1" customWidth="1"/>
    <col min="76" max="77" width="9.140625" style="64" customWidth="1"/>
    <col min="78" max="160" width="9.140625" style="64"/>
    <col min="161" max="16384" width="9.140625" style="193"/>
  </cols>
  <sheetData>
    <row r="1" spans="1:160" s="64" customFormat="1" ht="16.5" hidden="1" customHeight="1">
      <c r="A1" s="811" t="s">
        <v>169</v>
      </c>
      <c r="B1" s="811"/>
      <c r="C1" s="811"/>
      <c r="D1" s="812" t="s">
        <v>163</v>
      </c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182"/>
      <c r="T1" s="182"/>
      <c r="U1" s="182"/>
      <c r="V1" s="182"/>
      <c r="W1" s="153"/>
      <c r="X1" s="153"/>
      <c r="Y1" s="153"/>
      <c r="Z1" s="153"/>
      <c r="AA1" s="194"/>
      <c r="BM1" s="619"/>
    </row>
    <row r="2" spans="1:160" s="64" customFormat="1" ht="20.100000000000001" hidden="1" customHeight="1">
      <c r="A2" s="811" t="s">
        <v>165</v>
      </c>
      <c r="B2" s="811"/>
      <c r="C2" s="811"/>
      <c r="D2" s="812" t="s">
        <v>164</v>
      </c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182"/>
      <c r="T2" s="182"/>
      <c r="U2" s="182"/>
      <c r="V2" s="182"/>
      <c r="W2" s="153"/>
      <c r="X2" s="153"/>
      <c r="Y2" s="153"/>
      <c r="Z2" s="153"/>
      <c r="AA2" s="166" t="s">
        <v>398</v>
      </c>
      <c r="AB2" s="166">
        <v>8.34</v>
      </c>
      <c r="AC2" s="166"/>
      <c r="AD2" s="166">
        <v>2.85</v>
      </c>
      <c r="AE2" s="166"/>
      <c r="AF2" s="166">
        <v>8.3800000000000008</v>
      </c>
      <c r="AG2" s="166"/>
      <c r="AH2" s="166">
        <v>7.49</v>
      </c>
      <c r="AI2" s="166"/>
      <c r="AJ2" s="166">
        <v>3.33</v>
      </c>
      <c r="AK2" s="166"/>
      <c r="AL2" s="166">
        <v>6.64</v>
      </c>
      <c r="AM2" s="166"/>
      <c r="AN2" s="166">
        <v>3.67</v>
      </c>
      <c r="AO2" s="166"/>
      <c r="AP2" s="166">
        <v>5.0599999999999996</v>
      </c>
      <c r="AQ2" s="166"/>
      <c r="AR2" s="166">
        <v>5.94</v>
      </c>
      <c r="AS2" s="166"/>
      <c r="AT2" s="166">
        <v>6.85</v>
      </c>
      <c r="AU2" s="166"/>
      <c r="AV2" s="166">
        <v>7.45</v>
      </c>
      <c r="AW2" s="166"/>
      <c r="AX2" s="166">
        <v>5.13</v>
      </c>
      <c r="AY2" s="166"/>
      <c r="AZ2" s="166">
        <v>4.8600000000000003</v>
      </c>
      <c r="BA2" s="166"/>
      <c r="BB2" s="166">
        <v>5.79</v>
      </c>
      <c r="BC2" s="166"/>
      <c r="BD2" s="166">
        <v>5.3</v>
      </c>
      <c r="BE2" s="166"/>
      <c r="BF2" s="166">
        <v>3.47</v>
      </c>
      <c r="BG2" s="166"/>
      <c r="BH2" s="166">
        <v>9.42</v>
      </c>
      <c r="BI2" s="166"/>
      <c r="BJ2" s="166"/>
      <c r="BK2" s="166"/>
      <c r="BL2" s="166"/>
      <c r="BM2" s="619"/>
    </row>
    <row r="3" spans="1:160" s="64" customFormat="1" ht="25.7" hidden="1" customHeight="1">
      <c r="A3" s="811" t="s">
        <v>166</v>
      </c>
      <c r="B3" s="811"/>
      <c r="C3" s="811"/>
      <c r="D3" s="812" t="s">
        <v>386</v>
      </c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182"/>
      <c r="T3" s="182"/>
      <c r="U3" s="182"/>
      <c r="V3" s="182"/>
      <c r="W3" s="153"/>
      <c r="X3" s="153"/>
      <c r="Y3" s="153"/>
      <c r="Z3" s="153"/>
      <c r="AA3" s="166" t="s">
        <v>396</v>
      </c>
      <c r="AB3" s="166">
        <v>48</v>
      </c>
      <c r="AC3" s="166"/>
      <c r="AD3" s="166">
        <v>23</v>
      </c>
      <c r="AE3" s="166"/>
      <c r="AF3" s="166">
        <v>80</v>
      </c>
      <c r="AG3" s="166"/>
      <c r="AH3" s="166">
        <v>105</v>
      </c>
      <c r="AI3" s="166"/>
      <c r="AJ3" s="166">
        <v>43</v>
      </c>
      <c r="AK3" s="166"/>
      <c r="AL3" s="166">
        <v>75</v>
      </c>
      <c r="AM3" s="166"/>
      <c r="AN3" s="166">
        <v>41</v>
      </c>
      <c r="AO3" s="166"/>
      <c r="AP3" s="166">
        <v>101</v>
      </c>
      <c r="AQ3" s="166"/>
      <c r="AR3" s="166">
        <v>8</v>
      </c>
      <c r="AS3" s="166"/>
      <c r="AT3" s="166">
        <v>33</v>
      </c>
      <c r="AU3" s="166"/>
      <c r="AV3" s="166">
        <v>53</v>
      </c>
      <c r="AW3" s="166"/>
      <c r="AX3" s="166">
        <v>52</v>
      </c>
      <c r="AY3" s="166"/>
      <c r="AZ3" s="166">
        <v>76</v>
      </c>
      <c r="BA3" s="166"/>
      <c r="BB3" s="166">
        <v>82</v>
      </c>
      <c r="BC3" s="166"/>
      <c r="BD3" s="166">
        <v>104</v>
      </c>
      <c r="BE3" s="166"/>
      <c r="BF3" s="166">
        <v>147</v>
      </c>
      <c r="BG3" s="166"/>
      <c r="BH3" s="166">
        <v>54</v>
      </c>
      <c r="BI3" s="166"/>
      <c r="BJ3" s="166"/>
      <c r="BK3" s="166"/>
      <c r="BL3" s="166"/>
      <c r="BM3" s="619"/>
    </row>
    <row r="4" spans="1:160" s="64" customFormat="1" ht="23.45" hidden="1" customHeight="1">
      <c r="A4" s="811" t="s">
        <v>178</v>
      </c>
      <c r="B4" s="811"/>
      <c r="C4" s="811"/>
      <c r="D4" s="812" t="s">
        <v>95</v>
      </c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  <c r="R4" s="812"/>
      <c r="S4" s="182"/>
      <c r="T4" s="182"/>
      <c r="U4" s="182"/>
      <c r="V4" s="182"/>
      <c r="W4" s="153"/>
      <c r="X4" s="153"/>
      <c r="Y4" s="153"/>
      <c r="Z4" s="153"/>
      <c r="AA4" s="166" t="s">
        <v>397</v>
      </c>
      <c r="AB4" s="190">
        <f>AB3/1125*100</f>
        <v>4.2666666666666666</v>
      </c>
      <c r="AC4" s="190">
        <f t="shared" ref="AC4:BH4" si="0">AC3/1125*100</f>
        <v>0</v>
      </c>
      <c r="AD4" s="190">
        <f t="shared" si="0"/>
        <v>2.0444444444444447</v>
      </c>
      <c r="AE4" s="190">
        <f t="shared" si="0"/>
        <v>0</v>
      </c>
      <c r="AF4" s="190">
        <f t="shared" si="0"/>
        <v>7.1111111111111107</v>
      </c>
      <c r="AG4" s="190">
        <f t="shared" si="0"/>
        <v>0</v>
      </c>
      <c r="AH4" s="190">
        <f t="shared" si="0"/>
        <v>9.3333333333333339</v>
      </c>
      <c r="AI4" s="190">
        <f t="shared" si="0"/>
        <v>0</v>
      </c>
      <c r="AJ4" s="190">
        <f t="shared" si="0"/>
        <v>3.822222222222222</v>
      </c>
      <c r="AK4" s="190">
        <f t="shared" si="0"/>
        <v>0</v>
      </c>
      <c r="AL4" s="190">
        <f t="shared" si="0"/>
        <v>6.666666666666667</v>
      </c>
      <c r="AM4" s="190">
        <f t="shared" si="0"/>
        <v>0</v>
      </c>
      <c r="AN4" s="190">
        <f t="shared" si="0"/>
        <v>3.6444444444444448</v>
      </c>
      <c r="AO4" s="190">
        <f t="shared" si="0"/>
        <v>0</v>
      </c>
      <c r="AP4" s="190">
        <f t="shared" si="0"/>
        <v>8.9777777777777779</v>
      </c>
      <c r="AQ4" s="190">
        <f t="shared" si="0"/>
        <v>0</v>
      </c>
      <c r="AR4" s="190">
        <f t="shared" si="0"/>
        <v>0.71111111111111114</v>
      </c>
      <c r="AS4" s="190">
        <f t="shared" si="0"/>
        <v>0</v>
      </c>
      <c r="AT4" s="190">
        <f t="shared" si="0"/>
        <v>2.9333333333333331</v>
      </c>
      <c r="AU4" s="190">
        <f t="shared" si="0"/>
        <v>0</v>
      </c>
      <c r="AV4" s="190">
        <f t="shared" si="0"/>
        <v>4.7111111111111112</v>
      </c>
      <c r="AW4" s="190">
        <f t="shared" si="0"/>
        <v>0</v>
      </c>
      <c r="AX4" s="190">
        <f t="shared" si="0"/>
        <v>4.6222222222222218</v>
      </c>
      <c r="AY4" s="190">
        <f t="shared" si="0"/>
        <v>0</v>
      </c>
      <c r="AZ4" s="190">
        <f t="shared" si="0"/>
        <v>6.7555555555555546</v>
      </c>
      <c r="BA4" s="190">
        <f t="shared" si="0"/>
        <v>0</v>
      </c>
      <c r="BB4" s="190">
        <f t="shared" si="0"/>
        <v>7.2888888888888896</v>
      </c>
      <c r="BC4" s="190">
        <f t="shared" si="0"/>
        <v>0</v>
      </c>
      <c r="BD4" s="190">
        <f t="shared" si="0"/>
        <v>9.2444444444444436</v>
      </c>
      <c r="BE4" s="190">
        <f t="shared" si="0"/>
        <v>0</v>
      </c>
      <c r="BF4" s="190">
        <f t="shared" si="0"/>
        <v>13.066666666666665</v>
      </c>
      <c r="BG4" s="190">
        <f t="shared" si="0"/>
        <v>0</v>
      </c>
      <c r="BH4" s="190">
        <f t="shared" si="0"/>
        <v>4.8</v>
      </c>
      <c r="BI4" s="166"/>
      <c r="BJ4" s="166"/>
      <c r="BK4" s="166"/>
      <c r="BL4" s="166"/>
      <c r="BM4" s="619"/>
    </row>
    <row r="5" spans="1:160" s="64" customFormat="1" ht="28.5" hidden="1" customHeight="1">
      <c r="A5" s="811" t="s">
        <v>179</v>
      </c>
      <c r="B5" s="811"/>
      <c r="C5" s="811"/>
      <c r="D5" s="812" t="s">
        <v>180</v>
      </c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182"/>
      <c r="T5" s="182"/>
      <c r="U5" s="182"/>
      <c r="V5" s="182"/>
      <c r="W5" s="153"/>
      <c r="X5" s="153"/>
      <c r="Y5" s="153"/>
      <c r="Z5" s="153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619"/>
    </row>
    <row r="6" spans="1:160" ht="16.5" customHeight="1">
      <c r="A6" s="860"/>
      <c r="B6" s="861"/>
      <c r="C6" s="861"/>
      <c r="D6" s="861"/>
      <c r="E6" s="862"/>
      <c r="F6" s="196"/>
      <c r="G6" s="863" t="s">
        <v>21</v>
      </c>
      <c r="H6" s="864"/>
      <c r="I6" s="790" t="s">
        <v>162</v>
      </c>
      <c r="J6" s="791"/>
      <c r="K6" s="791"/>
      <c r="L6" s="791"/>
      <c r="M6" s="791"/>
      <c r="N6" s="791"/>
      <c r="O6" s="791"/>
      <c r="P6" s="791"/>
      <c r="Q6" s="791"/>
      <c r="R6" s="792"/>
      <c r="S6" s="848" t="s">
        <v>60</v>
      </c>
      <c r="T6" s="849"/>
      <c r="U6" s="849"/>
      <c r="V6" s="850"/>
      <c r="W6" s="854" t="s">
        <v>6</v>
      </c>
      <c r="X6" s="855"/>
      <c r="Y6" s="855"/>
      <c r="Z6" s="856"/>
      <c r="AA6" s="816" t="s">
        <v>192</v>
      </c>
      <c r="AB6" s="816"/>
      <c r="AC6" s="823" t="s">
        <v>193</v>
      </c>
      <c r="AD6" s="823"/>
      <c r="AE6" s="816" t="s">
        <v>194</v>
      </c>
      <c r="AF6" s="816"/>
      <c r="AG6" s="816" t="s">
        <v>195</v>
      </c>
      <c r="AH6" s="816"/>
      <c r="AI6" s="816" t="s">
        <v>196</v>
      </c>
      <c r="AJ6" s="816"/>
      <c r="AK6" s="816" t="s">
        <v>197</v>
      </c>
      <c r="AL6" s="816"/>
      <c r="AM6" s="816" t="s">
        <v>198</v>
      </c>
      <c r="AN6" s="816"/>
      <c r="AO6" s="816" t="s">
        <v>199</v>
      </c>
      <c r="AP6" s="816"/>
      <c r="AQ6" s="816" t="s">
        <v>200</v>
      </c>
      <c r="AR6" s="816"/>
      <c r="AS6" s="816" t="s">
        <v>201</v>
      </c>
      <c r="AT6" s="816"/>
      <c r="AU6" s="823" t="s">
        <v>202</v>
      </c>
      <c r="AV6" s="823"/>
      <c r="AW6" s="816" t="s">
        <v>203</v>
      </c>
      <c r="AX6" s="816"/>
      <c r="AY6" s="816" t="s">
        <v>204</v>
      </c>
      <c r="AZ6" s="816"/>
      <c r="BA6" s="816" t="s">
        <v>205</v>
      </c>
      <c r="BB6" s="816"/>
      <c r="BC6" s="816" t="s">
        <v>206</v>
      </c>
      <c r="BD6" s="816"/>
      <c r="BE6" s="816" t="s">
        <v>207</v>
      </c>
      <c r="BF6" s="816"/>
      <c r="BG6" s="816" t="s">
        <v>208</v>
      </c>
      <c r="BH6" s="816"/>
      <c r="BI6" s="816" t="s">
        <v>209</v>
      </c>
      <c r="BJ6" s="816"/>
      <c r="BK6" s="816" t="s">
        <v>17</v>
      </c>
      <c r="BL6" s="816"/>
      <c r="BM6" s="756" t="s">
        <v>244</v>
      </c>
    </row>
    <row r="7" spans="1:160" ht="15" customHeight="1">
      <c r="A7" s="197" t="s">
        <v>13</v>
      </c>
      <c r="B7" s="197"/>
      <c r="C7" s="840" t="s">
        <v>56</v>
      </c>
      <c r="D7" s="840" t="s">
        <v>12</v>
      </c>
      <c r="E7" s="840" t="s">
        <v>14</v>
      </c>
      <c r="F7" s="821" t="s">
        <v>33</v>
      </c>
      <c r="G7" s="821" t="s">
        <v>42</v>
      </c>
      <c r="H7" s="846" t="s">
        <v>15</v>
      </c>
      <c r="I7" s="48" t="s">
        <v>212</v>
      </c>
      <c r="J7" s="48" t="s">
        <v>213</v>
      </c>
      <c r="K7" s="48" t="s">
        <v>214</v>
      </c>
      <c r="L7" s="48" t="s">
        <v>215</v>
      </c>
      <c r="M7" s="48" t="s">
        <v>216</v>
      </c>
      <c r="N7" s="48" t="s">
        <v>217</v>
      </c>
      <c r="O7" s="48" t="s">
        <v>791</v>
      </c>
      <c r="P7" s="48" t="s">
        <v>219</v>
      </c>
      <c r="Q7" s="48" t="s">
        <v>220</v>
      </c>
      <c r="R7" s="48" t="s">
        <v>221</v>
      </c>
      <c r="S7" s="851"/>
      <c r="T7" s="852"/>
      <c r="U7" s="852"/>
      <c r="V7" s="853"/>
      <c r="W7" s="857"/>
      <c r="X7" s="858"/>
      <c r="Y7" s="858"/>
      <c r="Z7" s="859"/>
      <c r="AA7" s="816"/>
      <c r="AB7" s="816"/>
      <c r="AC7" s="823" t="s">
        <v>43</v>
      </c>
      <c r="AD7" s="823"/>
      <c r="AE7" s="816" t="s">
        <v>44</v>
      </c>
      <c r="AF7" s="816"/>
      <c r="AG7" s="816" t="s">
        <v>45</v>
      </c>
      <c r="AH7" s="816"/>
      <c r="AI7" s="816" t="s">
        <v>46</v>
      </c>
      <c r="AJ7" s="816"/>
      <c r="AK7" s="816" t="s">
        <v>47</v>
      </c>
      <c r="AL7" s="816"/>
      <c r="AM7" s="816" t="s">
        <v>48</v>
      </c>
      <c r="AN7" s="816"/>
      <c r="AO7" s="816" t="s">
        <v>49</v>
      </c>
      <c r="AP7" s="816"/>
      <c r="AQ7" s="816" t="s">
        <v>50</v>
      </c>
      <c r="AR7" s="816"/>
      <c r="AS7" s="816" t="s">
        <v>51</v>
      </c>
      <c r="AT7" s="816"/>
      <c r="AU7" s="823" t="s">
        <v>52</v>
      </c>
      <c r="AV7" s="823"/>
      <c r="AW7" s="816" t="s">
        <v>53</v>
      </c>
      <c r="AX7" s="816"/>
      <c r="AY7" s="816" t="s">
        <v>54</v>
      </c>
      <c r="AZ7" s="816"/>
      <c r="BA7" s="816" t="s">
        <v>55</v>
      </c>
      <c r="BB7" s="816"/>
      <c r="BC7" s="816" t="s">
        <v>40</v>
      </c>
      <c r="BD7" s="816"/>
      <c r="BE7" s="816" t="s">
        <v>37</v>
      </c>
      <c r="BF7" s="816"/>
      <c r="BG7" s="816"/>
      <c r="BH7" s="816"/>
      <c r="BI7" s="816"/>
      <c r="BJ7" s="816"/>
      <c r="BK7" s="816"/>
      <c r="BL7" s="816"/>
      <c r="BM7" s="756"/>
      <c r="BO7" s="755" t="s">
        <v>242</v>
      </c>
      <c r="BP7" s="755"/>
      <c r="BQ7" s="755"/>
      <c r="BR7" s="755"/>
      <c r="BS7" s="755"/>
      <c r="BT7" s="755" t="s">
        <v>243</v>
      </c>
      <c r="BU7" s="755"/>
      <c r="BV7" s="755"/>
      <c r="BW7" s="756" t="s">
        <v>17</v>
      </c>
    </row>
    <row r="8" spans="1:160" ht="40.5" customHeight="1">
      <c r="A8" s="198"/>
      <c r="B8" s="198"/>
      <c r="C8" s="844"/>
      <c r="D8" s="841"/>
      <c r="E8" s="841"/>
      <c r="F8" s="845"/>
      <c r="G8" s="845"/>
      <c r="H8" s="847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3" t="s">
        <v>7</v>
      </c>
      <c r="T8" s="393" t="s">
        <v>8</v>
      </c>
      <c r="U8" s="393" t="s">
        <v>9</v>
      </c>
      <c r="V8" s="393" t="s">
        <v>10</v>
      </c>
      <c r="W8" s="394" t="s">
        <v>7</v>
      </c>
      <c r="X8" s="394" t="s">
        <v>8</v>
      </c>
      <c r="Y8" s="394" t="s">
        <v>9</v>
      </c>
      <c r="Z8" s="394" t="s">
        <v>10</v>
      </c>
      <c r="AA8" s="167" t="s">
        <v>14</v>
      </c>
      <c r="AB8" s="169" t="s">
        <v>15</v>
      </c>
      <c r="AC8" s="169" t="s">
        <v>14</v>
      </c>
      <c r="AD8" s="169" t="s">
        <v>15</v>
      </c>
      <c r="AE8" s="169" t="s">
        <v>14</v>
      </c>
      <c r="AF8" s="169" t="s">
        <v>15</v>
      </c>
      <c r="AG8" s="169" t="s">
        <v>14</v>
      </c>
      <c r="AH8" s="169" t="s">
        <v>15</v>
      </c>
      <c r="AI8" s="169" t="s">
        <v>14</v>
      </c>
      <c r="AJ8" s="169" t="s">
        <v>15</v>
      </c>
      <c r="AK8" s="169" t="s">
        <v>14</v>
      </c>
      <c r="AL8" s="169" t="s">
        <v>15</v>
      </c>
      <c r="AM8" s="169" t="s">
        <v>14</v>
      </c>
      <c r="AN8" s="169" t="s">
        <v>15</v>
      </c>
      <c r="AO8" s="169" t="s">
        <v>14</v>
      </c>
      <c r="AP8" s="169" t="s">
        <v>15</v>
      </c>
      <c r="AQ8" s="169" t="s">
        <v>14</v>
      </c>
      <c r="AR8" s="169" t="s">
        <v>15</v>
      </c>
      <c r="AS8" s="169" t="s">
        <v>14</v>
      </c>
      <c r="AT8" s="169" t="s">
        <v>15</v>
      </c>
      <c r="AU8" s="169" t="s">
        <v>14</v>
      </c>
      <c r="AV8" s="169" t="s">
        <v>15</v>
      </c>
      <c r="AW8" s="169" t="s">
        <v>14</v>
      </c>
      <c r="AX8" s="169" t="s">
        <v>15</v>
      </c>
      <c r="AY8" s="169" t="s">
        <v>14</v>
      </c>
      <c r="AZ8" s="169" t="s">
        <v>15</v>
      </c>
      <c r="BA8" s="169" t="s">
        <v>14</v>
      </c>
      <c r="BB8" s="169" t="s">
        <v>15</v>
      </c>
      <c r="BC8" s="169" t="s">
        <v>14</v>
      </c>
      <c r="BD8" s="169" t="s">
        <v>15</v>
      </c>
      <c r="BE8" s="169" t="s">
        <v>14</v>
      </c>
      <c r="BF8" s="169" t="s">
        <v>15</v>
      </c>
      <c r="BG8" s="169" t="s">
        <v>14</v>
      </c>
      <c r="BH8" s="169" t="s">
        <v>15</v>
      </c>
      <c r="BI8" s="169" t="s">
        <v>36</v>
      </c>
      <c r="BJ8" s="169" t="s">
        <v>15</v>
      </c>
      <c r="BK8" s="169" t="s">
        <v>14</v>
      </c>
      <c r="BL8" s="169" t="s">
        <v>15</v>
      </c>
      <c r="BM8" s="843"/>
      <c r="BO8" s="72" t="s">
        <v>233</v>
      </c>
      <c r="BP8" s="171" t="s">
        <v>234</v>
      </c>
      <c r="BQ8" s="171" t="s">
        <v>235</v>
      </c>
      <c r="BR8" s="612" t="s">
        <v>236</v>
      </c>
      <c r="BS8" s="173" t="s">
        <v>237</v>
      </c>
      <c r="BT8" s="171" t="s">
        <v>238</v>
      </c>
      <c r="BU8" s="171" t="s">
        <v>239</v>
      </c>
      <c r="BV8" s="173" t="s">
        <v>240</v>
      </c>
      <c r="BW8" s="756"/>
    </row>
    <row r="9" spans="1:160" s="60" customFormat="1">
      <c r="A9" s="840" t="s">
        <v>95</v>
      </c>
      <c r="B9" s="384"/>
      <c r="C9" s="276">
        <v>31000</v>
      </c>
      <c r="D9" s="332" t="s">
        <v>451</v>
      </c>
      <c r="E9" s="362"/>
      <c r="F9" s="312"/>
      <c r="G9" s="203"/>
      <c r="H9" s="578"/>
      <c r="I9" s="578"/>
      <c r="J9" s="578"/>
      <c r="K9" s="578"/>
      <c r="L9" s="578"/>
      <c r="M9" s="578"/>
      <c r="N9" s="578"/>
      <c r="O9" s="578"/>
      <c r="P9" s="579"/>
      <c r="Q9" s="579"/>
      <c r="R9" s="579"/>
      <c r="S9" s="580"/>
      <c r="T9" s="580"/>
      <c r="U9" s="581"/>
      <c r="V9" s="581"/>
      <c r="W9" s="582"/>
      <c r="X9" s="582"/>
      <c r="Y9" s="582"/>
      <c r="Z9" s="582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3"/>
      <c r="AP9" s="583"/>
      <c r="AQ9" s="583"/>
      <c r="AR9" s="583"/>
      <c r="AS9" s="583"/>
      <c r="AT9" s="583"/>
      <c r="AU9" s="583"/>
      <c r="AV9" s="583"/>
      <c r="AW9" s="583"/>
      <c r="AX9" s="583"/>
      <c r="AY9" s="583"/>
      <c r="AZ9" s="583"/>
      <c r="BA9" s="583"/>
      <c r="BB9" s="583"/>
      <c r="BC9" s="583"/>
      <c r="BD9" s="583"/>
      <c r="BE9" s="583"/>
      <c r="BF9" s="583"/>
      <c r="BG9" s="583"/>
      <c r="BH9" s="583"/>
      <c r="BI9" s="583"/>
      <c r="BJ9" s="583"/>
      <c r="BK9" s="583"/>
      <c r="BL9" s="583"/>
      <c r="BM9" s="362"/>
      <c r="BN9" s="59"/>
      <c r="BO9" s="69"/>
      <c r="BP9" s="69"/>
      <c r="BQ9" s="69"/>
      <c r="BR9" s="69"/>
      <c r="BS9" s="69"/>
      <c r="BT9" s="69"/>
      <c r="BU9" s="69"/>
      <c r="BV9" s="69"/>
      <c r="BW9" s="184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</row>
    <row r="10" spans="1:160" s="60" customFormat="1">
      <c r="A10" s="841"/>
      <c r="B10" s="386"/>
      <c r="C10" s="290">
        <v>31100</v>
      </c>
      <c r="D10" s="332" t="s">
        <v>544</v>
      </c>
      <c r="E10" s="362"/>
      <c r="F10" s="312"/>
      <c r="G10" s="203"/>
      <c r="H10" s="578"/>
      <c r="I10" s="578"/>
      <c r="J10" s="578"/>
      <c r="K10" s="578"/>
      <c r="L10" s="578"/>
      <c r="M10" s="578"/>
      <c r="N10" s="578"/>
      <c r="O10" s="578"/>
      <c r="P10" s="584"/>
      <c r="Q10" s="584"/>
      <c r="R10" s="584"/>
      <c r="S10" s="581"/>
      <c r="T10" s="581"/>
      <c r="U10" s="581"/>
      <c r="V10" s="581"/>
      <c r="W10" s="582"/>
      <c r="X10" s="582"/>
      <c r="Y10" s="582"/>
      <c r="Z10" s="582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362"/>
      <c r="BN10" s="59"/>
      <c r="BO10" s="69"/>
      <c r="BP10" s="69"/>
      <c r="BQ10" s="69"/>
      <c r="BR10" s="69"/>
      <c r="BS10" s="69"/>
      <c r="BT10" s="69"/>
      <c r="BU10" s="69"/>
      <c r="BV10" s="69"/>
      <c r="BW10" s="184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</row>
    <row r="11" spans="1:160" s="60" customFormat="1">
      <c r="A11" s="841"/>
      <c r="B11" s="386"/>
      <c r="C11" s="290"/>
      <c r="D11" s="323" t="s">
        <v>803</v>
      </c>
      <c r="E11" s="362" t="s">
        <v>98</v>
      </c>
      <c r="F11" s="504">
        <v>500000</v>
      </c>
      <c r="G11" s="203">
        <f>BK11</f>
        <v>60</v>
      </c>
      <c r="H11" s="578">
        <f>G11*F11</f>
        <v>30000000</v>
      </c>
      <c r="I11" s="578"/>
      <c r="J11" s="578"/>
      <c r="K11" s="578"/>
      <c r="L11" s="578"/>
      <c r="M11" s="586">
        <f>H11</f>
        <v>30000000</v>
      </c>
      <c r="N11" s="578"/>
      <c r="O11" s="578"/>
      <c r="P11" s="578"/>
      <c r="Q11" s="578"/>
      <c r="R11" s="578"/>
      <c r="S11" s="581">
        <f>G11*0.25</f>
        <v>15</v>
      </c>
      <c r="T11" s="581">
        <f>G11*0.25</f>
        <v>15</v>
      </c>
      <c r="U11" s="581">
        <f>G11*0.25</f>
        <v>15</v>
      </c>
      <c r="V11" s="581">
        <f>G11*0.25</f>
        <v>15</v>
      </c>
      <c r="W11" s="578">
        <f>S11*H11</f>
        <v>450000000</v>
      </c>
      <c r="X11" s="578">
        <f>T11*H11</f>
        <v>450000000</v>
      </c>
      <c r="Y11" s="578">
        <f>U11*H11</f>
        <v>450000000</v>
      </c>
      <c r="Z11" s="578">
        <f>V11*H11</f>
        <v>450000000</v>
      </c>
      <c r="AA11" s="585">
        <v>4</v>
      </c>
      <c r="AB11" s="224">
        <f>AA11*F11</f>
        <v>2000000</v>
      </c>
      <c r="AC11" s="585">
        <v>3</v>
      </c>
      <c r="AD11" s="224">
        <f>AC11*F11</f>
        <v>1500000</v>
      </c>
      <c r="AE11" s="585">
        <v>4</v>
      </c>
      <c r="AF11" s="224">
        <f>AE11*F11</f>
        <v>2000000</v>
      </c>
      <c r="AG11" s="585">
        <v>4</v>
      </c>
      <c r="AH11" s="224">
        <f>AG11*F11</f>
        <v>2000000</v>
      </c>
      <c r="AI11" s="585">
        <v>3</v>
      </c>
      <c r="AJ11" s="224">
        <f>AI11*F11</f>
        <v>1500000</v>
      </c>
      <c r="AK11" s="585">
        <v>4</v>
      </c>
      <c r="AL11" s="224">
        <f>AK11*F11</f>
        <v>2000000</v>
      </c>
      <c r="AM11" s="585">
        <v>4</v>
      </c>
      <c r="AN11" s="224">
        <f>AM11*F11</f>
        <v>2000000</v>
      </c>
      <c r="AO11" s="585">
        <v>4</v>
      </c>
      <c r="AP11" s="224">
        <f>AO11*F11</f>
        <v>2000000</v>
      </c>
      <c r="AQ11" s="585">
        <v>2</v>
      </c>
      <c r="AR11" s="224">
        <f>AQ11*F11</f>
        <v>1000000</v>
      </c>
      <c r="AS11" s="585">
        <v>3</v>
      </c>
      <c r="AT11" s="224">
        <f>AS11*F11</f>
        <v>1500000</v>
      </c>
      <c r="AU11" s="585">
        <v>4</v>
      </c>
      <c r="AV11" s="224">
        <f>AU11*F11</f>
        <v>2000000</v>
      </c>
      <c r="AW11" s="585">
        <v>3</v>
      </c>
      <c r="AX11" s="224">
        <f>AW11*F11</f>
        <v>1500000</v>
      </c>
      <c r="AY11" s="585">
        <v>4</v>
      </c>
      <c r="AZ11" s="224">
        <f>AY11*F11</f>
        <v>2000000</v>
      </c>
      <c r="BA11" s="585">
        <v>4</v>
      </c>
      <c r="BB11" s="224">
        <f>BA11*F11</f>
        <v>2000000</v>
      </c>
      <c r="BC11" s="585">
        <v>4</v>
      </c>
      <c r="BD11" s="224">
        <f>BC11*F11</f>
        <v>2000000</v>
      </c>
      <c r="BE11" s="585">
        <v>3</v>
      </c>
      <c r="BF11" s="224">
        <f>BE11*F11</f>
        <v>1500000</v>
      </c>
      <c r="BG11" s="585">
        <v>3</v>
      </c>
      <c r="BH11" s="224">
        <f>BG11*F11</f>
        <v>1500000</v>
      </c>
      <c r="BI11" s="585"/>
      <c r="BJ11" s="224">
        <f>BI11*F11</f>
        <v>0</v>
      </c>
      <c r="BK11" s="585">
        <f>AA11+AC11+AE11+AG11+AI11+AK11+AM11+AO11+AQ11+AS11+AU11+AW11+AY11+BA11+BC11+BE11+BG11+BI11</f>
        <v>60</v>
      </c>
      <c r="BL11" s="585">
        <f>AB11+AD11+AF11+AH11+AJ11+AL11+AN11+AP11+AR11+AT11+AV11+AX11+AZ11+BB11+BD11+BF11+BH11+BJ11</f>
        <v>30000000</v>
      </c>
      <c r="BM11" s="362" t="s">
        <v>403</v>
      </c>
      <c r="BN11" s="59"/>
      <c r="BO11" s="69">
        <f>BL11</f>
        <v>30000000</v>
      </c>
      <c r="BP11" s="69"/>
      <c r="BQ11" s="69"/>
      <c r="BR11" s="69"/>
      <c r="BS11" s="69">
        <f>BO11+BP11+BQ11+BR11</f>
        <v>30000000</v>
      </c>
      <c r="BT11" s="69"/>
      <c r="BU11" s="69"/>
      <c r="BV11" s="69">
        <f>BT11+BU11</f>
        <v>0</v>
      </c>
      <c r="BW11" s="108">
        <f>BS11+BV11</f>
        <v>30000000</v>
      </c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</row>
    <row r="12" spans="1:160" s="60" customFormat="1">
      <c r="A12" s="841"/>
      <c r="B12" s="386"/>
      <c r="C12" s="79"/>
      <c r="D12" s="323" t="s">
        <v>96</v>
      </c>
      <c r="E12" s="377" t="s">
        <v>98</v>
      </c>
      <c r="F12" s="325" t="s">
        <v>542</v>
      </c>
      <c r="G12" s="203">
        <f>BK12</f>
        <v>0</v>
      </c>
      <c r="H12" s="578">
        <f>G12*F12</f>
        <v>0</v>
      </c>
      <c r="I12" s="578"/>
      <c r="J12" s="578"/>
      <c r="K12" s="578"/>
      <c r="L12" s="578"/>
      <c r="M12" s="586"/>
      <c r="N12" s="578"/>
      <c r="O12" s="578"/>
      <c r="P12" s="578"/>
      <c r="Q12" s="578"/>
      <c r="R12" s="578">
        <f>H12</f>
        <v>0</v>
      </c>
      <c r="S12" s="142">
        <f>G12*0.25</f>
        <v>0</v>
      </c>
      <c r="T12" s="142">
        <f>G12*0.25</f>
        <v>0</v>
      </c>
      <c r="U12" s="142">
        <f>G12*0.25</f>
        <v>0</v>
      </c>
      <c r="V12" s="142">
        <f>G12*0.25</f>
        <v>0</v>
      </c>
      <c r="W12" s="578">
        <f>S12*H12</f>
        <v>0</v>
      </c>
      <c r="X12" s="578">
        <f>T12*H12</f>
        <v>0</v>
      </c>
      <c r="Y12" s="578">
        <f>U12*H12</f>
        <v>0</v>
      </c>
      <c r="Z12" s="578">
        <f>V12*H12</f>
        <v>0</v>
      </c>
      <c r="AA12" s="585">
        <v>0</v>
      </c>
      <c r="AB12" s="224">
        <f t="shared" ref="AB12:AB40" si="1">AA12*F12</f>
        <v>0</v>
      </c>
      <c r="AC12" s="585">
        <v>0</v>
      </c>
      <c r="AD12" s="224">
        <f t="shared" ref="AD12:AD40" si="2">AC12*F12</f>
        <v>0</v>
      </c>
      <c r="AE12" s="585">
        <v>0</v>
      </c>
      <c r="AF12" s="224">
        <f t="shared" ref="AF12:AF40" si="3">AE12*F12</f>
        <v>0</v>
      </c>
      <c r="AG12" s="585">
        <v>0</v>
      </c>
      <c r="AH12" s="224">
        <f t="shared" ref="AH12:AH40" si="4">AG12*F12</f>
        <v>0</v>
      </c>
      <c r="AI12" s="585">
        <v>0</v>
      </c>
      <c r="AJ12" s="224">
        <f t="shared" ref="AJ12:AJ40" si="5">AI12*F12</f>
        <v>0</v>
      </c>
      <c r="AK12" s="585">
        <v>0</v>
      </c>
      <c r="AL12" s="224">
        <f t="shared" ref="AL12:AL40" si="6">AK12*F12</f>
        <v>0</v>
      </c>
      <c r="AM12" s="585">
        <v>0</v>
      </c>
      <c r="AN12" s="224">
        <f t="shared" ref="AN12:AN40" si="7">AM12*F12</f>
        <v>0</v>
      </c>
      <c r="AO12" s="585">
        <v>0</v>
      </c>
      <c r="AP12" s="224">
        <f t="shared" ref="AP12:AP40" si="8">AO12*F12</f>
        <v>0</v>
      </c>
      <c r="AQ12" s="585">
        <v>0</v>
      </c>
      <c r="AR12" s="224">
        <f t="shared" ref="AR12:AR40" si="9">AQ12*F12</f>
        <v>0</v>
      </c>
      <c r="AS12" s="585">
        <v>0</v>
      </c>
      <c r="AT12" s="224">
        <f t="shared" ref="AT12:AT40" si="10">AS12*F12</f>
        <v>0</v>
      </c>
      <c r="AU12" s="585">
        <v>0</v>
      </c>
      <c r="AV12" s="224">
        <f t="shared" ref="AV12:AV40" si="11">AU12*F12</f>
        <v>0</v>
      </c>
      <c r="AW12" s="585">
        <v>0</v>
      </c>
      <c r="AX12" s="224">
        <f t="shared" ref="AX12:AX40" si="12">AW12*F12</f>
        <v>0</v>
      </c>
      <c r="AY12" s="585">
        <v>0</v>
      </c>
      <c r="AZ12" s="224">
        <f t="shared" ref="AZ12:AZ40" si="13">AY12*F12</f>
        <v>0</v>
      </c>
      <c r="BA12" s="585">
        <v>0</v>
      </c>
      <c r="BB12" s="224">
        <f t="shared" ref="BB12:BB40" si="14">BA12*F12</f>
        <v>0</v>
      </c>
      <c r="BC12" s="585">
        <v>0</v>
      </c>
      <c r="BD12" s="224">
        <f t="shared" ref="BD12:BD40" si="15">BC12*F12</f>
        <v>0</v>
      </c>
      <c r="BE12" s="585">
        <v>0</v>
      </c>
      <c r="BF12" s="224">
        <f t="shared" ref="BF12:BF40" si="16">BE12*F12</f>
        <v>0</v>
      </c>
      <c r="BG12" s="585">
        <v>0</v>
      </c>
      <c r="BH12" s="224">
        <f t="shared" ref="BH12:BH40" si="17">BG12*F12</f>
        <v>0</v>
      </c>
      <c r="BI12" s="585"/>
      <c r="BJ12" s="224">
        <f t="shared" ref="BJ12:BJ40" si="18">BI12*F12</f>
        <v>0</v>
      </c>
      <c r="BK12" s="585">
        <f t="shared" ref="BK12:BK39" si="19">AA12+AC12+AE12+AG12+AI12+AK12+AM12+AO12+AQ12+AS12+AU12+AW12+AY12+BA12+BC12+BE12+BG12+BI12</f>
        <v>0</v>
      </c>
      <c r="BL12" s="224">
        <f t="shared" ref="BL12:BL39" si="20">AB12+AD12+AF12+AH12+AJ12+AL12+AN12+AP12+AR12+AT12+AV12+AX12+AZ12+BB12+BD12+BF12+BH12+BJ12</f>
        <v>0</v>
      </c>
      <c r="BM12" s="377" t="s">
        <v>805</v>
      </c>
      <c r="BN12" s="59"/>
      <c r="BO12" s="69">
        <f>BL12</f>
        <v>0</v>
      </c>
      <c r="BP12" s="69"/>
      <c r="BQ12" s="69"/>
      <c r="BR12" s="69"/>
      <c r="BS12" s="69">
        <f t="shared" ref="BS12:BS24" si="21">BO12+BP12+BQ12+BR12</f>
        <v>0</v>
      </c>
      <c r="BT12" s="69"/>
      <c r="BU12" s="69"/>
      <c r="BV12" s="69">
        <f t="shared" ref="BV12:BV19" si="22">BT12+BU12</f>
        <v>0</v>
      </c>
      <c r="BW12" s="108">
        <f>BS12+BV12</f>
        <v>0</v>
      </c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</row>
    <row r="13" spans="1:160" s="60" customFormat="1">
      <c r="A13" s="841"/>
      <c r="B13" s="386"/>
      <c r="C13" s="79"/>
      <c r="D13" s="323" t="s">
        <v>97</v>
      </c>
      <c r="E13" s="362" t="s">
        <v>64</v>
      </c>
      <c r="F13" s="504">
        <v>500000</v>
      </c>
      <c r="G13" s="203">
        <f>BK13</f>
        <v>19</v>
      </c>
      <c r="H13" s="578">
        <f>G13*F13</f>
        <v>9500000</v>
      </c>
      <c r="I13" s="587"/>
      <c r="J13" s="224">
        <f>H13*0.8</f>
        <v>7600000</v>
      </c>
      <c r="K13" s="587"/>
      <c r="L13" s="587"/>
      <c r="M13" s="587"/>
      <c r="N13" s="587"/>
      <c r="O13" s="587"/>
      <c r="P13" s="587"/>
      <c r="Q13" s="224">
        <f>H13*0.2</f>
        <v>1900000</v>
      </c>
      <c r="R13" s="587"/>
      <c r="S13" s="585">
        <f>G13*0.25</f>
        <v>4.75</v>
      </c>
      <c r="T13" s="142">
        <f>G13*0.25</f>
        <v>4.75</v>
      </c>
      <c r="U13" s="585">
        <f>G13*0.25</f>
        <v>4.75</v>
      </c>
      <c r="V13" s="585">
        <f>G13*0.25</f>
        <v>4.75</v>
      </c>
      <c r="W13" s="224">
        <f>S13*H13</f>
        <v>45125000</v>
      </c>
      <c r="X13" s="224">
        <f>T13*H13</f>
        <v>45125000</v>
      </c>
      <c r="Y13" s="224">
        <f>U13*H13</f>
        <v>45125000</v>
      </c>
      <c r="Z13" s="224">
        <f>V13*H13</f>
        <v>45125000</v>
      </c>
      <c r="AA13" s="585">
        <v>1</v>
      </c>
      <c r="AB13" s="585">
        <f t="shared" si="1"/>
        <v>500000</v>
      </c>
      <c r="AC13" s="675">
        <v>3</v>
      </c>
      <c r="AD13" s="585">
        <f t="shared" si="2"/>
        <v>1500000</v>
      </c>
      <c r="AE13" s="585">
        <v>1</v>
      </c>
      <c r="AF13" s="585">
        <f t="shared" si="3"/>
        <v>500000</v>
      </c>
      <c r="AG13" s="585">
        <v>1</v>
      </c>
      <c r="AH13" s="585">
        <f t="shared" si="4"/>
        <v>500000</v>
      </c>
      <c r="AI13" s="585">
        <v>1</v>
      </c>
      <c r="AJ13" s="585">
        <f t="shared" si="5"/>
        <v>500000</v>
      </c>
      <c r="AK13" s="585">
        <v>1</v>
      </c>
      <c r="AL13" s="585">
        <f t="shared" si="6"/>
        <v>500000</v>
      </c>
      <c r="AM13" s="585">
        <v>1</v>
      </c>
      <c r="AN13" s="585">
        <f t="shared" si="7"/>
        <v>500000</v>
      </c>
      <c r="AO13" s="585">
        <v>1</v>
      </c>
      <c r="AP13" s="585">
        <f t="shared" si="8"/>
        <v>500000</v>
      </c>
      <c r="AQ13" s="585">
        <v>1</v>
      </c>
      <c r="AR13" s="585">
        <f t="shared" si="9"/>
        <v>500000</v>
      </c>
      <c r="AS13" s="585">
        <v>1</v>
      </c>
      <c r="AT13" s="585">
        <f t="shared" si="10"/>
        <v>500000</v>
      </c>
      <c r="AU13" s="672">
        <v>1</v>
      </c>
      <c r="AV13" s="585">
        <f t="shared" si="11"/>
        <v>500000</v>
      </c>
      <c r="AW13" s="585">
        <v>1</v>
      </c>
      <c r="AX13" s="585">
        <f t="shared" si="12"/>
        <v>500000</v>
      </c>
      <c r="AY13" s="585">
        <v>1</v>
      </c>
      <c r="AZ13" s="585">
        <f t="shared" si="13"/>
        <v>500000</v>
      </c>
      <c r="BA13" s="585">
        <v>1</v>
      </c>
      <c r="BB13" s="585">
        <f t="shared" si="14"/>
        <v>500000</v>
      </c>
      <c r="BC13" s="585">
        <v>1</v>
      </c>
      <c r="BD13" s="585">
        <f t="shared" si="15"/>
        <v>500000</v>
      </c>
      <c r="BE13" s="585">
        <v>1</v>
      </c>
      <c r="BF13" s="585">
        <f t="shared" si="16"/>
        <v>500000</v>
      </c>
      <c r="BG13" s="585">
        <v>1</v>
      </c>
      <c r="BH13" s="585">
        <f t="shared" si="17"/>
        <v>500000</v>
      </c>
      <c r="BI13" s="585"/>
      <c r="BJ13" s="585">
        <f t="shared" si="18"/>
        <v>0</v>
      </c>
      <c r="BK13" s="585">
        <f t="shared" si="19"/>
        <v>19</v>
      </c>
      <c r="BL13" s="585">
        <f t="shared" si="20"/>
        <v>9500000</v>
      </c>
      <c r="BM13" s="362" t="s">
        <v>557</v>
      </c>
      <c r="BN13" s="59"/>
      <c r="BO13" s="69">
        <f>BL13</f>
        <v>9500000</v>
      </c>
      <c r="BP13" s="69"/>
      <c r="BQ13" s="69"/>
      <c r="BR13" s="69"/>
      <c r="BS13" s="69">
        <f t="shared" si="21"/>
        <v>9500000</v>
      </c>
      <c r="BT13" s="69"/>
      <c r="BU13" s="69"/>
      <c r="BV13" s="69">
        <f t="shared" si="22"/>
        <v>0</v>
      </c>
      <c r="BW13" s="108">
        <f>BS13+BV13</f>
        <v>9500000</v>
      </c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</row>
    <row r="14" spans="1:160" s="428" customFormat="1">
      <c r="A14" s="841"/>
      <c r="B14" s="423"/>
      <c r="C14" s="474">
        <v>31200</v>
      </c>
      <c r="D14" s="343" t="s">
        <v>545</v>
      </c>
      <c r="E14" s="343" t="s">
        <v>121</v>
      </c>
      <c r="F14" s="440"/>
      <c r="G14" s="365">
        <f>SUM(G11:G13)</f>
        <v>79</v>
      </c>
      <c r="H14" s="365">
        <f t="shared" ref="H14:BL14" si="23">SUM(H11:H13)</f>
        <v>39500000</v>
      </c>
      <c r="I14" s="365">
        <f t="shared" si="23"/>
        <v>0</v>
      </c>
      <c r="J14" s="365">
        <f t="shared" si="23"/>
        <v>7600000</v>
      </c>
      <c r="K14" s="365">
        <f t="shared" si="23"/>
        <v>0</v>
      </c>
      <c r="L14" s="365">
        <f t="shared" si="23"/>
        <v>0</v>
      </c>
      <c r="M14" s="365">
        <f t="shared" si="23"/>
        <v>30000000</v>
      </c>
      <c r="N14" s="365">
        <f t="shared" si="23"/>
        <v>0</v>
      </c>
      <c r="O14" s="365">
        <f t="shared" si="23"/>
        <v>0</v>
      </c>
      <c r="P14" s="365">
        <f t="shared" si="23"/>
        <v>0</v>
      </c>
      <c r="Q14" s="365">
        <f t="shared" si="23"/>
        <v>1900000</v>
      </c>
      <c r="R14" s="365">
        <f t="shared" si="23"/>
        <v>0</v>
      </c>
      <c r="S14" s="365">
        <f t="shared" si="23"/>
        <v>19.75</v>
      </c>
      <c r="T14" s="365">
        <f t="shared" si="23"/>
        <v>19.75</v>
      </c>
      <c r="U14" s="365">
        <f t="shared" si="23"/>
        <v>19.75</v>
      </c>
      <c r="V14" s="365">
        <f t="shared" si="23"/>
        <v>19.75</v>
      </c>
      <c r="W14" s="365">
        <f t="shared" si="23"/>
        <v>495125000</v>
      </c>
      <c r="X14" s="365">
        <f t="shared" si="23"/>
        <v>495125000</v>
      </c>
      <c r="Y14" s="365">
        <f t="shared" si="23"/>
        <v>495125000</v>
      </c>
      <c r="Z14" s="365">
        <f t="shared" si="23"/>
        <v>495125000</v>
      </c>
      <c r="AA14" s="365">
        <f t="shared" si="23"/>
        <v>5</v>
      </c>
      <c r="AB14" s="365">
        <f t="shared" si="23"/>
        <v>2500000</v>
      </c>
      <c r="AC14" s="365">
        <f t="shared" si="23"/>
        <v>6</v>
      </c>
      <c r="AD14" s="365">
        <f t="shared" si="23"/>
        <v>3000000</v>
      </c>
      <c r="AE14" s="365">
        <f t="shared" si="23"/>
        <v>5</v>
      </c>
      <c r="AF14" s="365">
        <f t="shared" si="23"/>
        <v>2500000</v>
      </c>
      <c r="AG14" s="365">
        <f t="shared" si="23"/>
        <v>5</v>
      </c>
      <c r="AH14" s="365">
        <f t="shared" si="23"/>
        <v>2500000</v>
      </c>
      <c r="AI14" s="365">
        <f t="shared" si="23"/>
        <v>4</v>
      </c>
      <c r="AJ14" s="365">
        <f t="shared" si="23"/>
        <v>2000000</v>
      </c>
      <c r="AK14" s="365">
        <f t="shared" si="23"/>
        <v>5</v>
      </c>
      <c r="AL14" s="365">
        <f t="shared" si="23"/>
        <v>2500000</v>
      </c>
      <c r="AM14" s="365">
        <f t="shared" si="23"/>
        <v>5</v>
      </c>
      <c r="AN14" s="365">
        <f t="shared" si="23"/>
        <v>2500000</v>
      </c>
      <c r="AO14" s="365">
        <f t="shared" si="23"/>
        <v>5</v>
      </c>
      <c r="AP14" s="365">
        <f t="shared" si="23"/>
        <v>2500000</v>
      </c>
      <c r="AQ14" s="365">
        <f t="shared" si="23"/>
        <v>3</v>
      </c>
      <c r="AR14" s="365">
        <f t="shared" si="23"/>
        <v>1500000</v>
      </c>
      <c r="AS14" s="365">
        <f t="shared" si="23"/>
        <v>4</v>
      </c>
      <c r="AT14" s="365">
        <f t="shared" si="23"/>
        <v>2000000</v>
      </c>
      <c r="AU14" s="365">
        <f t="shared" si="23"/>
        <v>5</v>
      </c>
      <c r="AV14" s="365">
        <f t="shared" si="23"/>
        <v>2500000</v>
      </c>
      <c r="AW14" s="365">
        <f t="shared" si="23"/>
        <v>4</v>
      </c>
      <c r="AX14" s="365">
        <f t="shared" si="23"/>
        <v>2000000</v>
      </c>
      <c r="AY14" s="365">
        <f t="shared" si="23"/>
        <v>5</v>
      </c>
      <c r="AZ14" s="365">
        <f t="shared" si="23"/>
        <v>2500000</v>
      </c>
      <c r="BA14" s="365">
        <f t="shared" si="23"/>
        <v>5</v>
      </c>
      <c r="BB14" s="365">
        <f t="shared" si="23"/>
        <v>2500000</v>
      </c>
      <c r="BC14" s="365">
        <f t="shared" si="23"/>
        <v>5</v>
      </c>
      <c r="BD14" s="365">
        <f t="shared" si="23"/>
        <v>2500000</v>
      </c>
      <c r="BE14" s="365">
        <f t="shared" si="23"/>
        <v>4</v>
      </c>
      <c r="BF14" s="365">
        <f t="shared" si="23"/>
        <v>2000000</v>
      </c>
      <c r="BG14" s="365">
        <f t="shared" si="23"/>
        <v>4</v>
      </c>
      <c r="BH14" s="365">
        <f t="shared" si="23"/>
        <v>2000000</v>
      </c>
      <c r="BI14" s="365">
        <f t="shared" si="23"/>
        <v>0</v>
      </c>
      <c r="BJ14" s="365">
        <f t="shared" si="23"/>
        <v>0</v>
      </c>
      <c r="BK14" s="365">
        <f t="shared" si="23"/>
        <v>79</v>
      </c>
      <c r="BL14" s="365">
        <f t="shared" si="23"/>
        <v>39500000</v>
      </c>
      <c r="BM14" s="365">
        <f t="shared" ref="BM14:BW14" si="24">SUM(BM11:BM13)</f>
        <v>0</v>
      </c>
      <c r="BN14" s="365">
        <f t="shared" si="24"/>
        <v>0</v>
      </c>
      <c r="BO14" s="365">
        <f t="shared" si="24"/>
        <v>39500000</v>
      </c>
      <c r="BP14" s="365">
        <f t="shared" si="24"/>
        <v>0</v>
      </c>
      <c r="BQ14" s="365">
        <f t="shared" si="24"/>
        <v>0</v>
      </c>
      <c r="BR14" s="365">
        <f t="shared" si="24"/>
        <v>0</v>
      </c>
      <c r="BS14" s="365">
        <f t="shared" si="24"/>
        <v>39500000</v>
      </c>
      <c r="BT14" s="365">
        <f t="shared" si="24"/>
        <v>0</v>
      </c>
      <c r="BU14" s="365">
        <f t="shared" si="24"/>
        <v>0</v>
      </c>
      <c r="BV14" s="365">
        <f t="shared" si="24"/>
        <v>0</v>
      </c>
      <c r="BW14" s="365">
        <f t="shared" si="24"/>
        <v>39500000</v>
      </c>
    </row>
    <row r="15" spans="1:160" s="60" customFormat="1">
      <c r="A15" s="841"/>
      <c r="B15" s="386"/>
      <c r="C15" s="80">
        <v>31210</v>
      </c>
      <c r="D15" s="332" t="s">
        <v>546</v>
      </c>
      <c r="E15" s="362"/>
      <c r="F15" s="312"/>
      <c r="G15" s="203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142"/>
      <c r="T15" s="142"/>
      <c r="U15" s="142"/>
      <c r="V15" s="142"/>
      <c r="W15" s="578"/>
      <c r="X15" s="578"/>
      <c r="Y15" s="578"/>
      <c r="Z15" s="578"/>
      <c r="AA15" s="585"/>
      <c r="AB15" s="224"/>
      <c r="AC15" s="585"/>
      <c r="AD15" s="224"/>
      <c r="AE15" s="585"/>
      <c r="AF15" s="224"/>
      <c r="AG15" s="585"/>
      <c r="AH15" s="224"/>
      <c r="AI15" s="585"/>
      <c r="AJ15" s="224"/>
      <c r="AK15" s="585"/>
      <c r="AL15" s="224"/>
      <c r="AM15" s="585"/>
      <c r="AN15" s="224"/>
      <c r="AO15" s="585"/>
      <c r="AP15" s="224"/>
      <c r="AQ15" s="585"/>
      <c r="AR15" s="224"/>
      <c r="AS15" s="585"/>
      <c r="AT15" s="224"/>
      <c r="AU15" s="585"/>
      <c r="AV15" s="224"/>
      <c r="AW15" s="585"/>
      <c r="AX15" s="224"/>
      <c r="AY15" s="585"/>
      <c r="AZ15" s="224"/>
      <c r="BA15" s="585"/>
      <c r="BB15" s="224"/>
      <c r="BC15" s="585"/>
      <c r="BD15" s="224"/>
      <c r="BE15" s="585"/>
      <c r="BF15" s="224"/>
      <c r="BG15" s="585"/>
      <c r="BH15" s="224"/>
      <c r="BI15" s="585"/>
      <c r="BJ15" s="224"/>
      <c r="BK15" s="585"/>
      <c r="BL15" s="224"/>
      <c r="BM15" s="362"/>
      <c r="BN15" s="59"/>
      <c r="BO15" s="69">
        <f>H15</f>
        <v>0</v>
      </c>
      <c r="BP15" s="69"/>
      <c r="BQ15" s="69"/>
      <c r="BR15" s="69"/>
      <c r="BS15" s="69">
        <f t="shared" si="21"/>
        <v>0</v>
      </c>
      <c r="BT15" s="69"/>
      <c r="BU15" s="69"/>
      <c r="BV15" s="69">
        <f t="shared" si="22"/>
        <v>0</v>
      </c>
      <c r="BW15" s="108">
        <f t="shared" ref="BW15:BW40" si="25">BS15+BV15</f>
        <v>0</v>
      </c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</row>
    <row r="16" spans="1:160" s="60" customFormat="1">
      <c r="A16" s="841"/>
      <c r="B16" s="386"/>
      <c r="C16" s="80">
        <v>31220</v>
      </c>
      <c r="D16" s="323" t="s">
        <v>99</v>
      </c>
      <c r="E16" s="362" t="s">
        <v>98</v>
      </c>
      <c r="F16" s="504">
        <v>140000</v>
      </c>
      <c r="G16" s="203">
        <f>BK16</f>
        <v>1590</v>
      </c>
      <c r="H16" s="578">
        <f>G16*F16</f>
        <v>222600000</v>
      </c>
      <c r="I16" s="578"/>
      <c r="J16" s="578"/>
      <c r="K16" s="578"/>
      <c r="L16" s="578"/>
      <c r="M16" s="578"/>
      <c r="N16" s="578"/>
      <c r="O16" s="578">
        <f>H16</f>
        <v>222600000</v>
      </c>
      <c r="P16" s="578"/>
      <c r="Q16" s="578"/>
      <c r="R16" s="578"/>
      <c r="S16" s="142">
        <f>G16*0.25</f>
        <v>397.5</v>
      </c>
      <c r="T16" s="142">
        <f>G16*0.25</f>
        <v>397.5</v>
      </c>
      <c r="U16" s="142">
        <f>G16*0.25</f>
        <v>397.5</v>
      </c>
      <c r="V16" s="142">
        <f>G16*0.25</f>
        <v>397.5</v>
      </c>
      <c r="W16" s="578">
        <f>S16*H16</f>
        <v>88483500000</v>
      </c>
      <c r="X16" s="578">
        <f>T16*H16</f>
        <v>88483500000</v>
      </c>
      <c r="Y16" s="578">
        <f>U16*H16</f>
        <v>88483500000</v>
      </c>
      <c r="Z16" s="578">
        <f>V16*H16</f>
        <v>88483500000</v>
      </c>
      <c r="AA16" s="585">
        <v>100</v>
      </c>
      <c r="AB16" s="224">
        <f t="shared" si="1"/>
        <v>14000000</v>
      </c>
      <c r="AC16" s="585">
        <v>100</v>
      </c>
      <c r="AD16" s="224">
        <f t="shared" si="2"/>
        <v>14000000</v>
      </c>
      <c r="AE16" s="585">
        <v>100</v>
      </c>
      <c r="AF16" s="224">
        <f t="shared" si="3"/>
        <v>14000000</v>
      </c>
      <c r="AG16" s="585">
        <v>100</v>
      </c>
      <c r="AH16" s="224">
        <f t="shared" si="4"/>
        <v>14000000</v>
      </c>
      <c r="AI16" s="585">
        <v>100</v>
      </c>
      <c r="AJ16" s="224">
        <f t="shared" si="5"/>
        <v>14000000</v>
      </c>
      <c r="AK16" s="585">
        <v>100</v>
      </c>
      <c r="AL16" s="224">
        <f t="shared" si="6"/>
        <v>14000000</v>
      </c>
      <c r="AM16" s="585">
        <v>100</v>
      </c>
      <c r="AN16" s="224">
        <f t="shared" si="7"/>
        <v>14000000</v>
      </c>
      <c r="AO16" s="585">
        <v>80</v>
      </c>
      <c r="AP16" s="224">
        <f t="shared" si="8"/>
        <v>11200000</v>
      </c>
      <c r="AQ16" s="585">
        <v>50</v>
      </c>
      <c r="AR16" s="224">
        <f t="shared" si="9"/>
        <v>7000000</v>
      </c>
      <c r="AS16" s="585">
        <v>100</v>
      </c>
      <c r="AT16" s="224">
        <f t="shared" si="10"/>
        <v>14000000</v>
      </c>
      <c r="AU16" s="585">
        <v>100</v>
      </c>
      <c r="AV16" s="224">
        <f t="shared" si="11"/>
        <v>14000000</v>
      </c>
      <c r="AW16" s="585">
        <v>100</v>
      </c>
      <c r="AX16" s="224">
        <f t="shared" si="12"/>
        <v>14000000</v>
      </c>
      <c r="AY16" s="585">
        <v>100</v>
      </c>
      <c r="AZ16" s="224">
        <f t="shared" si="13"/>
        <v>14000000</v>
      </c>
      <c r="BA16" s="585">
        <v>100</v>
      </c>
      <c r="BB16" s="224">
        <f t="shared" si="14"/>
        <v>14000000</v>
      </c>
      <c r="BC16" s="585">
        <v>100</v>
      </c>
      <c r="BD16" s="224">
        <f t="shared" si="15"/>
        <v>14000000</v>
      </c>
      <c r="BE16" s="585">
        <v>60</v>
      </c>
      <c r="BF16" s="224">
        <f t="shared" si="16"/>
        <v>8400000</v>
      </c>
      <c r="BG16" s="585">
        <v>100</v>
      </c>
      <c r="BH16" s="224">
        <f t="shared" si="17"/>
        <v>14000000</v>
      </c>
      <c r="BI16" s="585"/>
      <c r="BJ16" s="224">
        <f t="shared" si="18"/>
        <v>0</v>
      </c>
      <c r="BK16" s="585">
        <f t="shared" si="19"/>
        <v>1590</v>
      </c>
      <c r="BL16" s="224">
        <f t="shared" si="20"/>
        <v>222600000</v>
      </c>
      <c r="BM16" s="362" t="s">
        <v>558</v>
      </c>
      <c r="BN16" s="59"/>
      <c r="BO16" s="69">
        <f>H16</f>
        <v>222600000</v>
      </c>
      <c r="BP16" s="69"/>
      <c r="BQ16" s="69"/>
      <c r="BR16" s="69"/>
      <c r="BS16" s="69">
        <f t="shared" si="21"/>
        <v>222600000</v>
      </c>
      <c r="BT16" s="69"/>
      <c r="BU16" s="69"/>
      <c r="BV16" s="69">
        <f t="shared" si="22"/>
        <v>0</v>
      </c>
      <c r="BW16" s="108">
        <f t="shared" si="25"/>
        <v>222600000</v>
      </c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</row>
    <row r="17" spans="1:160" s="60" customFormat="1">
      <c r="A17" s="841"/>
      <c r="B17" s="386"/>
      <c r="C17" s="80">
        <v>31230</v>
      </c>
      <c r="D17" s="323" t="s">
        <v>100</v>
      </c>
      <c r="E17" s="362" t="s">
        <v>101</v>
      </c>
      <c r="F17" s="312" t="s">
        <v>472</v>
      </c>
      <c r="G17" s="203">
        <f>BK17</f>
        <v>1</v>
      </c>
      <c r="H17" s="578">
        <f>G17*F17</f>
        <v>4000000</v>
      </c>
      <c r="I17" s="578"/>
      <c r="J17" s="578"/>
      <c r="K17" s="578"/>
      <c r="L17" s="578"/>
      <c r="M17" s="578">
        <f>H17</f>
        <v>4000000</v>
      </c>
      <c r="N17" s="578"/>
      <c r="O17" s="578"/>
      <c r="P17" s="578"/>
      <c r="Q17" s="578"/>
      <c r="R17" s="578"/>
      <c r="S17" s="142">
        <f>G17*0.25</f>
        <v>0.25</v>
      </c>
      <c r="T17" s="142">
        <f>G17*0.25</f>
        <v>0.25</v>
      </c>
      <c r="U17" s="142">
        <f>G17*0.25</f>
        <v>0.25</v>
      </c>
      <c r="V17" s="142">
        <f>G17*0.25</f>
        <v>0.25</v>
      </c>
      <c r="W17" s="578">
        <f>S17*H17</f>
        <v>1000000</v>
      </c>
      <c r="X17" s="578">
        <f>T17*H17</f>
        <v>1000000</v>
      </c>
      <c r="Y17" s="578">
        <f>U17*H17</f>
        <v>1000000</v>
      </c>
      <c r="Z17" s="578">
        <f>V17*H17</f>
        <v>1000000</v>
      </c>
      <c r="AA17" s="585"/>
      <c r="AB17" s="224">
        <f t="shared" si="1"/>
        <v>0</v>
      </c>
      <c r="AC17" s="585">
        <v>1</v>
      </c>
      <c r="AD17" s="224">
        <f t="shared" si="2"/>
        <v>4000000</v>
      </c>
      <c r="AE17" s="585"/>
      <c r="AF17" s="224">
        <f t="shared" si="3"/>
        <v>0</v>
      </c>
      <c r="AG17" s="585"/>
      <c r="AH17" s="224">
        <f t="shared" si="4"/>
        <v>0</v>
      </c>
      <c r="AI17" s="585"/>
      <c r="AJ17" s="224">
        <f t="shared" si="5"/>
        <v>0</v>
      </c>
      <c r="AK17" s="585"/>
      <c r="AL17" s="224">
        <f t="shared" si="6"/>
        <v>0</v>
      </c>
      <c r="AM17" s="585"/>
      <c r="AN17" s="224">
        <f t="shared" si="7"/>
        <v>0</v>
      </c>
      <c r="AO17" s="585"/>
      <c r="AP17" s="224">
        <f t="shared" si="8"/>
        <v>0</v>
      </c>
      <c r="AQ17" s="585"/>
      <c r="AR17" s="224">
        <f t="shared" si="9"/>
        <v>0</v>
      </c>
      <c r="AS17" s="585"/>
      <c r="AT17" s="224">
        <f t="shared" si="10"/>
        <v>0</v>
      </c>
      <c r="AU17" s="585"/>
      <c r="AV17" s="224">
        <f t="shared" si="11"/>
        <v>0</v>
      </c>
      <c r="AW17" s="585"/>
      <c r="AX17" s="224">
        <f t="shared" si="12"/>
        <v>0</v>
      </c>
      <c r="AY17" s="585"/>
      <c r="AZ17" s="224">
        <f t="shared" si="13"/>
        <v>0</v>
      </c>
      <c r="BA17" s="585"/>
      <c r="BB17" s="224">
        <f t="shared" si="14"/>
        <v>0</v>
      </c>
      <c r="BC17" s="585"/>
      <c r="BD17" s="224">
        <f t="shared" si="15"/>
        <v>0</v>
      </c>
      <c r="BE17" s="585"/>
      <c r="BF17" s="224">
        <f t="shared" si="16"/>
        <v>0</v>
      </c>
      <c r="BG17" s="585"/>
      <c r="BH17" s="224">
        <f t="shared" si="17"/>
        <v>0</v>
      </c>
      <c r="BI17" s="585"/>
      <c r="BJ17" s="224">
        <f t="shared" si="18"/>
        <v>0</v>
      </c>
      <c r="BK17" s="585">
        <f t="shared" si="19"/>
        <v>1</v>
      </c>
      <c r="BL17" s="224">
        <f t="shared" si="20"/>
        <v>4000000</v>
      </c>
      <c r="BM17" s="362" t="s">
        <v>403</v>
      </c>
      <c r="BN17" s="59"/>
      <c r="BO17" s="69">
        <f>H17</f>
        <v>4000000</v>
      </c>
      <c r="BP17" s="69"/>
      <c r="BQ17" s="69"/>
      <c r="BR17" s="69"/>
      <c r="BS17" s="69">
        <f t="shared" si="21"/>
        <v>4000000</v>
      </c>
      <c r="BT17" s="69"/>
      <c r="BU17" s="69"/>
      <c r="BV17" s="69">
        <f t="shared" si="22"/>
        <v>0</v>
      </c>
      <c r="BW17" s="108">
        <f t="shared" si="25"/>
        <v>4000000</v>
      </c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</row>
    <row r="18" spans="1:160" s="428" customFormat="1">
      <c r="A18" s="841"/>
      <c r="B18" s="423"/>
      <c r="C18" s="591"/>
      <c r="D18" s="336" t="s">
        <v>547</v>
      </c>
      <c r="E18" s="439" t="s">
        <v>121</v>
      </c>
      <c r="F18" s="440"/>
      <c r="G18" s="365">
        <f t="shared" ref="G18:AL18" si="26">SUM(G16:G17)</f>
        <v>1591</v>
      </c>
      <c r="H18" s="365">
        <f t="shared" si="26"/>
        <v>226600000</v>
      </c>
      <c r="I18" s="365">
        <f t="shared" si="26"/>
        <v>0</v>
      </c>
      <c r="J18" s="365">
        <f t="shared" si="26"/>
        <v>0</v>
      </c>
      <c r="K18" s="365">
        <f t="shared" si="26"/>
        <v>0</v>
      </c>
      <c r="L18" s="365">
        <f t="shared" si="26"/>
        <v>0</v>
      </c>
      <c r="M18" s="365">
        <f t="shared" si="26"/>
        <v>4000000</v>
      </c>
      <c r="N18" s="365">
        <f t="shared" si="26"/>
        <v>0</v>
      </c>
      <c r="O18" s="365">
        <f t="shared" si="26"/>
        <v>222600000</v>
      </c>
      <c r="P18" s="365">
        <f t="shared" si="26"/>
        <v>0</v>
      </c>
      <c r="Q18" s="365">
        <f t="shared" si="26"/>
        <v>0</v>
      </c>
      <c r="R18" s="365">
        <f t="shared" si="26"/>
        <v>0</v>
      </c>
      <c r="S18" s="365">
        <f t="shared" si="26"/>
        <v>397.75</v>
      </c>
      <c r="T18" s="365">
        <f t="shared" si="26"/>
        <v>397.75</v>
      </c>
      <c r="U18" s="365">
        <f t="shared" si="26"/>
        <v>397.75</v>
      </c>
      <c r="V18" s="365">
        <f t="shared" si="26"/>
        <v>397.75</v>
      </c>
      <c r="W18" s="365">
        <f t="shared" si="26"/>
        <v>88484500000</v>
      </c>
      <c r="X18" s="365">
        <f t="shared" si="26"/>
        <v>88484500000</v>
      </c>
      <c r="Y18" s="365">
        <f t="shared" si="26"/>
        <v>88484500000</v>
      </c>
      <c r="Z18" s="365">
        <f t="shared" si="26"/>
        <v>88484500000</v>
      </c>
      <c r="AA18" s="365">
        <f t="shared" si="26"/>
        <v>100</v>
      </c>
      <c r="AB18" s="365">
        <f t="shared" si="26"/>
        <v>14000000</v>
      </c>
      <c r="AC18" s="365">
        <f t="shared" si="26"/>
        <v>101</v>
      </c>
      <c r="AD18" s="365">
        <f t="shared" si="26"/>
        <v>18000000</v>
      </c>
      <c r="AE18" s="365">
        <f t="shared" si="26"/>
        <v>100</v>
      </c>
      <c r="AF18" s="365">
        <f t="shared" si="26"/>
        <v>14000000</v>
      </c>
      <c r="AG18" s="365">
        <f t="shared" si="26"/>
        <v>100</v>
      </c>
      <c r="AH18" s="365">
        <f t="shared" si="26"/>
        <v>14000000</v>
      </c>
      <c r="AI18" s="365">
        <f t="shared" si="26"/>
        <v>100</v>
      </c>
      <c r="AJ18" s="365">
        <f t="shared" si="26"/>
        <v>14000000</v>
      </c>
      <c r="AK18" s="365">
        <f t="shared" si="26"/>
        <v>100</v>
      </c>
      <c r="AL18" s="365">
        <f t="shared" si="26"/>
        <v>14000000</v>
      </c>
      <c r="AM18" s="365">
        <f t="shared" ref="AM18:BW18" si="27">SUM(AM16:AM17)</f>
        <v>100</v>
      </c>
      <c r="AN18" s="365">
        <f t="shared" si="27"/>
        <v>14000000</v>
      </c>
      <c r="AO18" s="365">
        <f t="shared" si="27"/>
        <v>80</v>
      </c>
      <c r="AP18" s="365">
        <f t="shared" si="27"/>
        <v>11200000</v>
      </c>
      <c r="AQ18" s="365">
        <f t="shared" si="27"/>
        <v>50</v>
      </c>
      <c r="AR18" s="365">
        <f t="shared" si="27"/>
        <v>7000000</v>
      </c>
      <c r="AS18" s="365">
        <f t="shared" si="27"/>
        <v>100</v>
      </c>
      <c r="AT18" s="365">
        <f t="shared" si="27"/>
        <v>14000000</v>
      </c>
      <c r="AU18" s="365">
        <f t="shared" si="27"/>
        <v>100</v>
      </c>
      <c r="AV18" s="365">
        <f t="shared" si="27"/>
        <v>14000000</v>
      </c>
      <c r="AW18" s="365">
        <f t="shared" si="27"/>
        <v>100</v>
      </c>
      <c r="AX18" s="365">
        <f t="shared" si="27"/>
        <v>14000000</v>
      </c>
      <c r="AY18" s="365">
        <f t="shared" si="27"/>
        <v>100</v>
      </c>
      <c r="AZ18" s="365">
        <f t="shared" si="27"/>
        <v>14000000</v>
      </c>
      <c r="BA18" s="365">
        <f t="shared" si="27"/>
        <v>100</v>
      </c>
      <c r="BB18" s="365">
        <f t="shared" si="27"/>
        <v>14000000</v>
      </c>
      <c r="BC18" s="365">
        <f t="shared" si="27"/>
        <v>100</v>
      </c>
      <c r="BD18" s="365">
        <f t="shared" si="27"/>
        <v>14000000</v>
      </c>
      <c r="BE18" s="365">
        <f t="shared" si="27"/>
        <v>60</v>
      </c>
      <c r="BF18" s="365">
        <f t="shared" si="27"/>
        <v>8400000</v>
      </c>
      <c r="BG18" s="365">
        <f t="shared" si="27"/>
        <v>100</v>
      </c>
      <c r="BH18" s="365">
        <f t="shared" si="27"/>
        <v>14000000</v>
      </c>
      <c r="BI18" s="365">
        <f t="shared" si="27"/>
        <v>0</v>
      </c>
      <c r="BJ18" s="365">
        <f t="shared" si="27"/>
        <v>0</v>
      </c>
      <c r="BK18" s="365">
        <f t="shared" si="27"/>
        <v>1591</v>
      </c>
      <c r="BL18" s="365">
        <f t="shared" si="27"/>
        <v>226600000</v>
      </c>
      <c r="BM18" s="365">
        <f t="shared" si="27"/>
        <v>0</v>
      </c>
      <c r="BN18" s="365">
        <f t="shared" si="27"/>
        <v>0</v>
      </c>
      <c r="BO18" s="365">
        <f t="shared" si="27"/>
        <v>226600000</v>
      </c>
      <c r="BP18" s="365">
        <f t="shared" si="27"/>
        <v>0</v>
      </c>
      <c r="BQ18" s="365">
        <f t="shared" si="27"/>
        <v>0</v>
      </c>
      <c r="BR18" s="365">
        <f t="shared" si="27"/>
        <v>0</v>
      </c>
      <c r="BS18" s="365">
        <f t="shared" si="27"/>
        <v>226600000</v>
      </c>
      <c r="BT18" s="365">
        <f t="shared" si="27"/>
        <v>0</v>
      </c>
      <c r="BU18" s="365">
        <f t="shared" si="27"/>
        <v>0</v>
      </c>
      <c r="BV18" s="365">
        <f t="shared" si="27"/>
        <v>0</v>
      </c>
      <c r="BW18" s="365">
        <f t="shared" si="27"/>
        <v>226600000</v>
      </c>
      <c r="BX18" s="369"/>
      <c r="BY18" s="369"/>
      <c r="BZ18" s="369"/>
      <c r="CA18" s="369"/>
      <c r="CB18" s="369"/>
      <c r="CC18" s="369"/>
      <c r="CD18" s="369"/>
      <c r="CE18" s="369"/>
      <c r="CF18" s="369"/>
      <c r="CG18" s="369"/>
      <c r="CH18" s="369"/>
      <c r="CI18" s="369"/>
      <c r="CJ18" s="369"/>
      <c r="CK18" s="369"/>
      <c r="CL18" s="369"/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  <c r="EK18" s="369"/>
      <c r="EL18" s="369"/>
      <c r="EM18" s="369"/>
      <c r="EN18" s="369"/>
      <c r="EO18" s="369"/>
      <c r="EP18" s="369"/>
      <c r="EQ18" s="369"/>
      <c r="ER18" s="369"/>
      <c r="ES18" s="369"/>
      <c r="ET18" s="369"/>
      <c r="EU18" s="369"/>
      <c r="EV18" s="369"/>
      <c r="EW18" s="369"/>
      <c r="EX18" s="369"/>
      <c r="EY18" s="369"/>
      <c r="EZ18" s="369"/>
      <c r="FA18" s="369"/>
      <c r="FB18" s="369"/>
      <c r="FC18" s="369"/>
      <c r="FD18" s="369"/>
    </row>
    <row r="19" spans="1:160" s="60" customFormat="1">
      <c r="A19" s="841"/>
      <c r="B19" s="386"/>
      <c r="C19" s="80">
        <v>31240</v>
      </c>
      <c r="D19" s="332" t="s">
        <v>548</v>
      </c>
      <c r="E19" s="362"/>
      <c r="F19" s="312"/>
      <c r="G19" s="203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142"/>
      <c r="T19" s="142"/>
      <c r="U19" s="142"/>
      <c r="V19" s="142"/>
      <c r="W19" s="578"/>
      <c r="X19" s="578"/>
      <c r="Y19" s="578"/>
      <c r="Z19" s="578"/>
      <c r="AA19" s="585"/>
      <c r="AB19" s="224"/>
      <c r="AC19" s="585"/>
      <c r="AD19" s="224"/>
      <c r="AE19" s="585"/>
      <c r="AF19" s="224"/>
      <c r="AG19" s="585"/>
      <c r="AH19" s="224"/>
      <c r="AI19" s="585"/>
      <c r="AJ19" s="224"/>
      <c r="AK19" s="585"/>
      <c r="AL19" s="224"/>
      <c r="AM19" s="585"/>
      <c r="AN19" s="224"/>
      <c r="AO19" s="585"/>
      <c r="AP19" s="224"/>
      <c r="AQ19" s="585"/>
      <c r="AR19" s="224"/>
      <c r="AS19" s="585"/>
      <c r="AT19" s="224"/>
      <c r="AU19" s="585"/>
      <c r="AV19" s="224"/>
      <c r="AW19" s="585"/>
      <c r="AX19" s="224"/>
      <c r="AY19" s="585"/>
      <c r="AZ19" s="224"/>
      <c r="BA19" s="585"/>
      <c r="BB19" s="224"/>
      <c r="BC19" s="585"/>
      <c r="BD19" s="224"/>
      <c r="BE19" s="585"/>
      <c r="BF19" s="224"/>
      <c r="BG19" s="585"/>
      <c r="BH19" s="224"/>
      <c r="BI19" s="585"/>
      <c r="BJ19" s="224"/>
      <c r="BK19" s="585"/>
      <c r="BL19" s="224"/>
      <c r="BM19" s="362"/>
      <c r="BN19" s="59"/>
      <c r="BO19" s="69">
        <f t="shared" ref="BO19:BO24" si="28">H19</f>
        <v>0</v>
      </c>
      <c r="BP19" s="69"/>
      <c r="BQ19" s="69"/>
      <c r="BR19" s="69"/>
      <c r="BS19" s="69">
        <f t="shared" si="21"/>
        <v>0</v>
      </c>
      <c r="BT19" s="69"/>
      <c r="BU19" s="69"/>
      <c r="BV19" s="69">
        <f t="shared" si="22"/>
        <v>0</v>
      </c>
      <c r="BW19" s="108">
        <f t="shared" si="25"/>
        <v>0</v>
      </c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</row>
    <row r="20" spans="1:160" s="60" customFormat="1">
      <c r="A20" s="841"/>
      <c r="B20" s="386"/>
      <c r="C20" s="290">
        <v>31300</v>
      </c>
      <c r="D20" s="323" t="s">
        <v>780</v>
      </c>
      <c r="E20" s="362" t="s">
        <v>748</v>
      </c>
      <c r="F20" s="504">
        <v>400000</v>
      </c>
      <c r="G20" s="92">
        <f>BK20</f>
        <v>60</v>
      </c>
      <c r="H20" s="224">
        <f>G20*F20</f>
        <v>24000000</v>
      </c>
      <c r="I20" s="224"/>
      <c r="J20" s="224"/>
      <c r="K20" s="224"/>
      <c r="L20" s="224"/>
      <c r="M20" s="224">
        <f>H20</f>
        <v>24000000</v>
      </c>
      <c r="N20" s="224"/>
      <c r="O20" s="224"/>
      <c r="P20" s="224"/>
      <c r="Q20" s="224"/>
      <c r="R20" s="224"/>
      <c r="S20" s="142">
        <f>G20*0.25</f>
        <v>15</v>
      </c>
      <c r="T20" s="142">
        <f>G20*0.25</f>
        <v>15</v>
      </c>
      <c r="U20" s="142">
        <f>G20*0.25</f>
        <v>15</v>
      </c>
      <c r="V20" s="142">
        <f>G20*0.25</f>
        <v>15</v>
      </c>
      <c r="W20" s="224">
        <f>S20*H20</f>
        <v>360000000</v>
      </c>
      <c r="X20" s="224">
        <f>T20*H20</f>
        <v>360000000</v>
      </c>
      <c r="Y20" s="224">
        <f>U20*H20</f>
        <v>360000000</v>
      </c>
      <c r="Z20" s="224">
        <f>V20*H20</f>
        <v>360000000</v>
      </c>
      <c r="AA20" s="585">
        <v>5</v>
      </c>
      <c r="AB20" s="224">
        <f t="shared" si="1"/>
        <v>2000000</v>
      </c>
      <c r="AC20" s="585">
        <v>8</v>
      </c>
      <c r="AD20" s="224">
        <f t="shared" si="2"/>
        <v>3200000</v>
      </c>
      <c r="AE20" s="585">
        <v>8</v>
      </c>
      <c r="AF20" s="224">
        <f t="shared" si="3"/>
        <v>3200000</v>
      </c>
      <c r="AG20" s="585">
        <v>3</v>
      </c>
      <c r="AH20" s="224">
        <f t="shared" si="4"/>
        <v>1200000</v>
      </c>
      <c r="AI20" s="585">
        <v>8</v>
      </c>
      <c r="AJ20" s="224">
        <f t="shared" si="5"/>
        <v>3200000</v>
      </c>
      <c r="AK20" s="585">
        <v>4</v>
      </c>
      <c r="AL20" s="224">
        <f t="shared" si="6"/>
        <v>1600000</v>
      </c>
      <c r="AM20" s="585">
        <v>3</v>
      </c>
      <c r="AN20" s="224">
        <f t="shared" si="7"/>
        <v>1200000</v>
      </c>
      <c r="AO20" s="585">
        <v>2</v>
      </c>
      <c r="AP20" s="224">
        <f t="shared" si="8"/>
        <v>800000</v>
      </c>
      <c r="AQ20" s="585">
        <v>2</v>
      </c>
      <c r="AR20" s="224">
        <f t="shared" si="9"/>
        <v>800000</v>
      </c>
      <c r="AS20" s="585">
        <v>3</v>
      </c>
      <c r="AT20" s="224">
        <f t="shared" si="10"/>
        <v>1200000</v>
      </c>
      <c r="AU20" s="585">
        <v>2</v>
      </c>
      <c r="AV20" s="224">
        <f t="shared" si="11"/>
        <v>800000</v>
      </c>
      <c r="AW20" s="585">
        <v>2</v>
      </c>
      <c r="AX20" s="224">
        <f t="shared" si="12"/>
        <v>800000</v>
      </c>
      <c r="AY20" s="585">
        <v>2</v>
      </c>
      <c r="AZ20" s="224">
        <f t="shared" si="13"/>
        <v>800000</v>
      </c>
      <c r="BA20" s="585">
        <v>2</v>
      </c>
      <c r="BB20" s="224">
        <f t="shared" si="14"/>
        <v>800000</v>
      </c>
      <c r="BC20" s="585">
        <v>2</v>
      </c>
      <c r="BD20" s="224">
        <f t="shared" si="15"/>
        <v>800000</v>
      </c>
      <c r="BE20" s="585">
        <v>2</v>
      </c>
      <c r="BF20" s="224">
        <f t="shared" si="16"/>
        <v>800000</v>
      </c>
      <c r="BG20" s="585">
        <v>2</v>
      </c>
      <c r="BH20" s="224">
        <f t="shared" si="17"/>
        <v>800000</v>
      </c>
      <c r="BI20" s="585"/>
      <c r="BJ20" s="224">
        <f t="shared" si="18"/>
        <v>0</v>
      </c>
      <c r="BK20" s="585">
        <f t="shared" si="19"/>
        <v>60</v>
      </c>
      <c r="BL20" s="224">
        <f t="shared" si="20"/>
        <v>24000000</v>
      </c>
      <c r="BM20" s="362" t="s">
        <v>559</v>
      </c>
      <c r="BN20" s="59"/>
      <c r="BO20" s="69">
        <f t="shared" si="28"/>
        <v>24000000</v>
      </c>
      <c r="BP20" s="69"/>
      <c r="BQ20" s="69"/>
      <c r="BR20" s="69"/>
      <c r="BS20" s="69">
        <f t="shared" si="21"/>
        <v>24000000</v>
      </c>
      <c r="BT20" s="69"/>
      <c r="BU20" s="69"/>
      <c r="BV20" s="69"/>
      <c r="BW20" s="108">
        <f t="shared" si="25"/>
        <v>24000000</v>
      </c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</row>
    <row r="21" spans="1:160" s="60" customFormat="1">
      <c r="A21" s="841"/>
      <c r="B21" s="386"/>
      <c r="C21" s="80">
        <v>31310</v>
      </c>
      <c r="D21" s="323" t="s">
        <v>757</v>
      </c>
      <c r="E21" s="362" t="s">
        <v>326</v>
      </c>
      <c r="F21" s="312">
        <v>1200000</v>
      </c>
      <c r="G21" s="92">
        <f>BK21</f>
        <v>80</v>
      </c>
      <c r="H21" s="224">
        <f>G21*F21</f>
        <v>96000000</v>
      </c>
      <c r="I21" s="578"/>
      <c r="J21" s="578"/>
      <c r="K21" s="578"/>
      <c r="L21" s="578"/>
      <c r="M21" s="224">
        <f>H21</f>
        <v>96000000</v>
      </c>
      <c r="N21" s="578"/>
      <c r="O21" s="578"/>
      <c r="P21" s="578"/>
      <c r="Q21" s="578"/>
      <c r="R21" s="578"/>
      <c r="S21" s="142">
        <f>G21*0.25</f>
        <v>20</v>
      </c>
      <c r="T21" s="142">
        <f>G21*0.25</f>
        <v>20</v>
      </c>
      <c r="U21" s="142">
        <f>G21*0.25</f>
        <v>20</v>
      </c>
      <c r="V21" s="142">
        <f>G21*0.25</f>
        <v>20</v>
      </c>
      <c r="W21" s="578">
        <f>S21*H21</f>
        <v>1920000000</v>
      </c>
      <c r="X21" s="578">
        <f>T21*H21</f>
        <v>1920000000</v>
      </c>
      <c r="Y21" s="578">
        <f>U21*H21</f>
        <v>1920000000</v>
      </c>
      <c r="Z21" s="578">
        <f>V21*H21</f>
        <v>1920000000</v>
      </c>
      <c r="AA21" s="585">
        <v>5</v>
      </c>
      <c r="AB21" s="224">
        <f t="shared" si="1"/>
        <v>6000000</v>
      </c>
      <c r="AC21" s="585">
        <v>3</v>
      </c>
      <c r="AD21" s="224">
        <f t="shared" si="2"/>
        <v>3600000</v>
      </c>
      <c r="AE21" s="585">
        <v>10</v>
      </c>
      <c r="AF21" s="224">
        <f t="shared" si="3"/>
        <v>12000000</v>
      </c>
      <c r="AG21" s="585">
        <v>15</v>
      </c>
      <c r="AH21" s="224">
        <f t="shared" si="4"/>
        <v>18000000</v>
      </c>
      <c r="AI21" s="585">
        <v>5</v>
      </c>
      <c r="AJ21" s="224">
        <f t="shared" si="5"/>
        <v>6000000</v>
      </c>
      <c r="AK21" s="585">
        <v>5</v>
      </c>
      <c r="AL21" s="224">
        <f t="shared" si="6"/>
        <v>6000000</v>
      </c>
      <c r="AM21" s="585">
        <v>1</v>
      </c>
      <c r="AN21" s="224">
        <f t="shared" si="7"/>
        <v>1200000</v>
      </c>
      <c r="AO21" s="585">
        <v>5</v>
      </c>
      <c r="AP21" s="224">
        <f t="shared" si="8"/>
        <v>6000000</v>
      </c>
      <c r="AQ21" s="585">
        <v>1</v>
      </c>
      <c r="AR21" s="224">
        <f t="shared" si="9"/>
        <v>1200000</v>
      </c>
      <c r="AS21" s="585">
        <v>6</v>
      </c>
      <c r="AT21" s="224">
        <f t="shared" si="10"/>
        <v>7200000</v>
      </c>
      <c r="AU21" s="585">
        <v>2</v>
      </c>
      <c r="AV21" s="224">
        <f t="shared" si="11"/>
        <v>2400000</v>
      </c>
      <c r="AW21" s="585">
        <v>5</v>
      </c>
      <c r="AX21" s="224">
        <f t="shared" si="12"/>
        <v>6000000</v>
      </c>
      <c r="AY21" s="585">
        <v>2</v>
      </c>
      <c r="AZ21" s="224">
        <f t="shared" si="13"/>
        <v>2400000</v>
      </c>
      <c r="BA21" s="585">
        <v>0</v>
      </c>
      <c r="BB21" s="224">
        <f t="shared" si="14"/>
        <v>0</v>
      </c>
      <c r="BC21" s="585">
        <v>5</v>
      </c>
      <c r="BD21" s="224">
        <f t="shared" si="15"/>
        <v>6000000</v>
      </c>
      <c r="BE21" s="585">
        <v>5</v>
      </c>
      <c r="BF21" s="224">
        <f t="shared" si="16"/>
        <v>6000000</v>
      </c>
      <c r="BG21" s="585">
        <v>5</v>
      </c>
      <c r="BH21" s="224">
        <f t="shared" si="17"/>
        <v>6000000</v>
      </c>
      <c r="BI21" s="585"/>
      <c r="BJ21" s="224">
        <f t="shared" si="18"/>
        <v>0</v>
      </c>
      <c r="BK21" s="585">
        <f t="shared" si="19"/>
        <v>80</v>
      </c>
      <c r="BL21" s="224">
        <f t="shared" si="20"/>
        <v>96000000</v>
      </c>
      <c r="BM21" s="362" t="s">
        <v>559</v>
      </c>
      <c r="BN21" s="59"/>
      <c r="BO21" s="69">
        <f t="shared" si="28"/>
        <v>96000000</v>
      </c>
      <c r="BP21" s="69"/>
      <c r="BQ21" s="69"/>
      <c r="BR21" s="69"/>
      <c r="BS21" s="69">
        <f t="shared" si="21"/>
        <v>96000000</v>
      </c>
      <c r="BT21" s="69"/>
      <c r="BU21" s="69"/>
      <c r="BV21" s="69">
        <f>BT21+BU21</f>
        <v>0</v>
      </c>
      <c r="BW21" s="108">
        <f t="shared" si="25"/>
        <v>96000000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</row>
    <row r="22" spans="1:160" s="60" customFormat="1">
      <c r="A22" s="841"/>
      <c r="B22" s="386"/>
      <c r="C22" s="80"/>
      <c r="D22" s="323" t="s">
        <v>758</v>
      </c>
      <c r="E22" s="362" t="s">
        <v>326</v>
      </c>
      <c r="F22" s="312">
        <v>800000</v>
      </c>
      <c r="G22" s="92">
        <f>BK22</f>
        <v>3</v>
      </c>
      <c r="H22" s="224">
        <f>G22*F22</f>
        <v>2400000</v>
      </c>
      <c r="I22" s="578"/>
      <c r="J22" s="578"/>
      <c r="K22" s="578"/>
      <c r="L22" s="578"/>
      <c r="M22" s="224">
        <f>H22</f>
        <v>2400000</v>
      </c>
      <c r="N22" s="578"/>
      <c r="O22" s="578"/>
      <c r="P22" s="578"/>
      <c r="Q22" s="578"/>
      <c r="R22" s="578"/>
      <c r="S22" s="142">
        <f>G22*0.25</f>
        <v>0.75</v>
      </c>
      <c r="T22" s="142">
        <f>G22*0.25</f>
        <v>0.75</v>
      </c>
      <c r="U22" s="142">
        <f>G22*0.25</f>
        <v>0.75</v>
      </c>
      <c r="V22" s="142">
        <f>G22*0.25</f>
        <v>0.75</v>
      </c>
      <c r="W22" s="578">
        <f>S22*H22</f>
        <v>1800000</v>
      </c>
      <c r="X22" s="578">
        <f>T22*H22</f>
        <v>1800000</v>
      </c>
      <c r="Y22" s="578">
        <f>U22*H22</f>
        <v>1800000</v>
      </c>
      <c r="Z22" s="578">
        <f>V22*H22</f>
        <v>1800000</v>
      </c>
      <c r="AA22" s="585"/>
      <c r="AB22" s="224"/>
      <c r="AC22" s="585"/>
      <c r="AD22" s="224"/>
      <c r="AE22" s="585">
        <v>3</v>
      </c>
      <c r="AF22" s="224">
        <f t="shared" si="3"/>
        <v>2400000</v>
      </c>
      <c r="AG22" s="585"/>
      <c r="AH22" s="224">
        <f t="shared" si="4"/>
        <v>0</v>
      </c>
      <c r="AI22" s="585"/>
      <c r="AJ22" s="224">
        <f t="shared" si="5"/>
        <v>0</v>
      </c>
      <c r="AK22" s="585"/>
      <c r="AL22" s="224"/>
      <c r="AM22" s="585"/>
      <c r="AN22" s="224"/>
      <c r="AO22" s="585"/>
      <c r="AP22" s="224"/>
      <c r="AQ22" s="585"/>
      <c r="AR22" s="224"/>
      <c r="AS22" s="585"/>
      <c r="AT22" s="224"/>
      <c r="AU22" s="585"/>
      <c r="AV22" s="224"/>
      <c r="AW22" s="585"/>
      <c r="AX22" s="224"/>
      <c r="AY22" s="585"/>
      <c r="AZ22" s="224"/>
      <c r="BA22" s="585"/>
      <c r="BB22" s="224"/>
      <c r="BC22" s="585"/>
      <c r="BD22" s="224"/>
      <c r="BE22" s="585"/>
      <c r="BF22" s="224"/>
      <c r="BG22" s="585"/>
      <c r="BH22" s="224">
        <f t="shared" si="17"/>
        <v>0</v>
      </c>
      <c r="BI22" s="585"/>
      <c r="BJ22" s="224"/>
      <c r="BK22" s="585">
        <f>AA22+AC22+AE22+AG22+AI22+AK22+AM22+AO22+AQ22+AS22+AU22+AW22+AY22+BA22+BC22+BE22+BG22+BI22</f>
        <v>3</v>
      </c>
      <c r="BL22" s="224">
        <f>AB22+AD22+AF22+AH22+AJ22+AL22+AN22+AP22+AR22+AT22+AV22+AX22+AZ22+BB22+BD22+BF22+BH22+BJ22</f>
        <v>2400000</v>
      </c>
      <c r="BM22" s="362" t="s">
        <v>559</v>
      </c>
      <c r="BN22" s="59"/>
      <c r="BO22" s="69">
        <f t="shared" si="28"/>
        <v>2400000</v>
      </c>
      <c r="BP22" s="69"/>
      <c r="BQ22" s="69"/>
      <c r="BR22" s="69"/>
      <c r="BS22" s="69">
        <f t="shared" si="21"/>
        <v>2400000</v>
      </c>
      <c r="BT22" s="69"/>
      <c r="BU22" s="69"/>
      <c r="BV22" s="69"/>
      <c r="BW22" s="108">
        <f t="shared" si="25"/>
        <v>2400000</v>
      </c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</row>
    <row r="23" spans="1:160" s="60" customFormat="1">
      <c r="A23" s="841"/>
      <c r="B23" s="386"/>
      <c r="C23" s="80"/>
      <c r="D23" s="323" t="s">
        <v>759</v>
      </c>
      <c r="E23" s="362" t="s">
        <v>326</v>
      </c>
      <c r="F23" s="312">
        <v>8000000</v>
      </c>
      <c r="G23" s="92">
        <f>BK23</f>
        <v>4</v>
      </c>
      <c r="H23" s="224">
        <f>G23*F23</f>
        <v>32000000</v>
      </c>
      <c r="I23" s="578"/>
      <c r="J23" s="578"/>
      <c r="K23" s="578"/>
      <c r="L23" s="578"/>
      <c r="M23" s="224">
        <f>H23</f>
        <v>32000000</v>
      </c>
      <c r="N23" s="578"/>
      <c r="O23" s="578"/>
      <c r="P23" s="578"/>
      <c r="Q23" s="578"/>
      <c r="R23" s="578"/>
      <c r="S23" s="142">
        <f>G23*0.25</f>
        <v>1</v>
      </c>
      <c r="T23" s="142">
        <f>G23*0.25</f>
        <v>1</v>
      </c>
      <c r="U23" s="142">
        <f>G23*0.25</f>
        <v>1</v>
      </c>
      <c r="V23" s="142">
        <f>G23*0.25</f>
        <v>1</v>
      </c>
      <c r="W23" s="578">
        <f>S23*H23</f>
        <v>32000000</v>
      </c>
      <c r="X23" s="578">
        <f>T23*H23</f>
        <v>32000000</v>
      </c>
      <c r="Y23" s="578">
        <f>U23*H23</f>
        <v>32000000</v>
      </c>
      <c r="Z23" s="578">
        <f>V23*H23</f>
        <v>32000000</v>
      </c>
      <c r="AA23" s="585"/>
      <c r="AB23" s="224"/>
      <c r="AC23" s="585"/>
      <c r="AD23" s="224"/>
      <c r="AE23" s="585">
        <v>1</v>
      </c>
      <c r="AF23" s="224">
        <f t="shared" si="3"/>
        <v>8000000</v>
      </c>
      <c r="AG23" s="585">
        <v>1</v>
      </c>
      <c r="AH23" s="224">
        <f t="shared" si="4"/>
        <v>8000000</v>
      </c>
      <c r="AI23" s="585">
        <v>1</v>
      </c>
      <c r="AJ23" s="224">
        <f t="shared" si="5"/>
        <v>8000000</v>
      </c>
      <c r="AK23" s="585"/>
      <c r="AL23" s="224"/>
      <c r="AM23" s="585"/>
      <c r="AN23" s="224"/>
      <c r="AO23" s="585"/>
      <c r="AP23" s="224"/>
      <c r="AQ23" s="585"/>
      <c r="AR23" s="224"/>
      <c r="AS23" s="585"/>
      <c r="AT23" s="224"/>
      <c r="AU23" s="585"/>
      <c r="AV23" s="224"/>
      <c r="AW23" s="585"/>
      <c r="AX23" s="224"/>
      <c r="AY23" s="585"/>
      <c r="AZ23" s="224"/>
      <c r="BA23" s="585"/>
      <c r="BB23" s="224"/>
      <c r="BC23" s="585"/>
      <c r="BD23" s="224"/>
      <c r="BE23" s="585"/>
      <c r="BF23" s="224"/>
      <c r="BG23" s="585">
        <v>1</v>
      </c>
      <c r="BH23" s="224">
        <f t="shared" si="17"/>
        <v>8000000</v>
      </c>
      <c r="BI23" s="585"/>
      <c r="BJ23" s="224"/>
      <c r="BK23" s="585">
        <f>AA23+AC23+AE23+AG23+AI23+AK23+AM23+AO23+AQ23+AS23+AU23+AW23+AY23+BA23+BC23+BE23+BG23+BI23</f>
        <v>4</v>
      </c>
      <c r="BL23" s="224">
        <f>AB23+AD23+AF23+AH23+AJ23+AL23+AN23+AP23+AR23+AT23+AV23+AX23+AZ23+BB23+BD23+BF23+BH23+BJ23</f>
        <v>32000000</v>
      </c>
      <c r="BM23" s="362" t="s">
        <v>559</v>
      </c>
      <c r="BN23" s="59"/>
      <c r="BO23" s="69">
        <f t="shared" si="28"/>
        <v>32000000</v>
      </c>
      <c r="BP23" s="69"/>
      <c r="BQ23" s="69"/>
      <c r="BR23" s="69"/>
      <c r="BS23" s="69">
        <f t="shared" si="21"/>
        <v>32000000</v>
      </c>
      <c r="BT23" s="69"/>
      <c r="BU23" s="69"/>
      <c r="BV23" s="69"/>
      <c r="BW23" s="108">
        <f t="shared" si="25"/>
        <v>32000000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</row>
    <row r="24" spans="1:160" s="60" customFormat="1">
      <c r="A24" s="841"/>
      <c r="B24" s="386"/>
      <c r="C24" s="80"/>
      <c r="D24" s="323" t="s">
        <v>790</v>
      </c>
      <c r="E24" s="362" t="s">
        <v>326</v>
      </c>
      <c r="F24" s="312" t="s">
        <v>474</v>
      </c>
      <c r="G24" s="92">
        <f>BK24</f>
        <v>20</v>
      </c>
      <c r="H24" s="142">
        <f>G24*F24</f>
        <v>10000000</v>
      </c>
      <c r="I24" s="578"/>
      <c r="J24" s="578"/>
      <c r="K24" s="578"/>
      <c r="L24" s="578">
        <f>H24</f>
        <v>10000000</v>
      </c>
      <c r="M24" s="578"/>
      <c r="N24" s="578"/>
      <c r="O24" s="578"/>
      <c r="P24" s="578"/>
      <c r="Q24" s="578"/>
      <c r="R24" s="578"/>
      <c r="S24" s="142">
        <f>G24*0.25</f>
        <v>5</v>
      </c>
      <c r="T24" s="142">
        <f>G24*0.25</f>
        <v>5</v>
      </c>
      <c r="U24" s="142">
        <f>G24*0.25</f>
        <v>5</v>
      </c>
      <c r="V24" s="142">
        <f>G24*0.25</f>
        <v>5</v>
      </c>
      <c r="W24" s="578">
        <f>S24*H24</f>
        <v>50000000</v>
      </c>
      <c r="X24" s="578">
        <f>T24*H24</f>
        <v>50000000</v>
      </c>
      <c r="Y24" s="578">
        <f>U24*H24</f>
        <v>50000000</v>
      </c>
      <c r="Z24" s="578">
        <f>V24*H24</f>
        <v>50000000</v>
      </c>
      <c r="AA24" s="585">
        <v>1</v>
      </c>
      <c r="AB24" s="224">
        <f t="shared" si="1"/>
        <v>500000</v>
      </c>
      <c r="AC24" s="585">
        <v>1</v>
      </c>
      <c r="AD24" s="224">
        <f t="shared" si="2"/>
        <v>500000</v>
      </c>
      <c r="AE24" s="585">
        <v>1</v>
      </c>
      <c r="AF24" s="224">
        <f t="shared" si="3"/>
        <v>500000</v>
      </c>
      <c r="AG24" s="585">
        <v>1</v>
      </c>
      <c r="AH24" s="224">
        <f t="shared" si="4"/>
        <v>500000</v>
      </c>
      <c r="AI24" s="585">
        <v>1</v>
      </c>
      <c r="AJ24" s="224">
        <f t="shared" si="5"/>
        <v>500000</v>
      </c>
      <c r="AK24" s="585">
        <v>1</v>
      </c>
      <c r="AL24" s="224">
        <f t="shared" si="6"/>
        <v>500000</v>
      </c>
      <c r="AM24" s="585">
        <v>1</v>
      </c>
      <c r="AN24" s="224">
        <f t="shared" si="7"/>
        <v>500000</v>
      </c>
      <c r="AO24" s="585">
        <v>1</v>
      </c>
      <c r="AP24" s="224">
        <f t="shared" si="8"/>
        <v>500000</v>
      </c>
      <c r="AQ24" s="585">
        <v>1</v>
      </c>
      <c r="AR24" s="224">
        <f t="shared" si="9"/>
        <v>500000</v>
      </c>
      <c r="AS24" s="585">
        <v>1</v>
      </c>
      <c r="AT24" s="224">
        <f t="shared" si="10"/>
        <v>500000</v>
      </c>
      <c r="AU24" s="585">
        <v>1</v>
      </c>
      <c r="AV24" s="224">
        <f t="shared" si="11"/>
        <v>500000</v>
      </c>
      <c r="AW24" s="585">
        <v>1</v>
      </c>
      <c r="AX24" s="224">
        <f t="shared" si="12"/>
        <v>500000</v>
      </c>
      <c r="AY24" s="585">
        <v>1</v>
      </c>
      <c r="AZ24" s="224">
        <f t="shared" si="13"/>
        <v>500000</v>
      </c>
      <c r="BA24" s="585">
        <v>1</v>
      </c>
      <c r="BB24" s="224">
        <f t="shared" si="14"/>
        <v>500000</v>
      </c>
      <c r="BC24" s="585">
        <v>2</v>
      </c>
      <c r="BD24" s="224">
        <f t="shared" si="15"/>
        <v>1000000</v>
      </c>
      <c r="BE24" s="585">
        <v>2</v>
      </c>
      <c r="BF24" s="224">
        <f t="shared" si="16"/>
        <v>1000000</v>
      </c>
      <c r="BG24" s="585">
        <v>2</v>
      </c>
      <c r="BH24" s="224">
        <f t="shared" si="17"/>
        <v>1000000</v>
      </c>
      <c r="BI24" s="585">
        <v>0</v>
      </c>
      <c r="BJ24" s="224">
        <f t="shared" si="18"/>
        <v>0</v>
      </c>
      <c r="BK24" s="585">
        <f t="shared" si="19"/>
        <v>20</v>
      </c>
      <c r="BL24" s="224">
        <f t="shared" si="20"/>
        <v>10000000</v>
      </c>
      <c r="BM24" s="362" t="s">
        <v>560</v>
      </c>
      <c r="BN24" s="59"/>
      <c r="BO24" s="69">
        <f t="shared" si="28"/>
        <v>10000000</v>
      </c>
      <c r="BP24" s="69"/>
      <c r="BQ24" s="69"/>
      <c r="BR24" s="69"/>
      <c r="BS24" s="69">
        <f t="shared" si="21"/>
        <v>10000000</v>
      </c>
      <c r="BT24" s="69"/>
      <c r="BU24" s="69"/>
      <c r="BV24" s="69">
        <f>BT24+BU24</f>
        <v>0</v>
      </c>
      <c r="BW24" s="108">
        <f t="shared" si="25"/>
        <v>10000000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</row>
    <row r="25" spans="1:160" s="428" customFormat="1">
      <c r="A25" s="841"/>
      <c r="B25" s="423"/>
      <c r="C25" s="426"/>
      <c r="D25" s="336" t="s">
        <v>549</v>
      </c>
      <c r="E25" s="439" t="s">
        <v>121</v>
      </c>
      <c r="F25" s="440"/>
      <c r="G25" s="590">
        <f>SUM(G20:G24)</f>
        <v>167</v>
      </c>
      <c r="H25" s="590">
        <f t="shared" ref="H25:BL25" si="29">SUM(H20:H24)</f>
        <v>164400000</v>
      </c>
      <c r="I25" s="590">
        <f t="shared" si="29"/>
        <v>0</v>
      </c>
      <c r="J25" s="590">
        <f t="shared" si="29"/>
        <v>0</v>
      </c>
      <c r="K25" s="590">
        <f t="shared" si="29"/>
        <v>0</v>
      </c>
      <c r="L25" s="590">
        <f t="shared" si="29"/>
        <v>10000000</v>
      </c>
      <c r="M25" s="590">
        <f t="shared" si="29"/>
        <v>154400000</v>
      </c>
      <c r="N25" s="590">
        <f t="shared" si="29"/>
        <v>0</v>
      </c>
      <c r="O25" s="590">
        <f t="shared" si="29"/>
        <v>0</v>
      </c>
      <c r="P25" s="590">
        <f t="shared" si="29"/>
        <v>0</v>
      </c>
      <c r="Q25" s="590">
        <f t="shared" si="29"/>
        <v>0</v>
      </c>
      <c r="R25" s="590">
        <f t="shared" si="29"/>
        <v>0</v>
      </c>
      <c r="S25" s="590">
        <f t="shared" si="29"/>
        <v>41.75</v>
      </c>
      <c r="T25" s="590">
        <f t="shared" si="29"/>
        <v>41.75</v>
      </c>
      <c r="U25" s="590">
        <f t="shared" si="29"/>
        <v>41.75</v>
      </c>
      <c r="V25" s="590">
        <f t="shared" si="29"/>
        <v>41.75</v>
      </c>
      <c r="W25" s="590">
        <f t="shared" si="29"/>
        <v>2363800000</v>
      </c>
      <c r="X25" s="590">
        <f t="shared" si="29"/>
        <v>2363800000</v>
      </c>
      <c r="Y25" s="590">
        <f t="shared" si="29"/>
        <v>2363800000</v>
      </c>
      <c r="Z25" s="590">
        <f t="shared" si="29"/>
        <v>2363800000</v>
      </c>
      <c r="AA25" s="590">
        <f t="shared" si="29"/>
        <v>11</v>
      </c>
      <c r="AB25" s="590">
        <f t="shared" si="29"/>
        <v>8500000</v>
      </c>
      <c r="AC25" s="590">
        <f t="shared" si="29"/>
        <v>12</v>
      </c>
      <c r="AD25" s="590">
        <f t="shared" si="29"/>
        <v>7300000</v>
      </c>
      <c r="AE25" s="590">
        <f t="shared" si="29"/>
        <v>23</v>
      </c>
      <c r="AF25" s="590">
        <f t="shared" si="29"/>
        <v>26100000</v>
      </c>
      <c r="AG25" s="590">
        <f t="shared" si="29"/>
        <v>20</v>
      </c>
      <c r="AH25" s="590">
        <f t="shared" si="29"/>
        <v>27700000</v>
      </c>
      <c r="AI25" s="590">
        <f t="shared" si="29"/>
        <v>15</v>
      </c>
      <c r="AJ25" s="590">
        <f t="shared" si="29"/>
        <v>17700000</v>
      </c>
      <c r="AK25" s="590">
        <f t="shared" si="29"/>
        <v>10</v>
      </c>
      <c r="AL25" s="590">
        <f t="shared" si="29"/>
        <v>8100000</v>
      </c>
      <c r="AM25" s="590">
        <f t="shared" si="29"/>
        <v>5</v>
      </c>
      <c r="AN25" s="590">
        <f t="shared" si="29"/>
        <v>2900000</v>
      </c>
      <c r="AO25" s="590">
        <f t="shared" si="29"/>
        <v>8</v>
      </c>
      <c r="AP25" s="590">
        <f t="shared" si="29"/>
        <v>7300000</v>
      </c>
      <c r="AQ25" s="590">
        <f t="shared" si="29"/>
        <v>4</v>
      </c>
      <c r="AR25" s="590">
        <f t="shared" si="29"/>
        <v>2500000</v>
      </c>
      <c r="AS25" s="590">
        <f t="shared" si="29"/>
        <v>10</v>
      </c>
      <c r="AT25" s="590">
        <f t="shared" si="29"/>
        <v>8900000</v>
      </c>
      <c r="AU25" s="590">
        <f t="shared" si="29"/>
        <v>5</v>
      </c>
      <c r="AV25" s="590">
        <f t="shared" si="29"/>
        <v>3700000</v>
      </c>
      <c r="AW25" s="590">
        <f t="shared" si="29"/>
        <v>8</v>
      </c>
      <c r="AX25" s="590">
        <f t="shared" si="29"/>
        <v>7300000</v>
      </c>
      <c r="AY25" s="590">
        <f t="shared" si="29"/>
        <v>5</v>
      </c>
      <c r="AZ25" s="590">
        <f t="shared" si="29"/>
        <v>3700000</v>
      </c>
      <c r="BA25" s="590">
        <f t="shared" si="29"/>
        <v>3</v>
      </c>
      <c r="BB25" s="590">
        <f t="shared" si="29"/>
        <v>1300000</v>
      </c>
      <c r="BC25" s="590">
        <f t="shared" si="29"/>
        <v>9</v>
      </c>
      <c r="BD25" s="590">
        <f t="shared" si="29"/>
        <v>7800000</v>
      </c>
      <c r="BE25" s="590">
        <f t="shared" si="29"/>
        <v>9</v>
      </c>
      <c r="BF25" s="590">
        <f t="shared" si="29"/>
        <v>7800000</v>
      </c>
      <c r="BG25" s="590">
        <f t="shared" si="29"/>
        <v>10</v>
      </c>
      <c r="BH25" s="590">
        <f t="shared" si="29"/>
        <v>15800000</v>
      </c>
      <c r="BI25" s="590">
        <f t="shared" si="29"/>
        <v>0</v>
      </c>
      <c r="BJ25" s="590">
        <f t="shared" si="29"/>
        <v>0</v>
      </c>
      <c r="BK25" s="590">
        <f t="shared" si="29"/>
        <v>167</v>
      </c>
      <c r="BL25" s="590">
        <f t="shared" si="29"/>
        <v>164400000</v>
      </c>
      <c r="BM25" s="590">
        <f t="shared" ref="BM25:BW25" si="30">SUM(BM20:BM24)</f>
        <v>0</v>
      </c>
      <c r="BN25" s="590">
        <f t="shared" si="30"/>
        <v>0</v>
      </c>
      <c r="BO25" s="590">
        <f t="shared" si="30"/>
        <v>164400000</v>
      </c>
      <c r="BP25" s="590">
        <f t="shared" si="30"/>
        <v>0</v>
      </c>
      <c r="BQ25" s="590">
        <f t="shared" si="30"/>
        <v>0</v>
      </c>
      <c r="BR25" s="590">
        <f t="shared" si="30"/>
        <v>0</v>
      </c>
      <c r="BS25" s="590">
        <f t="shared" si="30"/>
        <v>164400000</v>
      </c>
      <c r="BT25" s="590">
        <f t="shared" si="30"/>
        <v>0</v>
      </c>
      <c r="BU25" s="590">
        <f t="shared" si="30"/>
        <v>0</v>
      </c>
      <c r="BV25" s="590">
        <f t="shared" si="30"/>
        <v>0</v>
      </c>
      <c r="BW25" s="590">
        <f t="shared" si="30"/>
        <v>164400000</v>
      </c>
      <c r="BX25" s="369"/>
      <c r="BY25" s="369"/>
      <c r="BZ25" s="369"/>
      <c r="CA25" s="369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69"/>
      <c r="DG25" s="369"/>
      <c r="DH25" s="369"/>
      <c r="DI25" s="369"/>
      <c r="DJ25" s="369"/>
      <c r="DK25" s="369"/>
      <c r="DL25" s="369"/>
      <c r="DM25" s="369"/>
      <c r="DN25" s="369"/>
      <c r="DO25" s="369"/>
      <c r="DP25" s="369"/>
      <c r="DQ25" s="369"/>
      <c r="DR25" s="369"/>
      <c r="DS25" s="369"/>
      <c r="DT25" s="369"/>
      <c r="DU25" s="369"/>
      <c r="DV25" s="369"/>
      <c r="DW25" s="369"/>
      <c r="DX25" s="369"/>
      <c r="DY25" s="369"/>
      <c r="DZ25" s="369"/>
      <c r="EA25" s="369"/>
      <c r="EB25" s="369"/>
      <c r="EC25" s="369"/>
      <c r="ED25" s="369"/>
      <c r="EE25" s="369"/>
      <c r="EF25" s="369"/>
      <c r="EG25" s="369"/>
      <c r="EH25" s="369"/>
      <c r="EI25" s="369"/>
      <c r="EJ25" s="369"/>
      <c r="EK25" s="369"/>
      <c r="EL25" s="369"/>
      <c r="EM25" s="369"/>
      <c r="EN25" s="369"/>
      <c r="EO25" s="369"/>
      <c r="EP25" s="369"/>
      <c r="EQ25" s="369"/>
      <c r="ER25" s="369"/>
      <c r="ES25" s="369"/>
      <c r="ET25" s="369"/>
      <c r="EU25" s="369"/>
      <c r="EV25" s="369"/>
      <c r="EW25" s="369"/>
      <c r="EX25" s="369"/>
      <c r="EY25" s="369"/>
      <c r="EZ25" s="369"/>
      <c r="FA25" s="369"/>
      <c r="FB25" s="369"/>
      <c r="FC25" s="369"/>
      <c r="FD25" s="369"/>
    </row>
    <row r="26" spans="1:160" s="60" customFormat="1">
      <c r="A26" s="841"/>
      <c r="B26" s="386"/>
      <c r="C26" s="390"/>
      <c r="D26" s="332" t="s">
        <v>550</v>
      </c>
      <c r="E26" s="362"/>
      <c r="F26" s="312"/>
      <c r="G26" s="203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142"/>
      <c r="T26" s="142"/>
      <c r="U26" s="142"/>
      <c r="V26" s="142"/>
      <c r="W26" s="578"/>
      <c r="X26" s="578"/>
      <c r="Y26" s="578"/>
      <c r="Z26" s="578"/>
      <c r="AA26" s="585"/>
      <c r="AB26" s="224"/>
      <c r="AC26" s="585"/>
      <c r="AD26" s="224"/>
      <c r="AE26" s="585"/>
      <c r="AF26" s="224"/>
      <c r="AG26" s="585"/>
      <c r="AH26" s="224"/>
      <c r="AI26" s="585"/>
      <c r="AJ26" s="224"/>
      <c r="AK26" s="585"/>
      <c r="AL26" s="224"/>
      <c r="AM26" s="585"/>
      <c r="AN26" s="224"/>
      <c r="AO26" s="585"/>
      <c r="AP26" s="224"/>
      <c r="AQ26" s="585"/>
      <c r="AR26" s="224"/>
      <c r="AS26" s="585"/>
      <c r="AT26" s="224"/>
      <c r="AU26" s="585"/>
      <c r="AV26" s="224"/>
      <c r="AW26" s="585"/>
      <c r="AX26" s="224"/>
      <c r="AY26" s="585"/>
      <c r="AZ26" s="224"/>
      <c r="BA26" s="585"/>
      <c r="BB26" s="224"/>
      <c r="BC26" s="585"/>
      <c r="BD26" s="224"/>
      <c r="BE26" s="585"/>
      <c r="BF26" s="224"/>
      <c r="BG26" s="585"/>
      <c r="BH26" s="224"/>
      <c r="BI26" s="585"/>
      <c r="BJ26" s="224"/>
      <c r="BK26" s="585"/>
      <c r="BL26" s="224"/>
      <c r="BM26" s="362"/>
      <c r="BN26" s="59"/>
      <c r="BO26" s="69">
        <f t="shared" ref="BO26:BO36" si="31">H26</f>
        <v>0</v>
      </c>
      <c r="BP26" s="69"/>
      <c r="BQ26" s="69">
        <f>H26</f>
        <v>0</v>
      </c>
      <c r="BR26" s="69"/>
      <c r="BS26" s="69">
        <f t="shared" ref="BS26:BS40" si="32">BO26+BP26+BQ26+BR26</f>
        <v>0</v>
      </c>
      <c r="BT26" s="69"/>
      <c r="BU26" s="69"/>
      <c r="BV26" s="69">
        <f t="shared" ref="BV26:BV37" si="33">BT26+BU26</f>
        <v>0</v>
      </c>
      <c r="BW26" s="108">
        <f t="shared" si="25"/>
        <v>0</v>
      </c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</row>
    <row r="27" spans="1:160" s="623" customFormat="1">
      <c r="A27" s="841"/>
      <c r="B27" s="386"/>
      <c r="C27" s="385"/>
      <c r="D27" s="323" t="s">
        <v>102</v>
      </c>
      <c r="E27" s="362" t="s">
        <v>98</v>
      </c>
      <c r="F27" s="312" t="s">
        <v>474</v>
      </c>
      <c r="G27" s="203">
        <f>BK27</f>
        <v>1</v>
      </c>
      <c r="H27" s="578">
        <f>G27*F27</f>
        <v>500000</v>
      </c>
      <c r="I27" s="578"/>
      <c r="J27" s="578"/>
      <c r="K27" s="578"/>
      <c r="L27" s="578"/>
      <c r="M27" s="578">
        <f>H27</f>
        <v>500000</v>
      </c>
      <c r="N27" s="578"/>
      <c r="O27" s="578"/>
      <c r="P27" s="578"/>
      <c r="Q27" s="578"/>
      <c r="R27" s="578"/>
      <c r="S27" s="142">
        <f>G27*0.25</f>
        <v>0.25</v>
      </c>
      <c r="T27" s="142">
        <f>G27*0.25</f>
        <v>0.25</v>
      </c>
      <c r="U27" s="142">
        <f>G27*0.25</f>
        <v>0.25</v>
      </c>
      <c r="V27" s="142">
        <f>G27*0.25</f>
        <v>0.25</v>
      </c>
      <c r="W27" s="578">
        <f>S27*H27</f>
        <v>125000</v>
      </c>
      <c r="X27" s="578">
        <f>T27*H27</f>
        <v>125000</v>
      </c>
      <c r="Y27" s="578">
        <f>U27*H27</f>
        <v>125000</v>
      </c>
      <c r="Z27" s="578">
        <f>V27*H27</f>
        <v>125000</v>
      </c>
      <c r="AA27" s="585"/>
      <c r="AB27" s="224">
        <f t="shared" si="1"/>
        <v>0</v>
      </c>
      <c r="AC27" s="585">
        <v>1</v>
      </c>
      <c r="AD27" s="224">
        <f t="shared" si="2"/>
        <v>500000</v>
      </c>
      <c r="AE27" s="585"/>
      <c r="AF27" s="224">
        <f t="shared" si="3"/>
        <v>0</v>
      </c>
      <c r="AG27" s="585"/>
      <c r="AH27" s="224">
        <f t="shared" si="4"/>
        <v>0</v>
      </c>
      <c r="AI27" s="585"/>
      <c r="AJ27" s="224">
        <f t="shared" si="5"/>
        <v>0</v>
      </c>
      <c r="AK27" s="585"/>
      <c r="AL27" s="224">
        <f t="shared" si="6"/>
        <v>0</v>
      </c>
      <c r="AM27" s="585"/>
      <c r="AN27" s="224">
        <f t="shared" si="7"/>
        <v>0</v>
      </c>
      <c r="AO27" s="585"/>
      <c r="AP27" s="224">
        <f t="shared" si="8"/>
        <v>0</v>
      </c>
      <c r="AQ27" s="585"/>
      <c r="AR27" s="224">
        <f t="shared" si="9"/>
        <v>0</v>
      </c>
      <c r="AS27" s="585"/>
      <c r="AT27" s="224">
        <f t="shared" si="10"/>
        <v>0</v>
      </c>
      <c r="AU27" s="585"/>
      <c r="AV27" s="224">
        <f t="shared" si="11"/>
        <v>0</v>
      </c>
      <c r="AW27" s="585"/>
      <c r="AX27" s="224">
        <f t="shared" si="12"/>
        <v>0</v>
      </c>
      <c r="AY27" s="585"/>
      <c r="AZ27" s="224">
        <f t="shared" si="13"/>
        <v>0</v>
      </c>
      <c r="BA27" s="585"/>
      <c r="BB27" s="224">
        <f t="shared" si="14"/>
        <v>0</v>
      </c>
      <c r="BC27" s="585"/>
      <c r="BD27" s="224">
        <f t="shared" si="15"/>
        <v>0</v>
      </c>
      <c r="BE27" s="585"/>
      <c r="BF27" s="224">
        <f t="shared" si="16"/>
        <v>0</v>
      </c>
      <c r="BG27" s="585"/>
      <c r="BH27" s="224">
        <f t="shared" si="17"/>
        <v>0</v>
      </c>
      <c r="BI27" s="585"/>
      <c r="BJ27" s="224">
        <f t="shared" si="18"/>
        <v>0</v>
      </c>
      <c r="BK27" s="585">
        <f t="shared" si="19"/>
        <v>1</v>
      </c>
      <c r="BL27" s="224">
        <f t="shared" si="20"/>
        <v>500000</v>
      </c>
      <c r="BM27" s="362" t="s">
        <v>403</v>
      </c>
      <c r="BN27" s="59"/>
      <c r="BO27" s="69">
        <f t="shared" si="31"/>
        <v>500000</v>
      </c>
      <c r="BP27" s="69"/>
      <c r="BQ27" s="69"/>
      <c r="BR27" s="69"/>
      <c r="BS27" s="69">
        <f t="shared" si="32"/>
        <v>500000</v>
      </c>
      <c r="BT27" s="69"/>
      <c r="BU27" s="69"/>
      <c r="BV27" s="69">
        <f t="shared" si="33"/>
        <v>0</v>
      </c>
      <c r="BW27" s="108">
        <f t="shared" si="25"/>
        <v>500000</v>
      </c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</row>
    <row r="28" spans="1:160" s="623" customFormat="1">
      <c r="A28" s="842"/>
      <c r="B28" s="391"/>
      <c r="C28" s="385"/>
      <c r="D28" s="323" t="s">
        <v>772</v>
      </c>
      <c r="E28" s="362" t="s">
        <v>326</v>
      </c>
      <c r="F28" s="312">
        <v>20000</v>
      </c>
      <c r="G28" s="203">
        <f>BK28</f>
        <v>100</v>
      </c>
      <c r="H28" s="578">
        <f>G28*F28</f>
        <v>2000000</v>
      </c>
      <c r="I28" s="578"/>
      <c r="J28" s="578"/>
      <c r="K28" s="578"/>
      <c r="L28" s="578"/>
      <c r="M28" s="578">
        <f>H28</f>
        <v>2000000</v>
      </c>
      <c r="N28" s="578"/>
      <c r="O28" s="578"/>
      <c r="P28" s="578"/>
      <c r="Q28" s="578"/>
      <c r="R28" s="578"/>
      <c r="S28" s="142">
        <f>G28*0.25</f>
        <v>25</v>
      </c>
      <c r="T28" s="142">
        <f>G28*0.25</f>
        <v>25</v>
      </c>
      <c r="U28" s="142">
        <f>G28*0.25</f>
        <v>25</v>
      </c>
      <c r="V28" s="142">
        <f>G28*0.25</f>
        <v>25</v>
      </c>
      <c r="W28" s="578">
        <f>S28*H28</f>
        <v>50000000</v>
      </c>
      <c r="X28" s="578">
        <f>T28*H28</f>
        <v>50000000</v>
      </c>
      <c r="Y28" s="578">
        <f>U28*H28</f>
        <v>50000000</v>
      </c>
      <c r="Z28" s="578">
        <f>V28*H28</f>
        <v>50000000</v>
      </c>
      <c r="AA28" s="585">
        <v>5</v>
      </c>
      <c r="AB28" s="224">
        <f t="shared" si="1"/>
        <v>100000</v>
      </c>
      <c r="AC28" s="585">
        <v>3</v>
      </c>
      <c r="AD28" s="224">
        <f t="shared" si="2"/>
        <v>60000</v>
      </c>
      <c r="AE28" s="585">
        <v>2</v>
      </c>
      <c r="AF28" s="224">
        <f t="shared" si="3"/>
        <v>40000</v>
      </c>
      <c r="AG28" s="585">
        <v>10</v>
      </c>
      <c r="AH28" s="224">
        <f t="shared" si="4"/>
        <v>200000</v>
      </c>
      <c r="AI28" s="585">
        <v>5</v>
      </c>
      <c r="AJ28" s="224">
        <f t="shared" si="5"/>
        <v>100000</v>
      </c>
      <c r="AK28" s="585">
        <v>5</v>
      </c>
      <c r="AL28" s="224">
        <f t="shared" si="6"/>
        <v>100000</v>
      </c>
      <c r="AM28" s="585">
        <v>10</v>
      </c>
      <c r="AN28" s="224">
        <f t="shared" si="7"/>
        <v>200000</v>
      </c>
      <c r="AO28" s="585">
        <v>5</v>
      </c>
      <c r="AP28" s="224">
        <f t="shared" si="8"/>
        <v>100000</v>
      </c>
      <c r="AQ28" s="585">
        <v>15</v>
      </c>
      <c r="AR28" s="224">
        <f t="shared" si="9"/>
        <v>300000</v>
      </c>
      <c r="AS28" s="585">
        <v>5</v>
      </c>
      <c r="AT28" s="224">
        <f t="shared" si="10"/>
        <v>100000</v>
      </c>
      <c r="AU28" s="585">
        <v>5</v>
      </c>
      <c r="AV28" s="224">
        <f t="shared" si="11"/>
        <v>100000</v>
      </c>
      <c r="AW28" s="585">
        <v>5</v>
      </c>
      <c r="AX28" s="224">
        <f t="shared" si="12"/>
        <v>100000</v>
      </c>
      <c r="AY28" s="585">
        <v>5</v>
      </c>
      <c r="AZ28" s="224">
        <f t="shared" si="13"/>
        <v>100000</v>
      </c>
      <c r="BA28" s="585">
        <v>5</v>
      </c>
      <c r="BB28" s="224">
        <f t="shared" si="14"/>
        <v>100000</v>
      </c>
      <c r="BC28" s="585">
        <v>5</v>
      </c>
      <c r="BD28" s="224">
        <f t="shared" si="15"/>
        <v>100000</v>
      </c>
      <c r="BE28" s="585">
        <v>5</v>
      </c>
      <c r="BF28" s="224">
        <f t="shared" si="16"/>
        <v>100000</v>
      </c>
      <c r="BG28" s="585">
        <v>5</v>
      </c>
      <c r="BH28" s="224">
        <f t="shared" si="17"/>
        <v>100000</v>
      </c>
      <c r="BI28" s="585">
        <v>0</v>
      </c>
      <c r="BJ28" s="224">
        <f>BI28*F28</f>
        <v>0</v>
      </c>
      <c r="BK28" s="585">
        <f>AA28+AC28+AE28+AG28+AI28+AK28+AM28+AO28+AQ28+AS28+AU28+AW28+AY28+BA28+BC28+BE28+BG28+BI28</f>
        <v>100</v>
      </c>
      <c r="BL28" s="224">
        <f>AB28+AD28+AF28+AH28+AJ28+AL28+AN28+AP28+AR28+AT28+AV28+AX28+AZ28+BB28+BD28+BF28+BH28+BJ28</f>
        <v>2000000</v>
      </c>
      <c r="BM28" s="362" t="s">
        <v>403</v>
      </c>
      <c r="BN28" s="59"/>
      <c r="BO28" s="69"/>
      <c r="BP28" s="69">
        <f>BL28</f>
        <v>2000000</v>
      </c>
      <c r="BQ28" s="69"/>
      <c r="BR28" s="69"/>
      <c r="BS28" s="69">
        <f t="shared" si="32"/>
        <v>2000000</v>
      </c>
      <c r="BT28" s="69"/>
      <c r="BU28" s="69"/>
      <c r="BV28" s="69">
        <f t="shared" si="33"/>
        <v>0</v>
      </c>
      <c r="BW28" s="108">
        <f t="shared" si="25"/>
        <v>2000000</v>
      </c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</row>
    <row r="29" spans="1:160" s="623" customFormat="1" ht="31.5">
      <c r="A29" s="842"/>
      <c r="B29" s="391"/>
      <c r="C29" s="385"/>
      <c r="D29" s="503" t="s">
        <v>784</v>
      </c>
      <c r="E29" s="362" t="s">
        <v>326</v>
      </c>
      <c r="F29" s="312">
        <v>20000</v>
      </c>
      <c r="G29" s="203">
        <f>BK29</f>
        <v>535</v>
      </c>
      <c r="H29" s="578">
        <f>G29*F29</f>
        <v>10700000</v>
      </c>
      <c r="I29" s="578">
        <f>H29*0.2</f>
        <v>2140000</v>
      </c>
      <c r="J29" s="578">
        <f>H29*0.8</f>
        <v>8560000</v>
      </c>
      <c r="K29" s="578"/>
      <c r="L29" s="578"/>
      <c r="M29" s="578"/>
      <c r="N29" s="578"/>
      <c r="O29" s="578"/>
      <c r="P29" s="578"/>
      <c r="Q29" s="578"/>
      <c r="R29" s="578"/>
      <c r="S29" s="142">
        <f>G29*0.25</f>
        <v>133.75</v>
      </c>
      <c r="T29" s="142">
        <f>G29*0.25</f>
        <v>133.75</v>
      </c>
      <c r="U29" s="142">
        <f>G29*0.25</f>
        <v>133.75</v>
      </c>
      <c r="V29" s="142">
        <f>G29*0.25</f>
        <v>133.75</v>
      </c>
      <c r="W29" s="578">
        <f>S29*H29</f>
        <v>1431125000</v>
      </c>
      <c r="X29" s="578">
        <f>T29*H29</f>
        <v>1431125000</v>
      </c>
      <c r="Y29" s="578">
        <f>U29*H29</f>
        <v>1431125000</v>
      </c>
      <c r="Z29" s="578">
        <f>V29*H29</f>
        <v>1431125000</v>
      </c>
      <c r="AA29" s="585">
        <v>25</v>
      </c>
      <c r="AB29" s="224">
        <f t="shared" si="1"/>
        <v>500000</v>
      </c>
      <c r="AC29" s="585">
        <v>15</v>
      </c>
      <c r="AD29" s="224">
        <f t="shared" si="2"/>
        <v>300000</v>
      </c>
      <c r="AE29" s="585">
        <v>25</v>
      </c>
      <c r="AF29" s="224">
        <f t="shared" si="3"/>
        <v>500000</v>
      </c>
      <c r="AG29" s="585">
        <v>30</v>
      </c>
      <c r="AH29" s="224">
        <f t="shared" si="4"/>
        <v>600000</v>
      </c>
      <c r="AI29" s="585">
        <v>15</v>
      </c>
      <c r="AJ29" s="224">
        <f t="shared" si="5"/>
        <v>300000</v>
      </c>
      <c r="AK29" s="585">
        <v>20</v>
      </c>
      <c r="AL29" s="224">
        <f t="shared" si="6"/>
        <v>400000</v>
      </c>
      <c r="AM29" s="585">
        <v>25</v>
      </c>
      <c r="AN29" s="224">
        <f t="shared" si="7"/>
        <v>500000</v>
      </c>
      <c r="AO29" s="585">
        <v>60</v>
      </c>
      <c r="AP29" s="224">
        <f t="shared" si="8"/>
        <v>1200000</v>
      </c>
      <c r="AQ29" s="585">
        <v>10</v>
      </c>
      <c r="AR29" s="224">
        <f t="shared" si="9"/>
        <v>200000</v>
      </c>
      <c r="AS29" s="585">
        <v>25</v>
      </c>
      <c r="AT29" s="224">
        <f t="shared" si="10"/>
        <v>500000</v>
      </c>
      <c r="AU29" s="585">
        <v>30</v>
      </c>
      <c r="AV29" s="224">
        <f t="shared" si="11"/>
        <v>600000</v>
      </c>
      <c r="AW29" s="585">
        <v>25</v>
      </c>
      <c r="AX29" s="224">
        <f t="shared" si="12"/>
        <v>500000</v>
      </c>
      <c r="AY29" s="585">
        <v>30</v>
      </c>
      <c r="AZ29" s="224">
        <f t="shared" si="13"/>
        <v>600000</v>
      </c>
      <c r="BA29" s="585">
        <v>25</v>
      </c>
      <c r="BB29" s="224">
        <f t="shared" si="14"/>
        <v>500000</v>
      </c>
      <c r="BC29" s="585">
        <v>60</v>
      </c>
      <c r="BD29" s="224">
        <f t="shared" si="15"/>
        <v>1200000</v>
      </c>
      <c r="BE29" s="585">
        <v>90</v>
      </c>
      <c r="BF29" s="224">
        <f t="shared" si="16"/>
        <v>1800000</v>
      </c>
      <c r="BG29" s="585">
        <v>25</v>
      </c>
      <c r="BH29" s="224">
        <f t="shared" si="17"/>
        <v>500000</v>
      </c>
      <c r="BI29" s="585">
        <v>0</v>
      </c>
      <c r="BJ29" s="224">
        <f>BI29*F29</f>
        <v>0</v>
      </c>
      <c r="BK29" s="585">
        <f>AA29+AC29+AE29+AG29+AI29+AK29+AM29+AO29+AQ29+AS29+AU29+AW29+AY29+BA29+BC29+BE29+BG29+BI29</f>
        <v>535</v>
      </c>
      <c r="BL29" s="224">
        <f>AB29+AD29+AF29+AH29+AJ29+AL29+AN29+AP29+AR29+AT29+AV29+AX29+AZ29+BB29+BD29+BF29+BH29+BJ29</f>
        <v>10700000</v>
      </c>
      <c r="BM29" s="362" t="s">
        <v>785</v>
      </c>
      <c r="BN29" s="59"/>
      <c r="BO29" s="69"/>
      <c r="BP29" s="69"/>
      <c r="BQ29" s="69">
        <f>BL29</f>
        <v>10700000</v>
      </c>
      <c r="BR29" s="69"/>
      <c r="BS29" s="69">
        <f t="shared" si="32"/>
        <v>10700000</v>
      </c>
      <c r="BT29" s="69"/>
      <c r="BU29" s="69"/>
      <c r="BV29" s="69">
        <f t="shared" si="33"/>
        <v>0</v>
      </c>
      <c r="BW29" s="108">
        <f t="shared" si="25"/>
        <v>10700000</v>
      </c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</row>
    <row r="30" spans="1:160" s="623" customFormat="1">
      <c r="A30" s="842"/>
      <c r="B30" s="391"/>
      <c r="C30" s="385"/>
      <c r="D30" s="323" t="s">
        <v>808</v>
      </c>
      <c r="E30" s="362" t="s">
        <v>98</v>
      </c>
      <c r="F30" s="312" t="s">
        <v>474</v>
      </c>
      <c r="G30" s="203">
        <f>BK30</f>
        <v>102</v>
      </c>
      <c r="H30" s="578">
        <f>G30*F30</f>
        <v>51000000</v>
      </c>
      <c r="I30" s="578"/>
      <c r="J30" s="578"/>
      <c r="K30" s="578"/>
      <c r="L30" s="578">
        <f>H30*1</f>
        <v>51000000</v>
      </c>
      <c r="M30" s="578"/>
      <c r="N30" s="578"/>
      <c r="O30" s="578"/>
      <c r="P30" s="578"/>
      <c r="Q30" s="578"/>
      <c r="R30" s="578"/>
      <c r="S30" s="588">
        <f>G30*0.25</f>
        <v>25.5</v>
      </c>
      <c r="T30" s="142">
        <f>G30*0.25</f>
        <v>25.5</v>
      </c>
      <c r="U30" s="142">
        <f>G30*0.25</f>
        <v>25.5</v>
      </c>
      <c r="V30" s="142">
        <f>G30*0.25</f>
        <v>25.5</v>
      </c>
      <c r="W30" s="578">
        <f>S30*H30</f>
        <v>1300500000</v>
      </c>
      <c r="X30" s="578">
        <f>T30*H30</f>
        <v>1300500000</v>
      </c>
      <c r="Y30" s="578">
        <f>U30*H30</f>
        <v>1300500000</v>
      </c>
      <c r="Z30" s="578">
        <f>V30*H30</f>
        <v>1300500000</v>
      </c>
      <c r="AA30" s="585">
        <v>6</v>
      </c>
      <c r="AB30" s="224">
        <f t="shared" si="1"/>
        <v>3000000</v>
      </c>
      <c r="AC30" s="585">
        <v>6</v>
      </c>
      <c r="AD30" s="224">
        <f t="shared" si="2"/>
        <v>3000000</v>
      </c>
      <c r="AE30" s="585">
        <v>6</v>
      </c>
      <c r="AF30" s="224">
        <f t="shared" si="3"/>
        <v>3000000</v>
      </c>
      <c r="AG30" s="585">
        <v>6</v>
      </c>
      <c r="AH30" s="224">
        <f t="shared" si="4"/>
        <v>3000000</v>
      </c>
      <c r="AI30" s="585">
        <v>6</v>
      </c>
      <c r="AJ30" s="224">
        <f t="shared" si="5"/>
        <v>3000000</v>
      </c>
      <c r="AK30" s="585">
        <v>6</v>
      </c>
      <c r="AL30" s="224">
        <f t="shared" si="6"/>
        <v>3000000</v>
      </c>
      <c r="AM30" s="585">
        <v>6</v>
      </c>
      <c r="AN30" s="224">
        <f t="shared" si="7"/>
        <v>3000000</v>
      </c>
      <c r="AO30" s="585">
        <v>6</v>
      </c>
      <c r="AP30" s="224">
        <f t="shared" si="8"/>
        <v>3000000</v>
      </c>
      <c r="AQ30" s="585">
        <v>6</v>
      </c>
      <c r="AR30" s="224">
        <f t="shared" si="9"/>
        <v>3000000</v>
      </c>
      <c r="AS30" s="585">
        <v>6</v>
      </c>
      <c r="AT30" s="224">
        <f t="shared" si="10"/>
        <v>3000000</v>
      </c>
      <c r="AU30" s="585">
        <v>6</v>
      </c>
      <c r="AV30" s="224">
        <f t="shared" si="11"/>
        <v>3000000</v>
      </c>
      <c r="AW30" s="585">
        <v>6</v>
      </c>
      <c r="AX30" s="224">
        <f t="shared" si="12"/>
        <v>3000000</v>
      </c>
      <c r="AY30" s="585">
        <v>6</v>
      </c>
      <c r="AZ30" s="224">
        <f t="shared" si="13"/>
        <v>3000000</v>
      </c>
      <c r="BA30" s="585">
        <v>6</v>
      </c>
      <c r="BB30" s="224">
        <f t="shared" si="14"/>
        <v>3000000</v>
      </c>
      <c r="BC30" s="585">
        <v>6</v>
      </c>
      <c r="BD30" s="224">
        <f t="shared" si="15"/>
        <v>3000000</v>
      </c>
      <c r="BE30" s="585">
        <v>6</v>
      </c>
      <c r="BF30" s="224">
        <f t="shared" si="16"/>
        <v>3000000</v>
      </c>
      <c r="BG30" s="585">
        <v>6</v>
      </c>
      <c r="BH30" s="224">
        <f t="shared" si="17"/>
        <v>3000000</v>
      </c>
      <c r="BI30" s="585">
        <v>0</v>
      </c>
      <c r="BJ30" s="224">
        <f>BI30*F30</f>
        <v>0</v>
      </c>
      <c r="BK30" s="585">
        <f t="shared" si="19"/>
        <v>102</v>
      </c>
      <c r="BL30" s="224">
        <f t="shared" si="20"/>
        <v>51000000</v>
      </c>
      <c r="BM30" s="362" t="s">
        <v>560</v>
      </c>
      <c r="BN30" s="59"/>
      <c r="BO30" s="69">
        <f t="shared" si="31"/>
        <v>51000000</v>
      </c>
      <c r="BP30" s="69"/>
      <c r="BQ30" s="69"/>
      <c r="BR30" s="69"/>
      <c r="BS30" s="69">
        <f t="shared" si="32"/>
        <v>51000000</v>
      </c>
      <c r="BT30" s="69"/>
      <c r="BU30" s="69"/>
      <c r="BV30" s="69">
        <f t="shared" si="33"/>
        <v>0</v>
      </c>
      <c r="BW30" s="108">
        <f t="shared" si="25"/>
        <v>51000000</v>
      </c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</row>
    <row r="31" spans="1:160" s="428" customFormat="1">
      <c r="A31" s="842"/>
      <c r="B31" s="425"/>
      <c r="C31" s="426"/>
      <c r="D31" s="336" t="s">
        <v>551</v>
      </c>
      <c r="E31" s="364" t="s">
        <v>121</v>
      </c>
      <c r="F31" s="347"/>
      <c r="G31" s="365">
        <f>SUM(G27:G30)</f>
        <v>738</v>
      </c>
      <c r="H31" s="365">
        <f t="shared" ref="H31:BS31" si="34">SUM(H27:H30)</f>
        <v>64200000</v>
      </c>
      <c r="I31" s="365">
        <f t="shared" si="34"/>
        <v>2140000</v>
      </c>
      <c r="J31" s="365">
        <f t="shared" si="34"/>
        <v>8560000</v>
      </c>
      <c r="K31" s="365">
        <f t="shared" si="34"/>
        <v>0</v>
      </c>
      <c r="L31" s="365">
        <f t="shared" si="34"/>
        <v>51000000</v>
      </c>
      <c r="M31" s="365">
        <f t="shared" si="34"/>
        <v>2500000</v>
      </c>
      <c r="N31" s="365">
        <f t="shared" si="34"/>
        <v>0</v>
      </c>
      <c r="O31" s="365">
        <f t="shared" si="34"/>
        <v>0</v>
      </c>
      <c r="P31" s="365">
        <f t="shared" si="34"/>
        <v>0</v>
      </c>
      <c r="Q31" s="365">
        <f t="shared" si="34"/>
        <v>0</v>
      </c>
      <c r="R31" s="365">
        <f t="shared" si="34"/>
        <v>0</v>
      </c>
      <c r="S31" s="365">
        <f t="shared" si="34"/>
        <v>184.5</v>
      </c>
      <c r="T31" s="365">
        <f t="shared" si="34"/>
        <v>184.5</v>
      </c>
      <c r="U31" s="365">
        <f t="shared" si="34"/>
        <v>184.5</v>
      </c>
      <c r="V31" s="365">
        <f t="shared" si="34"/>
        <v>184.5</v>
      </c>
      <c r="W31" s="365">
        <f t="shared" si="34"/>
        <v>2781750000</v>
      </c>
      <c r="X31" s="365">
        <f t="shared" si="34"/>
        <v>2781750000</v>
      </c>
      <c r="Y31" s="365">
        <f t="shared" si="34"/>
        <v>2781750000</v>
      </c>
      <c r="Z31" s="365">
        <f t="shared" si="34"/>
        <v>2781750000</v>
      </c>
      <c r="AA31" s="365">
        <f t="shared" si="34"/>
        <v>36</v>
      </c>
      <c r="AB31" s="365">
        <f t="shared" si="34"/>
        <v>3600000</v>
      </c>
      <c r="AC31" s="365">
        <f t="shared" si="34"/>
        <v>25</v>
      </c>
      <c r="AD31" s="365">
        <f t="shared" si="34"/>
        <v>3860000</v>
      </c>
      <c r="AE31" s="365">
        <f t="shared" si="34"/>
        <v>33</v>
      </c>
      <c r="AF31" s="365">
        <f t="shared" si="34"/>
        <v>3540000</v>
      </c>
      <c r="AG31" s="365">
        <f t="shared" si="34"/>
        <v>46</v>
      </c>
      <c r="AH31" s="365">
        <f t="shared" si="34"/>
        <v>3800000</v>
      </c>
      <c r="AI31" s="365">
        <f t="shared" si="34"/>
        <v>26</v>
      </c>
      <c r="AJ31" s="365">
        <f t="shared" si="34"/>
        <v>3400000</v>
      </c>
      <c r="AK31" s="365">
        <f t="shared" si="34"/>
        <v>31</v>
      </c>
      <c r="AL31" s="365">
        <f t="shared" si="34"/>
        <v>3500000</v>
      </c>
      <c r="AM31" s="365">
        <f t="shared" si="34"/>
        <v>41</v>
      </c>
      <c r="AN31" s="365">
        <f t="shared" si="34"/>
        <v>3700000</v>
      </c>
      <c r="AO31" s="365">
        <f t="shared" si="34"/>
        <v>71</v>
      </c>
      <c r="AP31" s="365">
        <f t="shared" si="34"/>
        <v>4300000</v>
      </c>
      <c r="AQ31" s="365">
        <f t="shared" si="34"/>
        <v>31</v>
      </c>
      <c r="AR31" s="365">
        <f t="shared" si="34"/>
        <v>3500000</v>
      </c>
      <c r="AS31" s="365">
        <f t="shared" si="34"/>
        <v>36</v>
      </c>
      <c r="AT31" s="365">
        <f t="shared" si="34"/>
        <v>3600000</v>
      </c>
      <c r="AU31" s="365">
        <f t="shared" si="34"/>
        <v>41</v>
      </c>
      <c r="AV31" s="365">
        <f t="shared" si="34"/>
        <v>3700000</v>
      </c>
      <c r="AW31" s="365">
        <f t="shared" si="34"/>
        <v>36</v>
      </c>
      <c r="AX31" s="365">
        <f t="shared" si="34"/>
        <v>3600000</v>
      </c>
      <c r="AY31" s="365">
        <f t="shared" si="34"/>
        <v>41</v>
      </c>
      <c r="AZ31" s="365">
        <f t="shared" si="34"/>
        <v>3700000</v>
      </c>
      <c r="BA31" s="365">
        <f t="shared" si="34"/>
        <v>36</v>
      </c>
      <c r="BB31" s="365">
        <f t="shared" si="34"/>
        <v>3600000</v>
      </c>
      <c r="BC31" s="365">
        <f t="shared" si="34"/>
        <v>71</v>
      </c>
      <c r="BD31" s="365">
        <f t="shared" si="34"/>
        <v>4300000</v>
      </c>
      <c r="BE31" s="365">
        <f t="shared" si="34"/>
        <v>101</v>
      </c>
      <c r="BF31" s="365">
        <f t="shared" si="34"/>
        <v>4900000</v>
      </c>
      <c r="BG31" s="365">
        <f t="shared" si="34"/>
        <v>36</v>
      </c>
      <c r="BH31" s="365">
        <f t="shared" si="34"/>
        <v>3600000</v>
      </c>
      <c r="BI31" s="365">
        <f t="shared" si="34"/>
        <v>0</v>
      </c>
      <c r="BJ31" s="365">
        <f t="shared" si="34"/>
        <v>0</v>
      </c>
      <c r="BK31" s="365">
        <f t="shared" si="34"/>
        <v>738</v>
      </c>
      <c r="BL31" s="365">
        <f t="shared" si="34"/>
        <v>64200000</v>
      </c>
      <c r="BM31" s="365">
        <f t="shared" si="34"/>
        <v>0</v>
      </c>
      <c r="BN31" s="365">
        <f t="shared" si="34"/>
        <v>0</v>
      </c>
      <c r="BO31" s="365">
        <f t="shared" si="34"/>
        <v>51500000</v>
      </c>
      <c r="BP31" s="365">
        <f t="shared" si="34"/>
        <v>2000000</v>
      </c>
      <c r="BQ31" s="365">
        <f t="shared" si="34"/>
        <v>10700000</v>
      </c>
      <c r="BR31" s="365">
        <f t="shared" si="34"/>
        <v>0</v>
      </c>
      <c r="BS31" s="365">
        <f t="shared" si="34"/>
        <v>64200000</v>
      </c>
      <c r="BT31" s="365">
        <f>SUM(BT27:BT30)</f>
        <v>0</v>
      </c>
      <c r="BU31" s="365">
        <f>SUM(BU27:BU30)</f>
        <v>0</v>
      </c>
      <c r="BV31" s="365">
        <f>SUM(BV27:BV30)</f>
        <v>0</v>
      </c>
      <c r="BW31" s="365">
        <f>SUM(BW27:BW30)</f>
        <v>64200000</v>
      </c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1"/>
      <c r="DP31" s="371"/>
      <c r="DQ31" s="371"/>
      <c r="DR31" s="371"/>
      <c r="DS31" s="371"/>
      <c r="DT31" s="371"/>
      <c r="DU31" s="371"/>
      <c r="DV31" s="371"/>
      <c r="DW31" s="371"/>
      <c r="DX31" s="371"/>
      <c r="DY31" s="371"/>
      <c r="DZ31" s="371"/>
      <c r="EA31" s="371"/>
      <c r="EB31" s="371"/>
      <c r="EC31" s="371"/>
      <c r="ED31" s="371"/>
      <c r="EE31" s="371"/>
      <c r="EF31" s="371"/>
      <c r="EG31" s="371"/>
      <c r="EH31" s="371"/>
      <c r="EI31" s="371"/>
      <c r="EJ31" s="371"/>
      <c r="EK31" s="371"/>
      <c r="EL31" s="371"/>
      <c r="EM31" s="371"/>
      <c r="EN31" s="371"/>
      <c r="EO31" s="371"/>
      <c r="EP31" s="371"/>
      <c r="EQ31" s="371"/>
      <c r="ER31" s="371"/>
      <c r="ES31" s="371"/>
      <c r="ET31" s="371"/>
      <c r="EU31" s="371"/>
      <c r="EV31" s="371"/>
      <c r="EW31" s="371"/>
      <c r="EX31" s="371"/>
      <c r="EY31" s="371"/>
      <c r="EZ31" s="371"/>
      <c r="FA31" s="371"/>
      <c r="FB31" s="371"/>
      <c r="FC31" s="371"/>
      <c r="FD31" s="371"/>
    </row>
    <row r="32" spans="1:160" s="623" customFormat="1">
      <c r="A32" s="842"/>
      <c r="B32" s="391"/>
      <c r="C32" s="385"/>
      <c r="D32" s="332" t="s">
        <v>552</v>
      </c>
      <c r="E32" s="362"/>
      <c r="F32" s="312"/>
      <c r="G32" s="614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142"/>
      <c r="T32" s="142"/>
      <c r="U32" s="142"/>
      <c r="V32" s="142"/>
      <c r="W32" s="578"/>
      <c r="X32" s="578"/>
      <c r="Y32" s="578"/>
      <c r="Z32" s="578"/>
      <c r="AA32" s="585"/>
      <c r="AB32" s="224"/>
      <c r="AC32" s="585"/>
      <c r="AD32" s="224"/>
      <c r="AE32" s="585"/>
      <c r="AF32" s="224"/>
      <c r="AG32" s="585"/>
      <c r="AH32" s="224"/>
      <c r="AI32" s="585"/>
      <c r="AJ32" s="224"/>
      <c r="AK32" s="585"/>
      <c r="AL32" s="224"/>
      <c r="AM32" s="585"/>
      <c r="AN32" s="224"/>
      <c r="AO32" s="585"/>
      <c r="AP32" s="224"/>
      <c r="AQ32" s="585"/>
      <c r="AR32" s="224"/>
      <c r="AS32" s="585"/>
      <c r="AT32" s="224"/>
      <c r="AU32" s="585"/>
      <c r="AV32" s="224"/>
      <c r="AW32" s="585"/>
      <c r="AX32" s="224"/>
      <c r="AY32" s="585"/>
      <c r="AZ32" s="224"/>
      <c r="BA32" s="585"/>
      <c r="BB32" s="224"/>
      <c r="BC32" s="585"/>
      <c r="BD32" s="224"/>
      <c r="BE32" s="585"/>
      <c r="BF32" s="224"/>
      <c r="BG32" s="585"/>
      <c r="BH32" s="224"/>
      <c r="BI32" s="585"/>
      <c r="BJ32" s="224"/>
      <c r="BK32" s="585"/>
      <c r="BL32" s="224"/>
      <c r="BM32" s="362"/>
      <c r="BN32" s="59"/>
      <c r="BO32" s="69">
        <f t="shared" si="31"/>
        <v>0</v>
      </c>
      <c r="BP32" s="69"/>
      <c r="BQ32" s="69"/>
      <c r="BR32" s="69"/>
      <c r="BS32" s="69">
        <f t="shared" si="32"/>
        <v>0</v>
      </c>
      <c r="BT32" s="69"/>
      <c r="BU32" s="69"/>
      <c r="BV32" s="69">
        <f t="shared" si="33"/>
        <v>0</v>
      </c>
      <c r="BW32" s="108">
        <f t="shared" si="25"/>
        <v>0</v>
      </c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</row>
    <row r="33" spans="1:160" s="623" customFormat="1">
      <c r="A33" s="842"/>
      <c r="B33" s="391"/>
      <c r="C33" s="385"/>
      <c r="D33" s="323" t="s">
        <v>103</v>
      </c>
      <c r="E33" s="377" t="s">
        <v>98</v>
      </c>
      <c r="F33" s="325" t="s">
        <v>474</v>
      </c>
      <c r="G33" s="203">
        <f>BK33</f>
        <v>0</v>
      </c>
      <c r="H33" s="578">
        <f>G33*F33</f>
        <v>0</v>
      </c>
      <c r="I33" s="578"/>
      <c r="J33" s="578"/>
      <c r="K33" s="578"/>
      <c r="L33" s="578"/>
      <c r="M33" s="578">
        <f>H33*1</f>
        <v>0</v>
      </c>
      <c r="N33" s="578"/>
      <c r="O33" s="578"/>
      <c r="P33" s="578"/>
      <c r="Q33" s="578"/>
      <c r="R33" s="578"/>
      <c r="S33" s="142">
        <f>G33*0.25</f>
        <v>0</v>
      </c>
      <c r="T33" s="142">
        <f>G33*0.25</f>
        <v>0</v>
      </c>
      <c r="U33" s="142">
        <f>G33*0.25</f>
        <v>0</v>
      </c>
      <c r="V33" s="142">
        <f>G33*0.25</f>
        <v>0</v>
      </c>
      <c r="W33" s="578">
        <f>S33*H33</f>
        <v>0</v>
      </c>
      <c r="X33" s="578">
        <f>T33*H33</f>
        <v>0</v>
      </c>
      <c r="Y33" s="578">
        <f>U33*H33</f>
        <v>0</v>
      </c>
      <c r="Z33" s="578">
        <f>V33*H33</f>
        <v>0</v>
      </c>
      <c r="AA33" s="585"/>
      <c r="AB33" s="224">
        <f t="shared" si="1"/>
        <v>0</v>
      </c>
      <c r="AC33" s="585">
        <v>0</v>
      </c>
      <c r="AD33" s="224">
        <f t="shared" si="2"/>
        <v>0</v>
      </c>
      <c r="AE33" s="585"/>
      <c r="AF33" s="224">
        <f t="shared" si="3"/>
        <v>0</v>
      </c>
      <c r="AG33" s="585"/>
      <c r="AH33" s="224">
        <f t="shared" si="4"/>
        <v>0</v>
      </c>
      <c r="AI33" s="585"/>
      <c r="AJ33" s="224">
        <f t="shared" si="5"/>
        <v>0</v>
      </c>
      <c r="AK33" s="585"/>
      <c r="AL33" s="224">
        <f t="shared" si="6"/>
        <v>0</v>
      </c>
      <c r="AM33" s="585"/>
      <c r="AN33" s="224">
        <f t="shared" si="7"/>
        <v>0</v>
      </c>
      <c r="AO33" s="585"/>
      <c r="AP33" s="224">
        <f t="shared" si="8"/>
        <v>0</v>
      </c>
      <c r="AQ33" s="585"/>
      <c r="AR33" s="224">
        <f t="shared" si="9"/>
        <v>0</v>
      </c>
      <c r="AS33" s="585"/>
      <c r="AT33" s="224">
        <f t="shared" si="10"/>
        <v>0</v>
      </c>
      <c r="AU33" s="585"/>
      <c r="AV33" s="224">
        <f t="shared" si="11"/>
        <v>0</v>
      </c>
      <c r="AW33" s="585"/>
      <c r="AX33" s="224">
        <f t="shared" si="12"/>
        <v>0</v>
      </c>
      <c r="AY33" s="585"/>
      <c r="AZ33" s="224">
        <f t="shared" si="13"/>
        <v>0</v>
      </c>
      <c r="BA33" s="585"/>
      <c r="BB33" s="224">
        <f t="shared" si="14"/>
        <v>0</v>
      </c>
      <c r="BC33" s="585"/>
      <c r="BD33" s="224">
        <f t="shared" si="15"/>
        <v>0</v>
      </c>
      <c r="BE33" s="585"/>
      <c r="BF33" s="224">
        <f t="shared" si="16"/>
        <v>0</v>
      </c>
      <c r="BG33" s="585"/>
      <c r="BH33" s="224">
        <f t="shared" si="17"/>
        <v>0</v>
      </c>
      <c r="BI33" s="585"/>
      <c r="BJ33" s="224">
        <f t="shared" si="18"/>
        <v>0</v>
      </c>
      <c r="BK33" s="585">
        <f t="shared" si="19"/>
        <v>0</v>
      </c>
      <c r="BL33" s="224">
        <f t="shared" si="20"/>
        <v>0</v>
      </c>
      <c r="BM33" s="377" t="s">
        <v>403</v>
      </c>
      <c r="BN33" s="59"/>
      <c r="BO33" s="69">
        <f t="shared" si="31"/>
        <v>0</v>
      </c>
      <c r="BP33" s="69"/>
      <c r="BQ33" s="69">
        <f>BL33</f>
        <v>0</v>
      </c>
      <c r="BR33" s="69"/>
      <c r="BS33" s="69">
        <f t="shared" si="32"/>
        <v>0</v>
      </c>
      <c r="BT33" s="69"/>
      <c r="BU33" s="69"/>
      <c r="BV33" s="69">
        <f t="shared" si="33"/>
        <v>0</v>
      </c>
      <c r="BW33" s="108">
        <f t="shared" si="25"/>
        <v>0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</row>
    <row r="34" spans="1:160" s="623" customFormat="1">
      <c r="A34" s="842"/>
      <c r="B34" s="391"/>
      <c r="C34" s="385"/>
      <c r="D34" s="323" t="s">
        <v>787</v>
      </c>
      <c r="E34" s="377" t="s">
        <v>98</v>
      </c>
      <c r="F34" s="325">
        <v>500000</v>
      </c>
      <c r="G34" s="203">
        <f>BK34</f>
        <v>34</v>
      </c>
      <c r="H34" s="578">
        <f>G34*F34</f>
        <v>17000000</v>
      </c>
      <c r="I34" s="578"/>
      <c r="J34" s="578"/>
      <c r="K34" s="578">
        <f>H34</f>
        <v>17000000</v>
      </c>
      <c r="L34" s="578"/>
      <c r="M34" s="578"/>
      <c r="N34" s="578"/>
      <c r="O34" s="578"/>
      <c r="P34" s="578"/>
      <c r="Q34" s="578"/>
      <c r="R34" s="578"/>
      <c r="S34" s="142">
        <f>G34*0.25</f>
        <v>8.5</v>
      </c>
      <c r="T34" s="142">
        <f>G34*0.25</f>
        <v>8.5</v>
      </c>
      <c r="U34" s="142">
        <f>G34*0.25</f>
        <v>8.5</v>
      </c>
      <c r="V34" s="142">
        <f>G34*0.25</f>
        <v>8.5</v>
      </c>
      <c r="W34" s="578">
        <f>S34*H34</f>
        <v>144500000</v>
      </c>
      <c r="X34" s="578">
        <f>T34*H34</f>
        <v>144500000</v>
      </c>
      <c r="Y34" s="578">
        <f>U34*H34</f>
        <v>144500000</v>
      </c>
      <c r="Z34" s="578">
        <f>V34*H34</f>
        <v>144500000</v>
      </c>
      <c r="AA34" s="585">
        <v>2</v>
      </c>
      <c r="AB34" s="224">
        <f t="shared" si="1"/>
        <v>1000000</v>
      </c>
      <c r="AC34" s="585">
        <v>2</v>
      </c>
      <c r="AD34" s="224">
        <f t="shared" si="2"/>
        <v>1000000</v>
      </c>
      <c r="AE34" s="585">
        <v>2</v>
      </c>
      <c r="AF34" s="224">
        <f t="shared" si="3"/>
        <v>1000000</v>
      </c>
      <c r="AG34" s="585">
        <v>2</v>
      </c>
      <c r="AH34" s="224">
        <f t="shared" si="4"/>
        <v>1000000</v>
      </c>
      <c r="AI34" s="585">
        <v>2</v>
      </c>
      <c r="AJ34" s="224">
        <f t="shared" si="5"/>
        <v>1000000</v>
      </c>
      <c r="AK34" s="585">
        <v>2</v>
      </c>
      <c r="AL34" s="224">
        <f t="shared" si="6"/>
        <v>1000000</v>
      </c>
      <c r="AM34" s="585">
        <v>2</v>
      </c>
      <c r="AN34" s="224">
        <f t="shared" si="7"/>
        <v>1000000</v>
      </c>
      <c r="AO34" s="585">
        <v>2</v>
      </c>
      <c r="AP34" s="224">
        <f t="shared" si="8"/>
        <v>1000000</v>
      </c>
      <c r="AQ34" s="585">
        <v>2</v>
      </c>
      <c r="AR34" s="224">
        <f t="shared" si="9"/>
        <v>1000000</v>
      </c>
      <c r="AS34" s="585">
        <v>2</v>
      </c>
      <c r="AT34" s="224">
        <f t="shared" si="10"/>
        <v>1000000</v>
      </c>
      <c r="AU34" s="585">
        <v>2</v>
      </c>
      <c r="AV34" s="224">
        <f t="shared" si="11"/>
        <v>1000000</v>
      </c>
      <c r="AW34" s="585">
        <v>2</v>
      </c>
      <c r="AX34" s="224">
        <f t="shared" si="12"/>
        <v>1000000</v>
      </c>
      <c r="AY34" s="585">
        <v>2</v>
      </c>
      <c r="AZ34" s="224">
        <f t="shared" si="13"/>
        <v>1000000</v>
      </c>
      <c r="BA34" s="585">
        <v>2</v>
      </c>
      <c r="BB34" s="224">
        <f t="shared" si="14"/>
        <v>1000000</v>
      </c>
      <c r="BC34" s="585">
        <v>2</v>
      </c>
      <c r="BD34" s="224">
        <f t="shared" si="15"/>
        <v>1000000</v>
      </c>
      <c r="BE34" s="585">
        <v>2</v>
      </c>
      <c r="BF34" s="224">
        <f t="shared" si="16"/>
        <v>1000000</v>
      </c>
      <c r="BG34" s="585">
        <v>2</v>
      </c>
      <c r="BH34" s="224">
        <f t="shared" si="17"/>
        <v>1000000</v>
      </c>
      <c r="BI34" s="585"/>
      <c r="BJ34" s="224"/>
      <c r="BK34" s="585">
        <f t="shared" si="19"/>
        <v>34</v>
      </c>
      <c r="BL34" s="224">
        <f t="shared" si="20"/>
        <v>17000000</v>
      </c>
      <c r="BM34" s="377" t="s">
        <v>760</v>
      </c>
      <c r="BN34" s="59"/>
      <c r="BO34" s="69">
        <f t="shared" si="31"/>
        <v>17000000</v>
      </c>
      <c r="BP34" s="69"/>
      <c r="BQ34" s="69"/>
      <c r="BR34" s="69"/>
      <c r="BS34" s="69">
        <f t="shared" si="32"/>
        <v>17000000</v>
      </c>
      <c r="BT34" s="69"/>
      <c r="BU34" s="69"/>
      <c r="BV34" s="69"/>
      <c r="BW34" s="108">
        <f t="shared" si="25"/>
        <v>17000000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</row>
    <row r="35" spans="1:160" s="545" customFormat="1">
      <c r="A35" s="842"/>
      <c r="B35" s="541"/>
      <c r="C35" s="542"/>
      <c r="D35" s="464" t="s">
        <v>761</v>
      </c>
      <c r="E35" s="531"/>
      <c r="F35" s="531"/>
      <c r="G35" s="543">
        <f>SUM(G33:G34)</f>
        <v>34</v>
      </c>
      <c r="H35" s="543">
        <f t="shared" ref="H35:BS35" si="35">SUM(H33:H34)</f>
        <v>17000000</v>
      </c>
      <c r="I35" s="543">
        <f t="shared" si="35"/>
        <v>0</v>
      </c>
      <c r="J35" s="543">
        <f t="shared" si="35"/>
        <v>0</v>
      </c>
      <c r="K35" s="543">
        <f t="shared" si="35"/>
        <v>17000000</v>
      </c>
      <c r="L35" s="543">
        <f t="shared" si="35"/>
        <v>0</v>
      </c>
      <c r="M35" s="543">
        <f t="shared" si="35"/>
        <v>0</v>
      </c>
      <c r="N35" s="543">
        <f t="shared" si="35"/>
        <v>0</v>
      </c>
      <c r="O35" s="543">
        <f t="shared" si="35"/>
        <v>0</v>
      </c>
      <c r="P35" s="543">
        <f t="shared" si="35"/>
        <v>0</v>
      </c>
      <c r="Q35" s="543">
        <f t="shared" si="35"/>
        <v>0</v>
      </c>
      <c r="R35" s="543">
        <f t="shared" si="35"/>
        <v>0</v>
      </c>
      <c r="S35" s="543">
        <f t="shared" si="35"/>
        <v>8.5</v>
      </c>
      <c r="T35" s="543">
        <f t="shared" si="35"/>
        <v>8.5</v>
      </c>
      <c r="U35" s="543">
        <f t="shared" si="35"/>
        <v>8.5</v>
      </c>
      <c r="V35" s="543">
        <f t="shared" si="35"/>
        <v>8.5</v>
      </c>
      <c r="W35" s="543">
        <f t="shared" si="35"/>
        <v>144500000</v>
      </c>
      <c r="X35" s="543">
        <f t="shared" si="35"/>
        <v>144500000</v>
      </c>
      <c r="Y35" s="543">
        <f t="shared" si="35"/>
        <v>144500000</v>
      </c>
      <c r="Z35" s="543">
        <f t="shared" si="35"/>
        <v>144500000</v>
      </c>
      <c r="AA35" s="543">
        <f t="shared" si="35"/>
        <v>2</v>
      </c>
      <c r="AB35" s="543">
        <f t="shared" si="35"/>
        <v>1000000</v>
      </c>
      <c r="AC35" s="543">
        <f t="shared" si="35"/>
        <v>2</v>
      </c>
      <c r="AD35" s="543">
        <f t="shared" si="35"/>
        <v>1000000</v>
      </c>
      <c r="AE35" s="543">
        <f t="shared" si="35"/>
        <v>2</v>
      </c>
      <c r="AF35" s="543">
        <f t="shared" si="35"/>
        <v>1000000</v>
      </c>
      <c r="AG35" s="543">
        <f t="shared" si="35"/>
        <v>2</v>
      </c>
      <c r="AH35" s="543">
        <f t="shared" si="35"/>
        <v>1000000</v>
      </c>
      <c r="AI35" s="543">
        <f t="shared" si="35"/>
        <v>2</v>
      </c>
      <c r="AJ35" s="543">
        <f t="shared" si="35"/>
        <v>1000000</v>
      </c>
      <c r="AK35" s="543">
        <f t="shared" si="35"/>
        <v>2</v>
      </c>
      <c r="AL35" s="543">
        <f t="shared" si="35"/>
        <v>1000000</v>
      </c>
      <c r="AM35" s="543">
        <f t="shared" si="35"/>
        <v>2</v>
      </c>
      <c r="AN35" s="543">
        <f t="shared" si="35"/>
        <v>1000000</v>
      </c>
      <c r="AO35" s="543">
        <f t="shared" si="35"/>
        <v>2</v>
      </c>
      <c r="AP35" s="543">
        <f t="shared" si="35"/>
        <v>1000000</v>
      </c>
      <c r="AQ35" s="543">
        <f t="shared" si="35"/>
        <v>2</v>
      </c>
      <c r="AR35" s="543">
        <f t="shared" si="35"/>
        <v>1000000</v>
      </c>
      <c r="AS35" s="543">
        <f t="shared" si="35"/>
        <v>2</v>
      </c>
      <c r="AT35" s="543">
        <f t="shared" si="35"/>
        <v>1000000</v>
      </c>
      <c r="AU35" s="543">
        <f t="shared" si="35"/>
        <v>2</v>
      </c>
      <c r="AV35" s="543">
        <f t="shared" si="35"/>
        <v>1000000</v>
      </c>
      <c r="AW35" s="543">
        <f t="shared" si="35"/>
        <v>2</v>
      </c>
      <c r="AX35" s="543">
        <f t="shared" si="35"/>
        <v>1000000</v>
      </c>
      <c r="AY35" s="543">
        <f t="shared" si="35"/>
        <v>2</v>
      </c>
      <c r="AZ35" s="543">
        <f t="shared" si="35"/>
        <v>1000000</v>
      </c>
      <c r="BA35" s="543">
        <f t="shared" si="35"/>
        <v>2</v>
      </c>
      <c r="BB35" s="543">
        <f t="shared" si="35"/>
        <v>1000000</v>
      </c>
      <c r="BC35" s="543">
        <f t="shared" si="35"/>
        <v>2</v>
      </c>
      <c r="BD35" s="543">
        <f t="shared" si="35"/>
        <v>1000000</v>
      </c>
      <c r="BE35" s="543">
        <f t="shared" si="35"/>
        <v>2</v>
      </c>
      <c r="BF35" s="543">
        <f t="shared" si="35"/>
        <v>1000000</v>
      </c>
      <c r="BG35" s="543">
        <f t="shared" si="35"/>
        <v>2</v>
      </c>
      <c r="BH35" s="543">
        <f t="shared" si="35"/>
        <v>1000000</v>
      </c>
      <c r="BI35" s="543">
        <f t="shared" si="35"/>
        <v>0</v>
      </c>
      <c r="BJ35" s="543">
        <f t="shared" si="35"/>
        <v>0</v>
      </c>
      <c r="BK35" s="543">
        <f t="shared" si="35"/>
        <v>34</v>
      </c>
      <c r="BL35" s="543">
        <f t="shared" si="35"/>
        <v>17000000</v>
      </c>
      <c r="BM35" s="543">
        <f t="shared" si="35"/>
        <v>0</v>
      </c>
      <c r="BN35" s="543">
        <f t="shared" si="35"/>
        <v>0</v>
      </c>
      <c r="BO35" s="543">
        <f t="shared" si="35"/>
        <v>17000000</v>
      </c>
      <c r="BP35" s="543">
        <f t="shared" si="35"/>
        <v>0</v>
      </c>
      <c r="BQ35" s="543">
        <f t="shared" si="35"/>
        <v>0</v>
      </c>
      <c r="BR35" s="543">
        <f t="shared" si="35"/>
        <v>0</v>
      </c>
      <c r="BS35" s="543">
        <f t="shared" si="35"/>
        <v>17000000</v>
      </c>
      <c r="BT35" s="543">
        <f>SUM(BT33:BT34)</f>
        <v>0</v>
      </c>
      <c r="BU35" s="543">
        <f>SUM(BU33:BU34)</f>
        <v>0</v>
      </c>
      <c r="BV35" s="543">
        <f>SUM(BV33:BV34)</f>
        <v>0</v>
      </c>
      <c r="BW35" s="543">
        <f>SUM(BW33:BW34)</f>
        <v>17000000</v>
      </c>
      <c r="BX35" s="544"/>
      <c r="BY35" s="544"/>
      <c r="BZ35" s="544"/>
      <c r="CA35" s="544"/>
      <c r="CB35" s="544"/>
      <c r="CC35" s="544"/>
      <c r="CD35" s="544"/>
      <c r="CE35" s="544"/>
      <c r="CF35" s="544"/>
      <c r="CG35" s="544"/>
      <c r="CH35" s="544"/>
      <c r="CI35" s="544"/>
      <c r="CJ35" s="544"/>
      <c r="CK35" s="544"/>
      <c r="CL35" s="544"/>
      <c r="CM35" s="544"/>
      <c r="CN35" s="544"/>
      <c r="CO35" s="544"/>
      <c r="CP35" s="544"/>
      <c r="CQ35" s="544"/>
      <c r="CR35" s="544"/>
      <c r="CS35" s="544"/>
      <c r="CT35" s="544"/>
      <c r="CU35" s="544"/>
      <c r="CV35" s="544"/>
      <c r="CW35" s="544"/>
      <c r="CX35" s="544"/>
      <c r="CY35" s="544"/>
      <c r="CZ35" s="544"/>
      <c r="DA35" s="544"/>
      <c r="DB35" s="544"/>
      <c r="DC35" s="544"/>
      <c r="DD35" s="544"/>
      <c r="DE35" s="544"/>
      <c r="DF35" s="544"/>
      <c r="DG35" s="544"/>
      <c r="DH35" s="544"/>
      <c r="DI35" s="544"/>
      <c r="DJ35" s="544"/>
      <c r="DK35" s="544"/>
      <c r="DL35" s="544"/>
      <c r="DM35" s="544"/>
      <c r="DN35" s="544"/>
      <c r="DO35" s="544"/>
      <c r="DP35" s="544"/>
      <c r="DQ35" s="544"/>
      <c r="DR35" s="544"/>
      <c r="DS35" s="544"/>
      <c r="DT35" s="544"/>
      <c r="DU35" s="544"/>
      <c r="DV35" s="544"/>
      <c r="DW35" s="544"/>
      <c r="DX35" s="544"/>
      <c r="DY35" s="544"/>
      <c r="DZ35" s="544"/>
      <c r="EA35" s="544"/>
      <c r="EB35" s="544"/>
      <c r="EC35" s="544"/>
      <c r="ED35" s="544"/>
      <c r="EE35" s="544"/>
      <c r="EF35" s="544"/>
      <c r="EG35" s="544"/>
      <c r="EH35" s="544"/>
      <c r="EI35" s="544"/>
      <c r="EJ35" s="544"/>
      <c r="EK35" s="544"/>
      <c r="EL35" s="544"/>
      <c r="EM35" s="544"/>
      <c r="EN35" s="544"/>
      <c r="EO35" s="544"/>
      <c r="EP35" s="544"/>
      <c r="EQ35" s="544"/>
      <c r="ER35" s="544"/>
      <c r="ES35" s="544"/>
      <c r="ET35" s="544"/>
      <c r="EU35" s="544"/>
      <c r="EV35" s="544"/>
      <c r="EW35" s="544"/>
      <c r="EX35" s="544"/>
      <c r="EY35" s="544"/>
      <c r="EZ35" s="544"/>
      <c r="FA35" s="544"/>
      <c r="FB35" s="544"/>
      <c r="FC35" s="544"/>
      <c r="FD35" s="544"/>
    </row>
    <row r="36" spans="1:160" s="623" customFormat="1">
      <c r="A36" s="842"/>
      <c r="B36" s="391"/>
      <c r="C36" s="385"/>
      <c r="D36" s="332" t="s">
        <v>553</v>
      </c>
      <c r="E36" s="362"/>
      <c r="F36" s="312"/>
      <c r="G36" s="614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89"/>
      <c r="T36" s="142"/>
      <c r="U36" s="142"/>
      <c r="V36" s="142"/>
      <c r="W36" s="578"/>
      <c r="X36" s="578"/>
      <c r="Y36" s="578"/>
      <c r="Z36" s="578"/>
      <c r="AA36" s="585"/>
      <c r="AB36" s="224">
        <f t="shared" si="1"/>
        <v>0</v>
      </c>
      <c r="AC36" s="585">
        <v>1</v>
      </c>
      <c r="AD36" s="224">
        <f t="shared" si="2"/>
        <v>0</v>
      </c>
      <c r="AE36" s="585"/>
      <c r="AF36" s="224">
        <f t="shared" si="3"/>
        <v>0</v>
      </c>
      <c r="AG36" s="585"/>
      <c r="AH36" s="224">
        <f t="shared" si="4"/>
        <v>0</v>
      </c>
      <c r="AI36" s="585"/>
      <c r="AJ36" s="224">
        <f t="shared" si="5"/>
        <v>0</v>
      </c>
      <c r="AK36" s="585"/>
      <c r="AL36" s="224">
        <f t="shared" si="6"/>
        <v>0</v>
      </c>
      <c r="AM36" s="585"/>
      <c r="AN36" s="224">
        <f t="shared" si="7"/>
        <v>0</v>
      </c>
      <c r="AO36" s="585"/>
      <c r="AP36" s="224">
        <f t="shared" si="8"/>
        <v>0</v>
      </c>
      <c r="AQ36" s="585"/>
      <c r="AR36" s="224">
        <f t="shared" si="9"/>
        <v>0</v>
      </c>
      <c r="AS36" s="585"/>
      <c r="AT36" s="224">
        <f t="shared" si="10"/>
        <v>0</v>
      </c>
      <c r="AU36" s="585"/>
      <c r="AV36" s="224">
        <f t="shared" si="11"/>
        <v>0</v>
      </c>
      <c r="AW36" s="585"/>
      <c r="AX36" s="224">
        <f t="shared" si="12"/>
        <v>0</v>
      </c>
      <c r="AY36" s="585"/>
      <c r="AZ36" s="224">
        <f t="shared" si="13"/>
        <v>0</v>
      </c>
      <c r="BA36" s="585"/>
      <c r="BB36" s="224">
        <f t="shared" si="14"/>
        <v>0</v>
      </c>
      <c r="BC36" s="585"/>
      <c r="BD36" s="224">
        <f t="shared" si="15"/>
        <v>0</v>
      </c>
      <c r="BE36" s="585"/>
      <c r="BF36" s="224">
        <f t="shared" si="16"/>
        <v>0</v>
      </c>
      <c r="BG36" s="585"/>
      <c r="BH36" s="224">
        <f t="shared" si="17"/>
        <v>0</v>
      </c>
      <c r="BI36" s="585"/>
      <c r="BJ36" s="224">
        <f t="shared" si="18"/>
        <v>0</v>
      </c>
      <c r="BK36" s="585"/>
      <c r="BL36" s="224"/>
      <c r="BM36" s="362"/>
      <c r="BN36" s="59"/>
      <c r="BO36" s="69">
        <f t="shared" si="31"/>
        <v>0</v>
      </c>
      <c r="BP36" s="69"/>
      <c r="BQ36" s="69"/>
      <c r="BR36" s="69"/>
      <c r="BS36" s="69">
        <f t="shared" si="32"/>
        <v>0</v>
      </c>
      <c r="BT36" s="69"/>
      <c r="BU36" s="69"/>
      <c r="BV36" s="69">
        <f t="shared" si="33"/>
        <v>0</v>
      </c>
      <c r="BW36" s="108">
        <f t="shared" si="25"/>
        <v>0</v>
      </c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</row>
    <row r="37" spans="1:160" s="623" customFormat="1">
      <c r="A37" s="842"/>
      <c r="B37" s="391"/>
      <c r="C37" s="385"/>
      <c r="D37" s="323" t="s">
        <v>742</v>
      </c>
      <c r="E37" s="362" t="s">
        <v>104</v>
      </c>
      <c r="F37" s="312">
        <v>500000</v>
      </c>
      <c r="G37" s="203">
        <f>BK37</f>
        <v>28</v>
      </c>
      <c r="H37" s="578">
        <f>G37*F37</f>
        <v>14000000</v>
      </c>
      <c r="I37" s="578"/>
      <c r="J37" s="578"/>
      <c r="K37" s="578">
        <f>H37*1</f>
        <v>14000000</v>
      </c>
      <c r="L37" s="578"/>
      <c r="M37" s="578"/>
      <c r="N37" s="578"/>
      <c r="O37" s="578"/>
      <c r="P37" s="578"/>
      <c r="Q37" s="578"/>
      <c r="R37" s="578"/>
      <c r="S37" s="589">
        <f>G37*0.25</f>
        <v>7</v>
      </c>
      <c r="T37" s="142">
        <f>G37*0.25</f>
        <v>7</v>
      </c>
      <c r="U37" s="142">
        <f>G37*0.25</f>
        <v>7</v>
      </c>
      <c r="V37" s="142">
        <f>G37*0.25</f>
        <v>7</v>
      </c>
      <c r="W37" s="578">
        <f>S37*H37</f>
        <v>98000000</v>
      </c>
      <c r="X37" s="578">
        <f>T37*H37</f>
        <v>98000000</v>
      </c>
      <c r="Y37" s="578">
        <f>U37*H37</f>
        <v>98000000</v>
      </c>
      <c r="Z37" s="578">
        <f>V37*H37</f>
        <v>98000000</v>
      </c>
      <c r="AA37" s="585">
        <v>1</v>
      </c>
      <c r="AB37" s="224">
        <f t="shared" si="1"/>
        <v>500000</v>
      </c>
      <c r="AC37" s="585">
        <v>1</v>
      </c>
      <c r="AD37" s="224">
        <f t="shared" si="2"/>
        <v>500000</v>
      </c>
      <c r="AE37" s="585">
        <v>1</v>
      </c>
      <c r="AF37" s="224">
        <f t="shared" si="3"/>
        <v>500000</v>
      </c>
      <c r="AG37" s="585">
        <v>1</v>
      </c>
      <c r="AH37" s="224">
        <f t="shared" si="4"/>
        <v>500000</v>
      </c>
      <c r="AI37" s="585">
        <v>1</v>
      </c>
      <c r="AJ37" s="224">
        <f t="shared" si="5"/>
        <v>500000</v>
      </c>
      <c r="AK37" s="585">
        <v>1</v>
      </c>
      <c r="AL37" s="224">
        <f t="shared" si="6"/>
        <v>500000</v>
      </c>
      <c r="AM37" s="585">
        <v>2</v>
      </c>
      <c r="AN37" s="224">
        <f t="shared" si="7"/>
        <v>1000000</v>
      </c>
      <c r="AO37" s="585">
        <v>2</v>
      </c>
      <c r="AP37" s="224">
        <f t="shared" si="8"/>
        <v>1000000</v>
      </c>
      <c r="AQ37" s="585">
        <v>2</v>
      </c>
      <c r="AR37" s="224">
        <f t="shared" si="9"/>
        <v>1000000</v>
      </c>
      <c r="AS37" s="585">
        <v>2</v>
      </c>
      <c r="AT37" s="224">
        <f t="shared" si="10"/>
        <v>1000000</v>
      </c>
      <c r="AU37" s="585">
        <v>2</v>
      </c>
      <c r="AV37" s="224">
        <f t="shared" si="11"/>
        <v>1000000</v>
      </c>
      <c r="AW37" s="585">
        <v>2</v>
      </c>
      <c r="AX37" s="224">
        <f t="shared" si="12"/>
        <v>1000000</v>
      </c>
      <c r="AY37" s="585">
        <v>2</v>
      </c>
      <c r="AZ37" s="224">
        <f t="shared" si="13"/>
        <v>1000000</v>
      </c>
      <c r="BA37" s="585">
        <v>2</v>
      </c>
      <c r="BB37" s="224">
        <f t="shared" si="14"/>
        <v>1000000</v>
      </c>
      <c r="BC37" s="585">
        <v>2</v>
      </c>
      <c r="BD37" s="224">
        <f t="shared" si="15"/>
        <v>1000000</v>
      </c>
      <c r="BE37" s="585">
        <v>2</v>
      </c>
      <c r="BF37" s="224">
        <f t="shared" si="16"/>
        <v>1000000</v>
      </c>
      <c r="BG37" s="585">
        <v>2</v>
      </c>
      <c r="BH37" s="224">
        <f t="shared" si="17"/>
        <v>1000000</v>
      </c>
      <c r="BI37" s="585"/>
      <c r="BJ37" s="224">
        <f t="shared" si="18"/>
        <v>0</v>
      </c>
      <c r="BK37" s="585">
        <f t="shared" si="19"/>
        <v>28</v>
      </c>
      <c r="BL37" s="224">
        <f t="shared" si="20"/>
        <v>14000000</v>
      </c>
      <c r="BM37" s="362" t="s">
        <v>760</v>
      </c>
      <c r="BN37" s="59"/>
      <c r="BO37" s="69"/>
      <c r="BP37" s="69"/>
      <c r="BQ37" s="69">
        <f>BL37</f>
        <v>14000000</v>
      </c>
      <c r="BR37" s="69"/>
      <c r="BS37" s="69">
        <f t="shared" si="32"/>
        <v>14000000</v>
      </c>
      <c r="BT37" s="69"/>
      <c r="BU37" s="69"/>
      <c r="BV37" s="69">
        <f t="shared" si="33"/>
        <v>0</v>
      </c>
      <c r="BW37" s="108">
        <f t="shared" si="25"/>
        <v>14000000</v>
      </c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</row>
    <row r="38" spans="1:160" s="60" customFormat="1">
      <c r="A38" s="842"/>
      <c r="B38" s="473"/>
      <c r="C38" s="79"/>
      <c r="D38" s="323" t="s">
        <v>554</v>
      </c>
      <c r="E38" s="362" t="s">
        <v>104</v>
      </c>
      <c r="F38" s="312" t="s">
        <v>439</v>
      </c>
      <c r="G38" s="203">
        <f>BK38</f>
        <v>0</v>
      </c>
      <c r="H38" s="578">
        <f>G38*F38</f>
        <v>0</v>
      </c>
      <c r="I38" s="585">
        <f>H38*0.2</f>
        <v>0</v>
      </c>
      <c r="J38" s="585">
        <f>H38*0.8</f>
        <v>0</v>
      </c>
      <c r="K38" s="585"/>
      <c r="L38" s="585"/>
      <c r="M38" s="585"/>
      <c r="N38" s="585"/>
      <c r="O38" s="585"/>
      <c r="P38" s="585"/>
      <c r="Q38" s="585"/>
      <c r="R38" s="585"/>
      <c r="S38" s="585">
        <f>G38*0.25</f>
        <v>0</v>
      </c>
      <c r="T38" s="585">
        <f>G38*0.25</f>
        <v>0</v>
      </c>
      <c r="U38" s="585">
        <f>G38*0.25</f>
        <v>0</v>
      </c>
      <c r="V38" s="585">
        <f>G38*0.25</f>
        <v>0</v>
      </c>
      <c r="W38" s="585">
        <f>S38*H38</f>
        <v>0</v>
      </c>
      <c r="X38" s="585">
        <f>T38*H38</f>
        <v>0</v>
      </c>
      <c r="Y38" s="585">
        <f>U38*H38</f>
        <v>0</v>
      </c>
      <c r="Z38" s="585">
        <f>V38*H38</f>
        <v>0</v>
      </c>
      <c r="AA38" s="585"/>
      <c r="AB38" s="585">
        <f t="shared" si="1"/>
        <v>0</v>
      </c>
      <c r="AC38" s="585">
        <v>0</v>
      </c>
      <c r="AD38" s="585">
        <f t="shared" si="2"/>
        <v>0</v>
      </c>
      <c r="AE38" s="585"/>
      <c r="AF38" s="585">
        <f t="shared" si="3"/>
        <v>0</v>
      </c>
      <c r="AG38" s="585"/>
      <c r="AH38" s="585">
        <f t="shared" si="4"/>
        <v>0</v>
      </c>
      <c r="AI38" s="585"/>
      <c r="AJ38" s="585">
        <f t="shared" si="5"/>
        <v>0</v>
      </c>
      <c r="AK38" s="585"/>
      <c r="AL38" s="585">
        <f t="shared" si="6"/>
        <v>0</v>
      </c>
      <c r="AM38" s="585"/>
      <c r="AN38" s="585">
        <f t="shared" si="7"/>
        <v>0</v>
      </c>
      <c r="AO38" s="585"/>
      <c r="AP38" s="585">
        <f t="shared" si="8"/>
        <v>0</v>
      </c>
      <c r="AQ38" s="585"/>
      <c r="AR38" s="585">
        <f t="shared" si="9"/>
        <v>0</v>
      </c>
      <c r="AS38" s="585"/>
      <c r="AT38" s="585">
        <f t="shared" si="10"/>
        <v>0</v>
      </c>
      <c r="AU38" s="585"/>
      <c r="AV38" s="585">
        <f t="shared" si="11"/>
        <v>0</v>
      </c>
      <c r="AW38" s="585"/>
      <c r="AX38" s="585">
        <f t="shared" si="12"/>
        <v>0</v>
      </c>
      <c r="AY38" s="585"/>
      <c r="AZ38" s="585">
        <f t="shared" si="13"/>
        <v>0</v>
      </c>
      <c r="BA38" s="585"/>
      <c r="BB38" s="585">
        <f t="shared" si="14"/>
        <v>0</v>
      </c>
      <c r="BC38" s="585"/>
      <c r="BD38" s="585">
        <f t="shared" si="15"/>
        <v>0</v>
      </c>
      <c r="BE38" s="585"/>
      <c r="BF38" s="585">
        <f t="shared" si="16"/>
        <v>0</v>
      </c>
      <c r="BG38" s="585"/>
      <c r="BH38" s="585">
        <f t="shared" si="17"/>
        <v>0</v>
      </c>
      <c r="BI38" s="585"/>
      <c r="BJ38" s="585">
        <f t="shared" si="18"/>
        <v>0</v>
      </c>
      <c r="BK38" s="296">
        <f t="shared" si="19"/>
        <v>0</v>
      </c>
      <c r="BL38" s="585">
        <f t="shared" si="20"/>
        <v>0</v>
      </c>
      <c r="BM38" s="362" t="s">
        <v>228</v>
      </c>
      <c r="BN38" s="90"/>
      <c r="BO38" s="79"/>
      <c r="BP38" s="79"/>
      <c r="BQ38" s="69">
        <f>BL38</f>
        <v>0</v>
      </c>
      <c r="BR38" s="79">
        <f>SUM(BR25:BR37)</f>
        <v>0</v>
      </c>
      <c r="BS38" s="69">
        <f t="shared" si="32"/>
        <v>0</v>
      </c>
      <c r="BT38" s="79">
        <f>SUM(BT25:BT37)</f>
        <v>0</v>
      </c>
      <c r="BU38" s="79">
        <f>SUM(BU25:BU37)</f>
        <v>0</v>
      </c>
      <c r="BV38" s="79">
        <f>SUM(BV25:BV37)</f>
        <v>0</v>
      </c>
      <c r="BW38" s="108">
        <f t="shared" si="25"/>
        <v>0</v>
      </c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</row>
    <row r="39" spans="1:160" s="60" customFormat="1">
      <c r="A39" s="842"/>
      <c r="B39" s="391"/>
      <c r="C39" s="290">
        <v>31500</v>
      </c>
      <c r="D39" s="323" t="s">
        <v>555</v>
      </c>
      <c r="E39" s="362" t="s">
        <v>98</v>
      </c>
      <c r="F39" s="325" t="s">
        <v>444</v>
      </c>
      <c r="G39" s="203">
        <f>BK39</f>
        <v>1630</v>
      </c>
      <c r="H39" s="578">
        <f>G39*F39</f>
        <v>8150000</v>
      </c>
      <c r="I39" s="585"/>
      <c r="J39" s="585">
        <f>H39*0.8</f>
        <v>6520000</v>
      </c>
      <c r="K39" s="224"/>
      <c r="L39" s="224"/>
      <c r="M39" s="224"/>
      <c r="N39" s="224"/>
      <c r="O39" s="224"/>
      <c r="P39" s="224"/>
      <c r="Q39" s="224">
        <f>H39*0.2</f>
        <v>1630000</v>
      </c>
      <c r="R39" s="224"/>
      <c r="S39" s="142">
        <f>G39*0.25</f>
        <v>407.5</v>
      </c>
      <c r="T39" s="142">
        <f>G39*0.25</f>
        <v>407.5</v>
      </c>
      <c r="U39" s="142">
        <f>G39*0.25</f>
        <v>407.5</v>
      </c>
      <c r="V39" s="142">
        <f>G39*0.25</f>
        <v>407.5</v>
      </c>
      <c r="W39" s="224">
        <f>S39*H39</f>
        <v>3321125000</v>
      </c>
      <c r="X39" s="224">
        <f>T39*H39</f>
        <v>3321125000</v>
      </c>
      <c r="Y39" s="224">
        <f>U39*H39</f>
        <v>3321125000</v>
      </c>
      <c r="Z39" s="224">
        <f>V39*H39</f>
        <v>3321125000</v>
      </c>
      <c r="AA39" s="585">
        <v>100</v>
      </c>
      <c r="AB39" s="224">
        <f t="shared" si="1"/>
        <v>500000</v>
      </c>
      <c r="AC39" s="585">
        <v>100</v>
      </c>
      <c r="AD39" s="224">
        <f t="shared" si="2"/>
        <v>500000</v>
      </c>
      <c r="AE39" s="585">
        <v>100</v>
      </c>
      <c r="AF39" s="224">
        <f t="shared" si="3"/>
        <v>500000</v>
      </c>
      <c r="AG39" s="585">
        <v>100</v>
      </c>
      <c r="AH39" s="224">
        <f t="shared" si="4"/>
        <v>500000</v>
      </c>
      <c r="AI39" s="585">
        <v>100</v>
      </c>
      <c r="AJ39" s="224">
        <f t="shared" si="5"/>
        <v>500000</v>
      </c>
      <c r="AK39" s="585">
        <v>100</v>
      </c>
      <c r="AL39" s="224">
        <f t="shared" si="6"/>
        <v>500000</v>
      </c>
      <c r="AM39" s="585">
        <v>100</v>
      </c>
      <c r="AN39" s="224">
        <f t="shared" si="7"/>
        <v>500000</v>
      </c>
      <c r="AO39" s="585">
        <v>100</v>
      </c>
      <c r="AP39" s="224">
        <f t="shared" si="8"/>
        <v>500000</v>
      </c>
      <c r="AQ39" s="585">
        <v>50</v>
      </c>
      <c r="AR39" s="224">
        <f t="shared" si="9"/>
        <v>250000</v>
      </c>
      <c r="AS39" s="585">
        <v>80</v>
      </c>
      <c r="AT39" s="224">
        <f t="shared" si="10"/>
        <v>400000</v>
      </c>
      <c r="AU39" s="585">
        <v>100</v>
      </c>
      <c r="AV39" s="224">
        <f t="shared" si="11"/>
        <v>500000</v>
      </c>
      <c r="AW39" s="585">
        <v>70</v>
      </c>
      <c r="AX39" s="224">
        <f t="shared" si="12"/>
        <v>350000</v>
      </c>
      <c r="AY39" s="585">
        <v>100</v>
      </c>
      <c r="AZ39" s="224">
        <f t="shared" si="13"/>
        <v>500000</v>
      </c>
      <c r="BA39" s="585">
        <v>100</v>
      </c>
      <c r="BB39" s="224">
        <f t="shared" si="14"/>
        <v>500000</v>
      </c>
      <c r="BC39" s="585">
        <v>150</v>
      </c>
      <c r="BD39" s="224">
        <f t="shared" si="15"/>
        <v>750000</v>
      </c>
      <c r="BE39" s="585">
        <v>120</v>
      </c>
      <c r="BF39" s="224">
        <f t="shared" si="16"/>
        <v>600000</v>
      </c>
      <c r="BG39" s="585">
        <v>60</v>
      </c>
      <c r="BH39" s="224">
        <f t="shared" si="17"/>
        <v>300000</v>
      </c>
      <c r="BI39" s="585"/>
      <c r="BJ39" s="224">
        <f t="shared" si="18"/>
        <v>0</v>
      </c>
      <c r="BK39" s="585">
        <f t="shared" si="19"/>
        <v>1630</v>
      </c>
      <c r="BL39" s="224">
        <f t="shared" si="20"/>
        <v>8150000</v>
      </c>
      <c r="BM39" s="362" t="s">
        <v>228</v>
      </c>
      <c r="BN39" s="59"/>
      <c r="BO39" s="69"/>
      <c r="BP39" s="69"/>
      <c r="BQ39" s="69">
        <f>BL39</f>
        <v>8150000</v>
      </c>
      <c r="BR39" s="69"/>
      <c r="BS39" s="69">
        <f t="shared" si="32"/>
        <v>8150000</v>
      </c>
      <c r="BT39" s="69"/>
      <c r="BU39" s="69"/>
      <c r="BV39" s="69"/>
      <c r="BW39" s="108">
        <f t="shared" si="25"/>
        <v>8150000</v>
      </c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</row>
    <row r="40" spans="1:160" s="60" customFormat="1">
      <c r="A40" s="842"/>
      <c r="B40" s="391"/>
      <c r="C40" s="527"/>
      <c r="D40" s="323" t="s">
        <v>738</v>
      </c>
      <c r="E40" s="362" t="s">
        <v>104</v>
      </c>
      <c r="F40" s="325">
        <v>1000000</v>
      </c>
      <c r="G40" s="203">
        <f>BK40</f>
        <v>17</v>
      </c>
      <c r="H40" s="578">
        <f>G40*F40</f>
        <v>17000000</v>
      </c>
      <c r="I40" s="585"/>
      <c r="J40" s="585"/>
      <c r="K40" s="578">
        <f>H40*1</f>
        <v>17000000</v>
      </c>
      <c r="L40" s="224"/>
      <c r="M40" s="224"/>
      <c r="N40" s="224"/>
      <c r="O40" s="224"/>
      <c r="P40" s="224"/>
      <c r="Q40" s="224"/>
      <c r="R40" s="224"/>
      <c r="S40" s="142">
        <f>G40*0.25</f>
        <v>4.25</v>
      </c>
      <c r="T40" s="142">
        <f>G40*0.25</f>
        <v>4.25</v>
      </c>
      <c r="U40" s="142">
        <f>G40*0.25</f>
        <v>4.25</v>
      </c>
      <c r="V40" s="142">
        <f>G40*0.25</f>
        <v>4.25</v>
      </c>
      <c r="W40" s="224">
        <f>S40*H40</f>
        <v>72250000</v>
      </c>
      <c r="X40" s="224">
        <f>T40*H40</f>
        <v>72250000</v>
      </c>
      <c r="Y40" s="224">
        <f>U40*H40</f>
        <v>72250000</v>
      </c>
      <c r="Z40" s="224">
        <f>V40*H40</f>
        <v>72250000</v>
      </c>
      <c r="AA40" s="585">
        <v>1</v>
      </c>
      <c r="AB40" s="224">
        <f t="shared" si="1"/>
        <v>1000000</v>
      </c>
      <c r="AC40" s="585">
        <v>1</v>
      </c>
      <c r="AD40" s="224">
        <f t="shared" si="2"/>
        <v>1000000</v>
      </c>
      <c r="AE40" s="585">
        <v>1</v>
      </c>
      <c r="AF40" s="224">
        <f t="shared" si="3"/>
        <v>1000000</v>
      </c>
      <c r="AG40" s="585">
        <v>1</v>
      </c>
      <c r="AH40" s="224">
        <f t="shared" si="4"/>
        <v>1000000</v>
      </c>
      <c r="AI40" s="585">
        <v>1</v>
      </c>
      <c r="AJ40" s="224">
        <f t="shared" si="5"/>
        <v>1000000</v>
      </c>
      <c r="AK40" s="585">
        <v>1</v>
      </c>
      <c r="AL40" s="224">
        <f t="shared" si="6"/>
        <v>1000000</v>
      </c>
      <c r="AM40" s="585">
        <v>1</v>
      </c>
      <c r="AN40" s="224">
        <f t="shared" si="7"/>
        <v>1000000</v>
      </c>
      <c r="AO40" s="585">
        <v>1</v>
      </c>
      <c r="AP40" s="224">
        <f t="shared" si="8"/>
        <v>1000000</v>
      </c>
      <c r="AQ40" s="585">
        <v>1</v>
      </c>
      <c r="AR40" s="224">
        <f t="shared" si="9"/>
        <v>1000000</v>
      </c>
      <c r="AS40" s="585">
        <v>1</v>
      </c>
      <c r="AT40" s="224">
        <f t="shared" si="10"/>
        <v>1000000</v>
      </c>
      <c r="AU40" s="585">
        <v>1</v>
      </c>
      <c r="AV40" s="224">
        <f t="shared" si="11"/>
        <v>1000000</v>
      </c>
      <c r="AW40" s="585">
        <v>1</v>
      </c>
      <c r="AX40" s="224">
        <f t="shared" si="12"/>
        <v>1000000</v>
      </c>
      <c r="AY40" s="585">
        <v>1</v>
      </c>
      <c r="AZ40" s="224">
        <f t="shared" si="13"/>
        <v>1000000</v>
      </c>
      <c r="BA40" s="585">
        <v>1</v>
      </c>
      <c r="BB40" s="224">
        <f t="shared" si="14"/>
        <v>1000000</v>
      </c>
      <c r="BC40" s="585">
        <v>1</v>
      </c>
      <c r="BD40" s="224">
        <f t="shared" si="15"/>
        <v>1000000</v>
      </c>
      <c r="BE40" s="585">
        <v>1</v>
      </c>
      <c r="BF40" s="224">
        <f t="shared" si="16"/>
        <v>1000000</v>
      </c>
      <c r="BG40" s="585">
        <v>1</v>
      </c>
      <c r="BH40" s="224">
        <f t="shared" si="17"/>
        <v>1000000</v>
      </c>
      <c r="BI40" s="585"/>
      <c r="BJ40" s="224">
        <f t="shared" si="18"/>
        <v>0</v>
      </c>
      <c r="BK40" s="585">
        <f>AA40+AC40+AE40+AG40+AI40+AK40+AM40+AO40+AQ40+AS40+AU40+AW40+AY40+BA40+BC40+BE40+BG40+BI40</f>
        <v>17</v>
      </c>
      <c r="BL40" s="224">
        <f>AB40+AD40+AF40+AH40+AJ40+AL40+AN40+AP40+AR40+AT40+AV40+AX40+AZ40+BB40+BD40+BF40+BH40+BJ40</f>
        <v>17000000</v>
      </c>
      <c r="BM40" s="362" t="s">
        <v>760</v>
      </c>
      <c r="BN40" s="59"/>
      <c r="BO40" s="69"/>
      <c r="BP40" s="69"/>
      <c r="BQ40" s="69">
        <f>BL40</f>
        <v>17000000</v>
      </c>
      <c r="BR40" s="69"/>
      <c r="BS40" s="69">
        <f t="shared" si="32"/>
        <v>17000000</v>
      </c>
      <c r="BT40" s="69"/>
      <c r="BU40" s="69"/>
      <c r="BV40" s="69"/>
      <c r="BW40" s="108">
        <f t="shared" si="25"/>
        <v>17000000</v>
      </c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</row>
    <row r="41" spans="1:160" s="428" customFormat="1">
      <c r="A41" s="842"/>
      <c r="B41" s="425"/>
      <c r="C41" s="426"/>
      <c r="D41" s="336" t="s">
        <v>556</v>
      </c>
      <c r="E41" s="439" t="s">
        <v>121</v>
      </c>
      <c r="F41" s="440"/>
      <c r="G41" s="365">
        <f>SUM(G37:G40)</f>
        <v>1675</v>
      </c>
      <c r="H41" s="365">
        <f t="shared" ref="H41:BS41" si="36">SUM(H37:H40)</f>
        <v>39150000</v>
      </c>
      <c r="I41" s="365">
        <f t="shared" si="36"/>
        <v>0</v>
      </c>
      <c r="J41" s="365">
        <f t="shared" si="36"/>
        <v>6520000</v>
      </c>
      <c r="K41" s="365">
        <f t="shared" si="36"/>
        <v>31000000</v>
      </c>
      <c r="L41" s="365">
        <f t="shared" si="36"/>
        <v>0</v>
      </c>
      <c r="M41" s="365">
        <f t="shared" si="36"/>
        <v>0</v>
      </c>
      <c r="N41" s="365">
        <f t="shared" si="36"/>
        <v>0</v>
      </c>
      <c r="O41" s="365">
        <f t="shared" si="36"/>
        <v>0</v>
      </c>
      <c r="P41" s="365">
        <f t="shared" si="36"/>
        <v>0</v>
      </c>
      <c r="Q41" s="365">
        <f t="shared" si="36"/>
        <v>1630000</v>
      </c>
      <c r="R41" s="365">
        <f t="shared" si="36"/>
        <v>0</v>
      </c>
      <c r="S41" s="365">
        <f t="shared" si="36"/>
        <v>418.75</v>
      </c>
      <c r="T41" s="365">
        <f t="shared" si="36"/>
        <v>418.75</v>
      </c>
      <c r="U41" s="365">
        <f t="shared" si="36"/>
        <v>418.75</v>
      </c>
      <c r="V41" s="365">
        <f t="shared" si="36"/>
        <v>418.75</v>
      </c>
      <c r="W41" s="365">
        <f t="shared" si="36"/>
        <v>3491375000</v>
      </c>
      <c r="X41" s="365">
        <f t="shared" si="36"/>
        <v>3491375000</v>
      </c>
      <c r="Y41" s="365">
        <f t="shared" si="36"/>
        <v>3491375000</v>
      </c>
      <c r="Z41" s="365">
        <f t="shared" si="36"/>
        <v>3491375000</v>
      </c>
      <c r="AA41" s="365">
        <f t="shared" si="36"/>
        <v>102</v>
      </c>
      <c r="AB41" s="365">
        <f t="shared" si="36"/>
        <v>2000000</v>
      </c>
      <c r="AC41" s="365">
        <f t="shared" si="36"/>
        <v>102</v>
      </c>
      <c r="AD41" s="365">
        <f t="shared" si="36"/>
        <v>2000000</v>
      </c>
      <c r="AE41" s="365">
        <f t="shared" si="36"/>
        <v>102</v>
      </c>
      <c r="AF41" s="365">
        <f t="shared" si="36"/>
        <v>2000000</v>
      </c>
      <c r="AG41" s="365">
        <f t="shared" si="36"/>
        <v>102</v>
      </c>
      <c r="AH41" s="365">
        <f t="shared" si="36"/>
        <v>2000000</v>
      </c>
      <c r="AI41" s="365">
        <f t="shared" si="36"/>
        <v>102</v>
      </c>
      <c r="AJ41" s="365">
        <f t="shared" si="36"/>
        <v>2000000</v>
      </c>
      <c r="AK41" s="365">
        <f t="shared" si="36"/>
        <v>102</v>
      </c>
      <c r="AL41" s="365">
        <f t="shared" si="36"/>
        <v>2000000</v>
      </c>
      <c r="AM41" s="365">
        <f t="shared" si="36"/>
        <v>103</v>
      </c>
      <c r="AN41" s="365">
        <f t="shared" si="36"/>
        <v>2500000</v>
      </c>
      <c r="AO41" s="365">
        <f t="shared" si="36"/>
        <v>103</v>
      </c>
      <c r="AP41" s="365">
        <f t="shared" si="36"/>
        <v>2500000</v>
      </c>
      <c r="AQ41" s="365">
        <f t="shared" si="36"/>
        <v>53</v>
      </c>
      <c r="AR41" s="365">
        <f t="shared" si="36"/>
        <v>2250000</v>
      </c>
      <c r="AS41" s="365">
        <f t="shared" si="36"/>
        <v>83</v>
      </c>
      <c r="AT41" s="365">
        <f t="shared" si="36"/>
        <v>2400000</v>
      </c>
      <c r="AU41" s="365">
        <f t="shared" si="36"/>
        <v>103</v>
      </c>
      <c r="AV41" s="365">
        <f t="shared" si="36"/>
        <v>2500000</v>
      </c>
      <c r="AW41" s="365">
        <f t="shared" si="36"/>
        <v>73</v>
      </c>
      <c r="AX41" s="365">
        <f t="shared" si="36"/>
        <v>2350000</v>
      </c>
      <c r="AY41" s="365">
        <f t="shared" si="36"/>
        <v>103</v>
      </c>
      <c r="AZ41" s="365">
        <f t="shared" si="36"/>
        <v>2500000</v>
      </c>
      <c r="BA41" s="365">
        <f t="shared" si="36"/>
        <v>103</v>
      </c>
      <c r="BB41" s="365">
        <f t="shared" si="36"/>
        <v>2500000</v>
      </c>
      <c r="BC41" s="365">
        <f t="shared" si="36"/>
        <v>153</v>
      </c>
      <c r="BD41" s="365">
        <f t="shared" si="36"/>
        <v>2750000</v>
      </c>
      <c r="BE41" s="365">
        <f t="shared" si="36"/>
        <v>123</v>
      </c>
      <c r="BF41" s="365">
        <f t="shared" si="36"/>
        <v>2600000</v>
      </c>
      <c r="BG41" s="365">
        <f t="shared" si="36"/>
        <v>63</v>
      </c>
      <c r="BH41" s="365">
        <f t="shared" si="36"/>
        <v>2300000</v>
      </c>
      <c r="BI41" s="365">
        <f t="shared" si="36"/>
        <v>0</v>
      </c>
      <c r="BJ41" s="365">
        <f t="shared" si="36"/>
        <v>0</v>
      </c>
      <c r="BK41" s="365">
        <f t="shared" si="36"/>
        <v>1675</v>
      </c>
      <c r="BL41" s="365">
        <f t="shared" si="36"/>
        <v>39150000</v>
      </c>
      <c r="BM41" s="365">
        <f t="shared" si="36"/>
        <v>0</v>
      </c>
      <c r="BN41" s="365">
        <f t="shared" si="36"/>
        <v>0</v>
      </c>
      <c r="BO41" s="365">
        <f t="shared" si="36"/>
        <v>0</v>
      </c>
      <c r="BP41" s="365">
        <f t="shared" si="36"/>
        <v>0</v>
      </c>
      <c r="BQ41" s="365">
        <f t="shared" si="36"/>
        <v>39150000</v>
      </c>
      <c r="BR41" s="365">
        <f t="shared" si="36"/>
        <v>0</v>
      </c>
      <c r="BS41" s="365">
        <f t="shared" si="36"/>
        <v>39150000</v>
      </c>
      <c r="BT41" s="365">
        <f>SUM(BT37:BT40)</f>
        <v>0</v>
      </c>
      <c r="BU41" s="365">
        <f>SUM(BU37:BU40)</f>
        <v>0</v>
      </c>
      <c r="BV41" s="365">
        <f>SUM(BV37:BV40)</f>
        <v>0</v>
      </c>
      <c r="BW41" s="365">
        <f>SUM(BW37:BW40)</f>
        <v>39150000</v>
      </c>
      <c r="BX41" s="369"/>
      <c r="BY41" s="369"/>
      <c r="BZ41" s="369"/>
      <c r="CA41" s="369"/>
      <c r="CB41" s="369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  <c r="DD41" s="369"/>
      <c r="DE41" s="369"/>
      <c r="DF41" s="369"/>
      <c r="DG41" s="369"/>
      <c r="DH41" s="369"/>
      <c r="DI41" s="369"/>
      <c r="DJ41" s="369"/>
      <c r="DK41" s="369"/>
      <c r="DL41" s="369"/>
      <c r="DM41" s="369"/>
      <c r="DN41" s="369"/>
      <c r="DO41" s="369"/>
      <c r="DP41" s="369"/>
      <c r="DQ41" s="369"/>
      <c r="DR41" s="369"/>
      <c r="DS41" s="369"/>
      <c r="DT41" s="369"/>
      <c r="DU41" s="369"/>
      <c r="DV41" s="369"/>
      <c r="DW41" s="369"/>
      <c r="DX41" s="369"/>
      <c r="DY41" s="369"/>
      <c r="DZ41" s="369"/>
      <c r="EA41" s="369"/>
      <c r="EB41" s="369"/>
      <c r="EC41" s="369"/>
      <c r="ED41" s="369"/>
      <c r="EE41" s="369"/>
      <c r="EF41" s="369"/>
      <c r="EG41" s="369"/>
      <c r="EH41" s="369"/>
      <c r="EI41" s="369"/>
      <c r="EJ41" s="369"/>
      <c r="EK41" s="369"/>
      <c r="EL41" s="369"/>
      <c r="EM41" s="369"/>
      <c r="EN41" s="369"/>
      <c r="EO41" s="369"/>
      <c r="EP41" s="369"/>
      <c r="EQ41" s="369"/>
      <c r="ER41" s="369"/>
      <c r="ES41" s="369"/>
      <c r="ET41" s="369"/>
      <c r="EU41" s="369"/>
      <c r="EV41" s="369"/>
      <c r="EW41" s="369"/>
      <c r="EX41" s="369"/>
      <c r="EY41" s="369"/>
      <c r="EZ41" s="369"/>
      <c r="FA41" s="369"/>
      <c r="FB41" s="369"/>
      <c r="FC41" s="369"/>
      <c r="FD41" s="369"/>
    </row>
    <row r="42" spans="1:160" s="623" customFormat="1">
      <c r="A42" s="842"/>
      <c r="B42" s="391"/>
      <c r="C42" s="385"/>
      <c r="D42" s="372" t="s">
        <v>470</v>
      </c>
      <c r="E42" s="461" t="s">
        <v>121</v>
      </c>
      <c r="F42" s="529" t="s">
        <v>121</v>
      </c>
      <c r="G42" s="560">
        <f t="shared" ref="G42:AL42" si="37">G41+G33+G31+G25+G18+G14+G35</f>
        <v>4284</v>
      </c>
      <c r="H42" s="560">
        <f t="shared" si="37"/>
        <v>550850000</v>
      </c>
      <c r="I42" s="560">
        <f t="shared" si="37"/>
        <v>2140000</v>
      </c>
      <c r="J42" s="560">
        <f t="shared" si="37"/>
        <v>22680000</v>
      </c>
      <c r="K42" s="560">
        <f t="shared" si="37"/>
        <v>48000000</v>
      </c>
      <c r="L42" s="560">
        <f t="shared" si="37"/>
        <v>61000000</v>
      </c>
      <c r="M42" s="560">
        <f t="shared" si="37"/>
        <v>190900000</v>
      </c>
      <c r="N42" s="560">
        <f t="shared" si="37"/>
        <v>0</v>
      </c>
      <c r="O42" s="560">
        <f t="shared" si="37"/>
        <v>222600000</v>
      </c>
      <c r="P42" s="560">
        <f t="shared" si="37"/>
        <v>0</v>
      </c>
      <c r="Q42" s="560">
        <f t="shared" si="37"/>
        <v>3530000</v>
      </c>
      <c r="R42" s="560">
        <f t="shared" si="37"/>
        <v>0</v>
      </c>
      <c r="S42" s="560">
        <f t="shared" si="37"/>
        <v>1071</v>
      </c>
      <c r="T42" s="560">
        <f t="shared" si="37"/>
        <v>1071</v>
      </c>
      <c r="U42" s="560">
        <f t="shared" si="37"/>
        <v>1071</v>
      </c>
      <c r="V42" s="560">
        <f t="shared" si="37"/>
        <v>1071</v>
      </c>
      <c r="W42" s="560">
        <f t="shared" si="37"/>
        <v>97761050000</v>
      </c>
      <c r="X42" s="560">
        <f t="shared" si="37"/>
        <v>97761050000</v>
      </c>
      <c r="Y42" s="560">
        <f t="shared" si="37"/>
        <v>97761050000</v>
      </c>
      <c r="Z42" s="560">
        <f t="shared" si="37"/>
        <v>97761050000</v>
      </c>
      <c r="AA42" s="560">
        <f t="shared" si="37"/>
        <v>256</v>
      </c>
      <c r="AB42" s="560">
        <f t="shared" si="37"/>
        <v>31600000</v>
      </c>
      <c r="AC42" s="560">
        <f t="shared" si="37"/>
        <v>248</v>
      </c>
      <c r="AD42" s="560">
        <f t="shared" si="37"/>
        <v>35160000</v>
      </c>
      <c r="AE42" s="560">
        <f t="shared" si="37"/>
        <v>265</v>
      </c>
      <c r="AF42" s="560">
        <f t="shared" si="37"/>
        <v>49140000</v>
      </c>
      <c r="AG42" s="560">
        <f t="shared" si="37"/>
        <v>275</v>
      </c>
      <c r="AH42" s="560">
        <f t="shared" si="37"/>
        <v>51000000</v>
      </c>
      <c r="AI42" s="560">
        <f t="shared" si="37"/>
        <v>249</v>
      </c>
      <c r="AJ42" s="560">
        <f t="shared" si="37"/>
        <v>40100000</v>
      </c>
      <c r="AK42" s="560">
        <f t="shared" si="37"/>
        <v>250</v>
      </c>
      <c r="AL42" s="560">
        <f t="shared" si="37"/>
        <v>31100000</v>
      </c>
      <c r="AM42" s="560">
        <f t="shared" ref="AM42:BL42" si="38">AM41+AM33+AM31+AM25+AM18+AM14+AM35</f>
        <v>256</v>
      </c>
      <c r="AN42" s="560">
        <f t="shared" si="38"/>
        <v>26600000</v>
      </c>
      <c r="AO42" s="560">
        <f t="shared" si="38"/>
        <v>269</v>
      </c>
      <c r="AP42" s="560">
        <f t="shared" si="38"/>
        <v>28800000</v>
      </c>
      <c r="AQ42" s="560">
        <f t="shared" si="38"/>
        <v>143</v>
      </c>
      <c r="AR42" s="560">
        <f t="shared" si="38"/>
        <v>17750000</v>
      </c>
      <c r="AS42" s="560">
        <f t="shared" si="38"/>
        <v>235</v>
      </c>
      <c r="AT42" s="560">
        <f t="shared" si="38"/>
        <v>31900000</v>
      </c>
      <c r="AU42" s="560">
        <f t="shared" si="38"/>
        <v>256</v>
      </c>
      <c r="AV42" s="560">
        <f t="shared" si="38"/>
        <v>27400000</v>
      </c>
      <c r="AW42" s="560">
        <f t="shared" si="38"/>
        <v>223</v>
      </c>
      <c r="AX42" s="560">
        <f t="shared" si="38"/>
        <v>30250000</v>
      </c>
      <c r="AY42" s="560">
        <f t="shared" si="38"/>
        <v>256</v>
      </c>
      <c r="AZ42" s="560">
        <f t="shared" si="38"/>
        <v>27400000</v>
      </c>
      <c r="BA42" s="560">
        <f t="shared" si="38"/>
        <v>249</v>
      </c>
      <c r="BB42" s="560">
        <f t="shared" si="38"/>
        <v>24900000</v>
      </c>
      <c r="BC42" s="560">
        <f t="shared" si="38"/>
        <v>340</v>
      </c>
      <c r="BD42" s="560">
        <f t="shared" si="38"/>
        <v>32350000</v>
      </c>
      <c r="BE42" s="560">
        <f t="shared" si="38"/>
        <v>299</v>
      </c>
      <c r="BF42" s="560">
        <f t="shared" si="38"/>
        <v>26700000</v>
      </c>
      <c r="BG42" s="560">
        <f t="shared" si="38"/>
        <v>215</v>
      </c>
      <c r="BH42" s="560">
        <f t="shared" si="38"/>
        <v>38700000</v>
      </c>
      <c r="BI42" s="560">
        <f t="shared" si="38"/>
        <v>0</v>
      </c>
      <c r="BJ42" s="560">
        <f t="shared" si="38"/>
        <v>0</v>
      </c>
      <c r="BK42" s="560">
        <f t="shared" si="38"/>
        <v>4284</v>
      </c>
      <c r="BL42" s="560">
        <f t="shared" si="38"/>
        <v>550850000</v>
      </c>
      <c r="BM42" s="560" t="e">
        <f t="shared" ref="BM42:BW42" si="39">BM41+BM33+BM31+BM25+BM18+BM14+BM35</f>
        <v>#VALUE!</v>
      </c>
      <c r="BN42" s="560">
        <f t="shared" si="39"/>
        <v>0</v>
      </c>
      <c r="BO42" s="560">
        <f t="shared" si="39"/>
        <v>499000000</v>
      </c>
      <c r="BP42" s="560">
        <f t="shared" si="39"/>
        <v>2000000</v>
      </c>
      <c r="BQ42" s="560">
        <f t="shared" si="39"/>
        <v>49850000</v>
      </c>
      <c r="BR42" s="560">
        <f t="shared" si="39"/>
        <v>0</v>
      </c>
      <c r="BS42" s="560">
        <f t="shared" si="39"/>
        <v>550850000</v>
      </c>
      <c r="BT42" s="560">
        <f t="shared" si="39"/>
        <v>0</v>
      </c>
      <c r="BU42" s="560">
        <f t="shared" si="39"/>
        <v>0</v>
      </c>
      <c r="BV42" s="560">
        <f t="shared" si="39"/>
        <v>0</v>
      </c>
      <c r="BW42" s="560">
        <f t="shared" si="39"/>
        <v>550850000</v>
      </c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</row>
    <row r="43" spans="1:160">
      <c r="D43" s="31" t="s">
        <v>245</v>
      </c>
      <c r="E43" s="785"/>
      <c r="F43" s="785"/>
      <c r="G43" s="785"/>
    </row>
    <row r="44" spans="1:160">
      <c r="D44" s="31" t="s">
        <v>299</v>
      </c>
      <c r="H44" s="220">
        <f>BL37+BL40</f>
        <v>31000000</v>
      </c>
    </row>
    <row r="45" spans="1:160">
      <c r="D45" s="31" t="s">
        <v>300</v>
      </c>
    </row>
    <row r="46" spans="1:160">
      <c r="D46" s="31" t="s">
        <v>301</v>
      </c>
    </row>
    <row r="47" spans="1:160">
      <c r="D47" s="31" t="s">
        <v>302</v>
      </c>
    </row>
  </sheetData>
  <mergeCells count="46">
    <mergeCell ref="A1:C1"/>
    <mergeCell ref="D1:R1"/>
    <mergeCell ref="A2:C2"/>
    <mergeCell ref="D2:R2"/>
    <mergeCell ref="A3:C3"/>
    <mergeCell ref="D3:R3"/>
    <mergeCell ref="A4:C4"/>
    <mergeCell ref="D4:R4"/>
    <mergeCell ref="A5:C5"/>
    <mergeCell ref="D5:R5"/>
    <mergeCell ref="A6:E6"/>
    <mergeCell ref="G6:H6"/>
    <mergeCell ref="I6:R6"/>
    <mergeCell ref="AS6:AT7"/>
    <mergeCell ref="S6:V7"/>
    <mergeCell ref="W6:Z7"/>
    <mergeCell ref="AA6:AB7"/>
    <mergeCell ref="AC6:AD7"/>
    <mergeCell ref="AE6:AF7"/>
    <mergeCell ref="AG6:AH7"/>
    <mergeCell ref="AI6:AJ7"/>
    <mergeCell ref="AK6:AL7"/>
    <mergeCell ref="AM6:AN7"/>
    <mergeCell ref="AO6:AP7"/>
    <mergeCell ref="AQ6:AR7"/>
    <mergeCell ref="AW6:AX7"/>
    <mergeCell ref="AY6:AZ7"/>
    <mergeCell ref="BA6:BB7"/>
    <mergeCell ref="BC6:BD7"/>
    <mergeCell ref="BE6:BF7"/>
    <mergeCell ref="BO7:BS7"/>
    <mergeCell ref="BT7:BV7"/>
    <mergeCell ref="BW7:BW8"/>
    <mergeCell ref="A9:A42"/>
    <mergeCell ref="E43:G43"/>
    <mergeCell ref="BG6:BH7"/>
    <mergeCell ref="BI6:BJ7"/>
    <mergeCell ref="BK6:BL7"/>
    <mergeCell ref="BM6:BM8"/>
    <mergeCell ref="C7:C8"/>
    <mergeCell ref="D7:D8"/>
    <mergeCell ref="E7:E8"/>
    <mergeCell ref="F7:F8"/>
    <mergeCell ref="G7:G8"/>
    <mergeCell ref="H7:H8"/>
    <mergeCell ref="AU6:AV7"/>
  </mergeCells>
  <pageMargins left="0.26" right="0.34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Sum, scheme</vt:lpstr>
      <vt:lpstr>Sum , MPA</vt:lpstr>
      <vt:lpstr>Summary </vt:lpstr>
      <vt:lpstr>1.1</vt:lpstr>
      <vt:lpstr>1.2</vt:lpstr>
      <vt:lpstr>2.1</vt:lpstr>
      <vt:lpstr>2.2</vt:lpstr>
      <vt:lpstr>2.3</vt:lpstr>
      <vt:lpstr>3.1</vt:lpstr>
      <vt:lpstr>3.2</vt:lpstr>
      <vt:lpstr>4.1 </vt:lpstr>
      <vt:lpstr>4.2</vt:lpstr>
      <vt:lpstr>4.3 </vt:lpstr>
      <vt:lpstr>'Sum , MPA'!Print_Titles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fao</dc:creator>
  <cp:lastModifiedBy>Lenovo</cp:lastModifiedBy>
  <cp:lastPrinted>2020-01-27T12:24:42Z</cp:lastPrinted>
  <dcterms:created xsi:type="dcterms:W3CDTF">2000-12-31T18:57:07Z</dcterms:created>
  <dcterms:modified xsi:type="dcterms:W3CDTF">2020-06-01T06:40:06Z</dcterms:modified>
</cp:coreProperties>
</file>