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-Old computer\OPELIP-18.05.2019\AWPB\AWPB 2019-20\11.02.2020 Revised AWPB 2019-20\"/>
    </mc:Choice>
  </mc:AlternateContent>
  <xr:revisionPtr revIDLastSave="0" documentId="13_ncr:1_{9C49B80A-8BC2-478F-9BA9-948268DE8E78}" xr6:coauthVersionLast="45" xr6:coauthVersionMax="45" xr10:uidLastSave="{00000000-0000-0000-0000-000000000000}"/>
  <bookViews>
    <workbookView xWindow="-120" yWindow="-120" windowWidth="24240" windowHeight="13140" tabRatio="884" activeTab="1" xr2:uid="{00000000-000D-0000-FFFF-FFFF00000000}"/>
  </bookViews>
  <sheets>
    <sheet name="Quarterly plan" sheetId="40" r:id="rId1"/>
    <sheet name="Sum, scheme" sheetId="20" r:id="rId2"/>
    <sheet name="Sum , MPA" sheetId="39" r:id="rId3"/>
    <sheet name="1.1" sheetId="7" r:id="rId4"/>
    <sheet name="1.2 " sheetId="28" r:id="rId5"/>
    <sheet name="2.1" sheetId="32" r:id="rId6"/>
    <sheet name="2.2" sheetId="33" r:id="rId7"/>
    <sheet name="2.3" sheetId="34" r:id="rId8"/>
    <sheet name="3.1 " sheetId="38" r:id="rId9"/>
    <sheet name="3.2 " sheetId="37" r:id="rId10"/>
    <sheet name="4.1 " sheetId="24" r:id="rId11"/>
    <sheet name="4.2" sheetId="25" r:id="rId12"/>
    <sheet name="4.3 " sheetId="26" r:id="rId13"/>
  </sheets>
  <definedNames>
    <definedName name="_xlnm._FilterDatabase" localSheetId="9" hidden="1">'3.2 '!$A$10:$BE$10</definedName>
    <definedName name="_xlnm.Print_Titles" localSheetId="2">'Sum , MPA'!$A:$C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5" i="32" l="1"/>
  <c r="I135" i="32"/>
  <c r="X16" i="33"/>
  <c r="P34" i="34" l="1"/>
  <c r="H34" i="34"/>
  <c r="G6" i="40" l="1"/>
  <c r="H135" i="32" l="1"/>
  <c r="Z135" i="32"/>
  <c r="Z124" i="32"/>
  <c r="Z19" i="32"/>
  <c r="Y19" i="32"/>
  <c r="X19" i="32"/>
  <c r="AC135" i="32"/>
  <c r="AD135" i="32"/>
  <c r="AE135" i="32"/>
  <c r="AF135" i="32"/>
  <c r="AG135" i="32"/>
  <c r="AH135" i="32"/>
  <c r="AI135" i="32"/>
  <c r="AJ135" i="32"/>
  <c r="AK135" i="32"/>
  <c r="AL135" i="32"/>
  <c r="AM135" i="32"/>
  <c r="AN135" i="32"/>
  <c r="AO135" i="32"/>
  <c r="AP135" i="32"/>
  <c r="AQ135" i="32"/>
  <c r="AR135" i="32"/>
  <c r="AS135" i="32"/>
  <c r="AT135" i="32"/>
  <c r="AU135" i="32"/>
  <c r="AV135" i="32"/>
  <c r="AW135" i="32"/>
  <c r="AX135" i="32"/>
  <c r="AY135" i="32"/>
  <c r="AZ135" i="32"/>
  <c r="BA135" i="32"/>
  <c r="BB135" i="32"/>
  <c r="BC135" i="32"/>
  <c r="BD135" i="32"/>
  <c r="BE135" i="32"/>
  <c r="BF135" i="32"/>
  <c r="BG135" i="32"/>
  <c r="BH135" i="32"/>
  <c r="BI135" i="32"/>
  <c r="BJ135" i="32"/>
  <c r="AB135" i="32"/>
  <c r="BS134" i="32"/>
  <c r="BW134" i="32"/>
  <c r="BQ135" i="32"/>
  <c r="BQ134" i="32"/>
  <c r="H134" i="32"/>
  <c r="V135" i="32"/>
  <c r="Z134" i="32"/>
  <c r="BK134" i="32"/>
  <c r="BL134" i="32"/>
  <c r="J134" i="32"/>
  <c r="I134" i="32"/>
  <c r="AB134" i="32"/>
  <c r="AD134" i="32"/>
  <c r="AF134" i="32"/>
  <c r="AH134" i="32"/>
  <c r="AJ134" i="32"/>
  <c r="AL134" i="32"/>
  <c r="AN134" i="32"/>
  <c r="AP134" i="32"/>
  <c r="AR134" i="32"/>
  <c r="AT134" i="32"/>
  <c r="AV134" i="32"/>
  <c r="AX134" i="32"/>
  <c r="AZ134" i="32"/>
  <c r="BB134" i="32"/>
  <c r="BD134" i="32"/>
  <c r="BF134" i="32"/>
  <c r="BH132" i="32"/>
  <c r="BH133" i="32"/>
  <c r="BH134" i="32"/>
  <c r="AA135" i="32"/>
  <c r="E15" i="40" l="1"/>
  <c r="F15" i="40"/>
  <c r="G15" i="40"/>
  <c r="D15" i="40"/>
  <c r="C15" i="40"/>
  <c r="E14" i="40"/>
  <c r="F14" i="40"/>
  <c r="G14" i="40"/>
  <c r="D14" i="40"/>
  <c r="C14" i="40"/>
  <c r="E13" i="40"/>
  <c r="F13" i="40"/>
  <c r="G13" i="40"/>
  <c r="D13" i="40"/>
  <c r="C13" i="40"/>
  <c r="E11" i="40"/>
  <c r="F11" i="40"/>
  <c r="G11" i="40"/>
  <c r="D11" i="40"/>
  <c r="C11" i="40"/>
  <c r="E10" i="40"/>
  <c r="F10" i="40"/>
  <c r="G10" i="40"/>
  <c r="G12" i="40" s="1"/>
  <c r="D10" i="40"/>
  <c r="C10" i="40"/>
  <c r="E7" i="40"/>
  <c r="D7" i="40"/>
  <c r="E8" i="40"/>
  <c r="F8" i="40"/>
  <c r="D8" i="40"/>
  <c r="C8" i="40"/>
  <c r="Y109" i="25"/>
  <c r="Y108" i="25"/>
  <c r="X108" i="25"/>
  <c r="R110" i="24"/>
  <c r="F96" i="24"/>
  <c r="S50" i="37"/>
  <c r="T50" i="37"/>
  <c r="U50" i="37"/>
  <c r="W43" i="24"/>
  <c r="U49" i="37"/>
  <c r="T49" i="37"/>
  <c r="S49" i="37"/>
  <c r="V46" i="37"/>
  <c r="W46" i="37"/>
  <c r="X46" i="37"/>
  <c r="Y46" i="37"/>
  <c r="R41" i="37"/>
  <c r="S41" i="37"/>
  <c r="T41" i="37"/>
  <c r="U41" i="37"/>
  <c r="R42" i="37"/>
  <c r="S42" i="37"/>
  <c r="T42" i="37"/>
  <c r="U42" i="37"/>
  <c r="R43" i="37"/>
  <c r="S43" i="37"/>
  <c r="T43" i="37"/>
  <c r="U43" i="37"/>
  <c r="R44" i="37"/>
  <c r="S44" i="37"/>
  <c r="T44" i="37"/>
  <c r="U44" i="37"/>
  <c r="R45" i="37"/>
  <c r="S45" i="37"/>
  <c r="T45" i="37"/>
  <c r="U45" i="37"/>
  <c r="R46" i="37"/>
  <c r="S46" i="37"/>
  <c r="T46" i="37"/>
  <c r="U46" i="37"/>
  <c r="U40" i="37"/>
  <c r="T40" i="37"/>
  <c r="S40" i="37"/>
  <c r="R40" i="37"/>
  <c r="R14" i="37"/>
  <c r="S14" i="37"/>
  <c r="T14" i="37"/>
  <c r="U14" i="37"/>
  <c r="R15" i="37"/>
  <c r="S15" i="37"/>
  <c r="T15" i="37"/>
  <c r="U15" i="37"/>
  <c r="R16" i="37"/>
  <c r="S16" i="37"/>
  <c r="T16" i="37"/>
  <c r="U16" i="37"/>
  <c r="R17" i="37"/>
  <c r="S17" i="37"/>
  <c r="T17" i="37"/>
  <c r="U17" i="37"/>
  <c r="R18" i="37"/>
  <c r="S18" i="37"/>
  <c r="T18" i="37"/>
  <c r="U18" i="37"/>
  <c r="R19" i="37"/>
  <c r="S19" i="37"/>
  <c r="T19" i="37"/>
  <c r="U19" i="37"/>
  <c r="R20" i="37"/>
  <c r="S20" i="37"/>
  <c r="T20" i="37"/>
  <c r="U20" i="37"/>
  <c r="R21" i="37"/>
  <c r="S21" i="37"/>
  <c r="T21" i="37"/>
  <c r="U21" i="37"/>
  <c r="R22" i="37"/>
  <c r="S22" i="37"/>
  <c r="T22" i="37"/>
  <c r="U22" i="37"/>
  <c r="R23" i="37"/>
  <c r="S23" i="37"/>
  <c r="T23" i="37"/>
  <c r="U23" i="37"/>
  <c r="R24" i="37"/>
  <c r="S24" i="37"/>
  <c r="T24" i="37"/>
  <c r="U24" i="37"/>
  <c r="R25" i="37"/>
  <c r="S25" i="37"/>
  <c r="T25" i="37"/>
  <c r="U25" i="37"/>
  <c r="R26" i="37"/>
  <c r="S26" i="37"/>
  <c r="T26" i="37"/>
  <c r="U26" i="37"/>
  <c r="R27" i="37"/>
  <c r="S27" i="37"/>
  <c r="T27" i="37"/>
  <c r="U27" i="37"/>
  <c r="R28" i="37"/>
  <c r="S28" i="37"/>
  <c r="T28" i="37"/>
  <c r="U28" i="37"/>
  <c r="R29" i="37"/>
  <c r="S29" i="37"/>
  <c r="T29" i="37"/>
  <c r="U29" i="37"/>
  <c r="R30" i="37"/>
  <c r="S30" i="37"/>
  <c r="T30" i="37"/>
  <c r="U30" i="37"/>
  <c r="R31" i="37"/>
  <c r="S31" i="37"/>
  <c r="T31" i="37"/>
  <c r="U31" i="37"/>
  <c r="R32" i="37"/>
  <c r="S32" i="37"/>
  <c r="T32" i="37"/>
  <c r="U32" i="37"/>
  <c r="R33" i="37"/>
  <c r="S33" i="37"/>
  <c r="T33" i="37"/>
  <c r="U33" i="37"/>
  <c r="R34" i="37"/>
  <c r="S34" i="37"/>
  <c r="T34" i="37"/>
  <c r="U34" i="37"/>
  <c r="R35" i="37"/>
  <c r="S35" i="37"/>
  <c r="T35" i="37"/>
  <c r="U35" i="37"/>
  <c r="R36" i="37"/>
  <c r="S36" i="37"/>
  <c r="T36" i="37"/>
  <c r="U36" i="37"/>
  <c r="R37" i="37"/>
  <c r="S37" i="37"/>
  <c r="T37" i="37"/>
  <c r="U37" i="37"/>
  <c r="S13" i="37"/>
  <c r="R13" i="37"/>
  <c r="S45" i="38"/>
  <c r="T45" i="38"/>
  <c r="U45" i="38"/>
  <c r="V45" i="38"/>
  <c r="S46" i="38"/>
  <c r="T46" i="38"/>
  <c r="U46" i="38"/>
  <c r="V46" i="38"/>
  <c r="S47" i="38"/>
  <c r="T47" i="38"/>
  <c r="U47" i="38"/>
  <c r="V47" i="38"/>
  <c r="S48" i="38"/>
  <c r="T48" i="38"/>
  <c r="U48" i="38"/>
  <c r="V48" i="38"/>
  <c r="V44" i="38"/>
  <c r="U44" i="38"/>
  <c r="T44" i="38"/>
  <c r="S44" i="38"/>
  <c r="S31" i="38"/>
  <c r="T31" i="38"/>
  <c r="U31" i="38"/>
  <c r="V31" i="38"/>
  <c r="S32" i="38"/>
  <c r="T32" i="38"/>
  <c r="U32" i="38"/>
  <c r="V32" i="38"/>
  <c r="S33" i="38"/>
  <c r="T33" i="38"/>
  <c r="U33" i="38"/>
  <c r="V33" i="38"/>
  <c r="S34" i="38"/>
  <c r="T34" i="38"/>
  <c r="U34" i="38"/>
  <c r="V34" i="38"/>
  <c r="S35" i="38"/>
  <c r="T35" i="38"/>
  <c r="U35" i="38"/>
  <c r="V35" i="38"/>
  <c r="S36" i="38"/>
  <c r="T36" i="38"/>
  <c r="U36" i="38"/>
  <c r="V36" i="38"/>
  <c r="V30" i="38"/>
  <c r="U30" i="38"/>
  <c r="S30" i="38"/>
  <c r="T30" i="38"/>
  <c r="BK18" i="38"/>
  <c r="G18" i="38"/>
  <c r="W45" i="34"/>
  <c r="V45" i="34"/>
  <c r="G45" i="34"/>
  <c r="W36" i="34"/>
  <c r="X36" i="34"/>
  <c r="S36" i="34"/>
  <c r="T36" i="34"/>
  <c r="U36" i="34"/>
  <c r="R36" i="34"/>
  <c r="U34" i="34"/>
  <c r="W17" i="33"/>
  <c r="V17" i="33"/>
  <c r="W16" i="33"/>
  <c r="V16" i="33"/>
  <c r="W19" i="32"/>
  <c r="Z17" i="32"/>
  <c r="Y17" i="32"/>
  <c r="X17" i="32"/>
  <c r="W17" i="32"/>
  <c r="V19" i="32"/>
  <c r="U19" i="32"/>
  <c r="T19" i="32"/>
  <c r="U71" i="28"/>
  <c r="T71" i="28"/>
  <c r="S71" i="28"/>
  <c r="R71" i="28"/>
  <c r="R66" i="28"/>
  <c r="S66" i="28"/>
  <c r="T66" i="28"/>
  <c r="U66" i="28"/>
  <c r="R67" i="28"/>
  <c r="S67" i="28"/>
  <c r="T67" i="28"/>
  <c r="U67" i="28"/>
  <c r="R68" i="28"/>
  <c r="S68" i="28"/>
  <c r="T68" i="28"/>
  <c r="U68" i="28"/>
  <c r="U65" i="28"/>
  <c r="T65" i="28"/>
  <c r="S65" i="28"/>
  <c r="R65" i="28"/>
  <c r="R53" i="28"/>
  <c r="S53" i="28"/>
  <c r="T53" i="28"/>
  <c r="U53" i="28"/>
  <c r="R54" i="28"/>
  <c r="S54" i="28"/>
  <c r="T54" i="28"/>
  <c r="U54" i="28"/>
  <c r="R55" i="28"/>
  <c r="S55" i="28"/>
  <c r="T55" i="28"/>
  <c r="U55" i="28"/>
  <c r="R56" i="28"/>
  <c r="S56" i="28"/>
  <c r="T56" i="28"/>
  <c r="U56" i="28"/>
  <c r="R57" i="28"/>
  <c r="S57" i="28"/>
  <c r="T57" i="28"/>
  <c r="U57" i="28"/>
  <c r="R58" i="28"/>
  <c r="S58" i="28"/>
  <c r="T58" i="28"/>
  <c r="U58" i="28"/>
  <c r="R59" i="28"/>
  <c r="S59" i="28"/>
  <c r="T59" i="28"/>
  <c r="U59" i="28"/>
  <c r="R60" i="28"/>
  <c r="S60" i="28"/>
  <c r="T60" i="28"/>
  <c r="U60" i="28"/>
  <c r="U52" i="28"/>
  <c r="T52" i="28"/>
  <c r="S52" i="28"/>
  <c r="R52" i="28"/>
  <c r="R46" i="28"/>
  <c r="S46" i="28"/>
  <c r="T46" i="28"/>
  <c r="U46" i="28"/>
  <c r="R47" i="28"/>
  <c r="S47" i="28"/>
  <c r="T47" i="28"/>
  <c r="U47" i="28"/>
  <c r="R48" i="28"/>
  <c r="S48" i="28"/>
  <c r="T48" i="28"/>
  <c r="U48" i="28"/>
  <c r="R49" i="28"/>
  <c r="S49" i="28"/>
  <c r="T49" i="28"/>
  <c r="U49" i="28"/>
  <c r="U45" i="28"/>
  <c r="T45" i="28"/>
  <c r="S45" i="28"/>
  <c r="R45" i="28"/>
  <c r="R35" i="28"/>
  <c r="S35" i="28"/>
  <c r="T35" i="28"/>
  <c r="U35" i="28"/>
  <c r="R36" i="28"/>
  <c r="S36" i="28"/>
  <c r="T36" i="28"/>
  <c r="U36" i="28"/>
  <c r="R37" i="28"/>
  <c r="S37" i="28"/>
  <c r="T37" i="28"/>
  <c r="U37" i="28"/>
  <c r="R38" i="28"/>
  <c r="S38" i="28"/>
  <c r="T38" i="28"/>
  <c r="U38" i="28"/>
  <c r="R39" i="28"/>
  <c r="S39" i="28"/>
  <c r="T39" i="28"/>
  <c r="U39" i="28"/>
  <c r="R40" i="28"/>
  <c r="S40" i="28"/>
  <c r="T40" i="28"/>
  <c r="U40" i="28"/>
  <c r="R41" i="28"/>
  <c r="S41" i="28"/>
  <c r="T41" i="28"/>
  <c r="U41" i="28"/>
  <c r="R42" i="28"/>
  <c r="S42" i="28"/>
  <c r="T42" i="28"/>
  <c r="U42" i="28"/>
  <c r="U34" i="28"/>
  <c r="T34" i="28"/>
  <c r="S34" i="28"/>
  <c r="R34" i="28"/>
  <c r="R28" i="28"/>
  <c r="S28" i="28"/>
  <c r="T28" i="28"/>
  <c r="U28" i="28"/>
  <c r="R29" i="28"/>
  <c r="S29" i="28"/>
  <c r="T29" i="28"/>
  <c r="U29" i="28"/>
  <c r="U27" i="28"/>
  <c r="T27" i="28"/>
  <c r="S27" i="28"/>
  <c r="R27" i="28"/>
  <c r="R22" i="28"/>
  <c r="S22" i="28"/>
  <c r="T22" i="28"/>
  <c r="U22" i="28"/>
  <c r="R23" i="28"/>
  <c r="S23" i="28"/>
  <c r="T23" i="28"/>
  <c r="U23" i="28"/>
  <c r="R24" i="28"/>
  <c r="S24" i="28"/>
  <c r="T24" i="28"/>
  <c r="U24" i="28"/>
  <c r="U21" i="28"/>
  <c r="T21" i="28"/>
  <c r="S21" i="28"/>
  <c r="R21" i="28"/>
  <c r="U15" i="28"/>
  <c r="T15" i="28"/>
  <c r="S15" i="28"/>
  <c r="R15" i="28"/>
  <c r="U13" i="28"/>
  <c r="T13" i="28"/>
  <c r="S13" i="28"/>
  <c r="R13" i="28"/>
  <c r="E59" i="7"/>
  <c r="Y59" i="7" s="1"/>
  <c r="V59" i="7"/>
  <c r="W59" i="7"/>
  <c r="X59" i="7"/>
  <c r="R59" i="7"/>
  <c r="S59" i="7"/>
  <c r="T59" i="7"/>
  <c r="U59" i="7"/>
  <c r="Y83" i="7"/>
  <c r="Y70" i="7"/>
  <c r="X70" i="7"/>
  <c r="W70" i="7"/>
  <c r="V70" i="7"/>
  <c r="U70" i="7"/>
  <c r="T70" i="7"/>
  <c r="S70" i="7"/>
  <c r="R70" i="7"/>
  <c r="R63" i="7"/>
  <c r="V63" i="7" s="1"/>
  <c r="S63" i="7"/>
  <c r="W63" i="7" s="1"/>
  <c r="T63" i="7"/>
  <c r="X63" i="7" s="1"/>
  <c r="U63" i="7"/>
  <c r="Y63" i="7"/>
  <c r="R64" i="7"/>
  <c r="V64" i="7" s="1"/>
  <c r="S64" i="7"/>
  <c r="T64" i="7"/>
  <c r="U64" i="7"/>
  <c r="Y64" i="7" s="1"/>
  <c r="W64" i="7"/>
  <c r="X64" i="7"/>
  <c r="R65" i="7"/>
  <c r="S65" i="7"/>
  <c r="W65" i="7" s="1"/>
  <c r="T65" i="7"/>
  <c r="X65" i="7" s="1"/>
  <c r="U65" i="7"/>
  <c r="Y65" i="7" s="1"/>
  <c r="V65" i="7"/>
  <c r="R66" i="7"/>
  <c r="V66" i="7" s="1"/>
  <c r="S66" i="7"/>
  <c r="W66" i="7" s="1"/>
  <c r="T66" i="7"/>
  <c r="X66" i="7" s="1"/>
  <c r="U66" i="7"/>
  <c r="Y66" i="7"/>
  <c r="R67" i="7"/>
  <c r="V67" i="7" s="1"/>
  <c r="S67" i="7"/>
  <c r="T67" i="7"/>
  <c r="U67" i="7"/>
  <c r="Y67" i="7" s="1"/>
  <c r="W67" i="7"/>
  <c r="X67" i="7"/>
  <c r="R68" i="7"/>
  <c r="S68" i="7"/>
  <c r="W68" i="7" s="1"/>
  <c r="T68" i="7"/>
  <c r="X68" i="7" s="1"/>
  <c r="U68" i="7"/>
  <c r="Y68" i="7" s="1"/>
  <c r="V68" i="7"/>
  <c r="Y62" i="7"/>
  <c r="X62" i="7"/>
  <c r="W62" i="7"/>
  <c r="V62" i="7"/>
  <c r="U62" i="7"/>
  <c r="T62" i="7"/>
  <c r="S62" i="7"/>
  <c r="R62" i="7"/>
  <c r="Y58" i="7"/>
  <c r="X58" i="7"/>
  <c r="W58" i="7"/>
  <c r="V58" i="7"/>
  <c r="U58" i="7"/>
  <c r="T58" i="7"/>
  <c r="S58" i="7"/>
  <c r="R58" i="7"/>
  <c r="R55" i="7"/>
  <c r="S55" i="7"/>
  <c r="T55" i="7"/>
  <c r="X55" i="7" s="1"/>
  <c r="U55" i="7"/>
  <c r="Y55" i="7" s="1"/>
  <c r="V55" i="7"/>
  <c r="W55" i="7"/>
  <c r="Y54" i="7"/>
  <c r="X54" i="7"/>
  <c r="W54" i="7"/>
  <c r="V54" i="7"/>
  <c r="U54" i="7"/>
  <c r="T54" i="7"/>
  <c r="S54" i="7"/>
  <c r="R54" i="7"/>
  <c r="R51" i="7"/>
  <c r="S51" i="7"/>
  <c r="T51" i="7"/>
  <c r="U51" i="7"/>
  <c r="V51" i="7"/>
  <c r="W51" i="7"/>
  <c r="X51" i="7"/>
  <c r="Y51" i="7"/>
  <c r="Y50" i="7"/>
  <c r="X50" i="7"/>
  <c r="W50" i="7"/>
  <c r="V50" i="7"/>
  <c r="U50" i="7"/>
  <c r="T50" i="7"/>
  <c r="S50" i="7"/>
  <c r="R50" i="7"/>
  <c r="R47" i="7"/>
  <c r="S47" i="7"/>
  <c r="T47" i="7"/>
  <c r="U47" i="7"/>
  <c r="Y47" i="7" s="1"/>
  <c r="V47" i="7"/>
  <c r="W47" i="7"/>
  <c r="X47" i="7"/>
  <c r="Y46" i="7"/>
  <c r="X46" i="7"/>
  <c r="W46" i="7"/>
  <c r="V46" i="7"/>
  <c r="U46" i="7"/>
  <c r="T46" i="7"/>
  <c r="S46" i="7"/>
  <c r="R46" i="7"/>
  <c r="R37" i="7"/>
  <c r="S37" i="7"/>
  <c r="T37" i="7"/>
  <c r="X37" i="7" s="1"/>
  <c r="U37" i="7"/>
  <c r="Y37" i="7" s="1"/>
  <c r="V37" i="7"/>
  <c r="W37" i="7"/>
  <c r="R38" i="7"/>
  <c r="V38" i="7" s="1"/>
  <c r="S38" i="7"/>
  <c r="W38" i="7" s="1"/>
  <c r="T38" i="7"/>
  <c r="U38" i="7"/>
  <c r="X38" i="7"/>
  <c r="Y38" i="7"/>
  <c r="R39" i="7"/>
  <c r="S39" i="7"/>
  <c r="T39" i="7"/>
  <c r="U39" i="7"/>
  <c r="V39" i="7"/>
  <c r="W39" i="7"/>
  <c r="X39" i="7"/>
  <c r="Y39" i="7"/>
  <c r="R40" i="7"/>
  <c r="S40" i="7"/>
  <c r="T40" i="7"/>
  <c r="X40" i="7" s="1"/>
  <c r="U40" i="7"/>
  <c r="Y40" i="7" s="1"/>
  <c r="V40" i="7"/>
  <c r="W40" i="7"/>
  <c r="R41" i="7"/>
  <c r="V41" i="7" s="1"/>
  <c r="S41" i="7"/>
  <c r="W41" i="7" s="1"/>
  <c r="T41" i="7"/>
  <c r="U41" i="7"/>
  <c r="X41" i="7"/>
  <c r="Y41" i="7"/>
  <c r="R42" i="7"/>
  <c r="S42" i="7"/>
  <c r="T42" i="7"/>
  <c r="U42" i="7"/>
  <c r="V42" i="7"/>
  <c r="W42" i="7"/>
  <c r="X42" i="7"/>
  <c r="Y42" i="7"/>
  <c r="R43" i="7"/>
  <c r="S43" i="7"/>
  <c r="T43" i="7"/>
  <c r="X43" i="7" s="1"/>
  <c r="U43" i="7"/>
  <c r="Y43" i="7" s="1"/>
  <c r="V43" i="7"/>
  <c r="W43" i="7"/>
  <c r="Y36" i="7"/>
  <c r="X36" i="7"/>
  <c r="W36" i="7"/>
  <c r="V36" i="7"/>
  <c r="U36" i="7"/>
  <c r="T36" i="7"/>
  <c r="S36" i="7"/>
  <c r="R36" i="7"/>
  <c r="R32" i="7"/>
  <c r="V32" i="7" s="1"/>
  <c r="S32" i="7"/>
  <c r="T32" i="7"/>
  <c r="U32" i="7"/>
  <c r="W32" i="7"/>
  <c r="X32" i="7"/>
  <c r="Y32" i="7"/>
  <c r="R33" i="7"/>
  <c r="S33" i="7"/>
  <c r="W33" i="7" s="1"/>
  <c r="T33" i="7"/>
  <c r="X33" i="7" s="1"/>
  <c r="U33" i="7"/>
  <c r="Y33" i="7" s="1"/>
  <c r="V33" i="7"/>
  <c r="Y31" i="7"/>
  <c r="X31" i="7"/>
  <c r="W31" i="7"/>
  <c r="V31" i="7"/>
  <c r="U31" i="7"/>
  <c r="T31" i="7"/>
  <c r="S31" i="7"/>
  <c r="R31" i="7"/>
  <c r="V15" i="7"/>
  <c r="W15" i="7"/>
  <c r="X15" i="7"/>
  <c r="Y15" i="7"/>
  <c r="V16" i="7"/>
  <c r="W16" i="7"/>
  <c r="X16" i="7"/>
  <c r="Y16" i="7"/>
  <c r="V17" i="7"/>
  <c r="W17" i="7"/>
  <c r="X17" i="7"/>
  <c r="Y17" i="7"/>
  <c r="V18" i="7"/>
  <c r="W18" i="7"/>
  <c r="X18" i="7"/>
  <c r="Y18" i="7"/>
  <c r="V19" i="7"/>
  <c r="W19" i="7"/>
  <c r="X19" i="7"/>
  <c r="Y19" i="7"/>
  <c r="V20" i="7"/>
  <c r="W20" i="7"/>
  <c r="X20" i="7"/>
  <c r="Y20" i="7"/>
  <c r="V21" i="7"/>
  <c r="W21" i="7"/>
  <c r="X21" i="7"/>
  <c r="Y21" i="7"/>
  <c r="V22" i="7"/>
  <c r="W22" i="7"/>
  <c r="X22" i="7"/>
  <c r="Y22" i="7"/>
  <c r="V23" i="7"/>
  <c r="W23" i="7"/>
  <c r="X23" i="7"/>
  <c r="Y23" i="7"/>
  <c r="V24" i="7"/>
  <c r="W24" i="7"/>
  <c r="X24" i="7"/>
  <c r="Y24" i="7"/>
  <c r="V25" i="7"/>
  <c r="W25" i="7"/>
  <c r="X25" i="7"/>
  <c r="Y25" i="7"/>
  <c r="V26" i="7"/>
  <c r="W26" i="7"/>
  <c r="X26" i="7"/>
  <c r="Y26" i="7"/>
  <c r="V27" i="7"/>
  <c r="W27" i="7"/>
  <c r="X27" i="7"/>
  <c r="Y27" i="7"/>
  <c r="V28" i="7"/>
  <c r="W28" i="7"/>
  <c r="X28" i="7"/>
  <c r="Y28" i="7"/>
  <c r="Y14" i="7"/>
  <c r="X14" i="7"/>
  <c r="W14" i="7"/>
  <c r="V14" i="7"/>
  <c r="R15" i="7"/>
  <c r="S15" i="7"/>
  <c r="T15" i="7"/>
  <c r="U15" i="7"/>
  <c r="R16" i="7"/>
  <c r="S16" i="7"/>
  <c r="T16" i="7"/>
  <c r="U16" i="7"/>
  <c r="R17" i="7"/>
  <c r="S17" i="7"/>
  <c r="T17" i="7"/>
  <c r="U17" i="7"/>
  <c r="R18" i="7"/>
  <c r="S18" i="7"/>
  <c r="T18" i="7"/>
  <c r="U18" i="7"/>
  <c r="R19" i="7"/>
  <c r="S19" i="7"/>
  <c r="T19" i="7"/>
  <c r="U19" i="7"/>
  <c r="R20" i="7"/>
  <c r="S20" i="7"/>
  <c r="T20" i="7"/>
  <c r="U20" i="7"/>
  <c r="R21" i="7"/>
  <c r="S21" i="7"/>
  <c r="T21" i="7"/>
  <c r="U21" i="7"/>
  <c r="R22" i="7"/>
  <c r="S22" i="7"/>
  <c r="T22" i="7"/>
  <c r="U22" i="7"/>
  <c r="R23" i="7"/>
  <c r="S23" i="7"/>
  <c r="T23" i="7"/>
  <c r="U23" i="7"/>
  <c r="R24" i="7"/>
  <c r="S24" i="7"/>
  <c r="T24" i="7"/>
  <c r="U24" i="7"/>
  <c r="R25" i="7"/>
  <c r="S25" i="7"/>
  <c r="T25" i="7"/>
  <c r="U25" i="7"/>
  <c r="R26" i="7"/>
  <c r="S26" i="7"/>
  <c r="T26" i="7"/>
  <c r="U26" i="7"/>
  <c r="R27" i="7"/>
  <c r="S27" i="7"/>
  <c r="T27" i="7"/>
  <c r="U27" i="7"/>
  <c r="R28" i="7"/>
  <c r="S28" i="7"/>
  <c r="T28" i="7"/>
  <c r="U28" i="7"/>
  <c r="U14" i="7"/>
  <c r="T14" i="7"/>
  <c r="S14" i="7"/>
  <c r="R14" i="7"/>
  <c r="C7" i="40"/>
  <c r="C6" i="40"/>
  <c r="C4" i="40"/>
  <c r="C3" i="40"/>
  <c r="E12" i="40" l="1"/>
  <c r="F12" i="40"/>
  <c r="D16" i="40"/>
  <c r="E16" i="40"/>
  <c r="D12" i="40"/>
  <c r="G16" i="40"/>
  <c r="H14" i="40"/>
  <c r="F16" i="40"/>
  <c r="H10" i="40"/>
  <c r="H13" i="40"/>
  <c r="H11" i="40"/>
  <c r="H15" i="40"/>
  <c r="E10" i="39"/>
  <c r="H12" i="40" l="1"/>
  <c r="H16" i="40"/>
  <c r="AM17" i="33"/>
  <c r="BK58" i="34" l="1"/>
  <c r="BJ58" i="34"/>
  <c r="BK43" i="34"/>
  <c r="BJ43" i="34"/>
  <c r="AP36" i="34"/>
  <c r="AR36" i="34"/>
  <c r="AT36" i="34"/>
  <c r="AV36" i="34"/>
  <c r="AX36" i="34"/>
  <c r="AZ36" i="34"/>
  <c r="BB36" i="34"/>
  <c r="BD36" i="34"/>
  <c r="BF36" i="34"/>
  <c r="BH36" i="34"/>
  <c r="AN36" i="34"/>
  <c r="AL36" i="34"/>
  <c r="AJ36" i="34"/>
  <c r="AH36" i="34"/>
  <c r="AF36" i="34"/>
  <c r="AD36" i="34"/>
  <c r="AB36" i="34"/>
  <c r="BK27" i="34"/>
  <c r="BJ27" i="34"/>
  <c r="BK15" i="34"/>
  <c r="BJ15" i="34"/>
  <c r="AP18" i="33"/>
  <c r="BK124" i="32"/>
  <c r="G124" i="32" s="1"/>
  <c r="J35" i="34"/>
  <c r="BR57" i="24"/>
  <c r="BP57" i="24"/>
  <c r="BQ59" i="34"/>
  <c r="BN59" i="34"/>
  <c r="BV14" i="34"/>
  <c r="BR15" i="34"/>
  <c r="BR14" i="34"/>
  <c r="BP15" i="34"/>
  <c r="BP14" i="34"/>
  <c r="BV35" i="34"/>
  <c r="BR35" i="34"/>
  <c r="BP35" i="34"/>
  <c r="BR69" i="28"/>
  <c r="BV68" i="28"/>
  <c r="BR68" i="28"/>
  <c r="BP68" i="28"/>
  <c r="BT58" i="7"/>
  <c r="BS59" i="7"/>
  <c r="H124" i="32" l="1"/>
  <c r="V124" i="32"/>
  <c r="U124" i="32"/>
  <c r="S124" i="32"/>
  <c r="T124" i="32"/>
  <c r="BG48" i="28"/>
  <c r="BE48" i="28"/>
  <c r="BC48" i="28"/>
  <c r="BA48" i="28"/>
  <c r="AY48" i="28"/>
  <c r="AW48" i="28"/>
  <c r="AU48" i="28"/>
  <c r="AS48" i="28"/>
  <c r="AQ48" i="28"/>
  <c r="AO48" i="28"/>
  <c r="AM48" i="28"/>
  <c r="AK48" i="28"/>
  <c r="AI48" i="28"/>
  <c r="AG48" i="28"/>
  <c r="AE48" i="28"/>
  <c r="AC48" i="28"/>
  <c r="BK59" i="7"/>
  <c r="BI28" i="7"/>
  <c r="BI20" i="7"/>
  <c r="BI21" i="7"/>
  <c r="BI22" i="7"/>
  <c r="BI23" i="7"/>
  <c r="BI24" i="7"/>
  <c r="BI25" i="7"/>
  <c r="BI26" i="7"/>
  <c r="BI27" i="7"/>
  <c r="BI17" i="7"/>
  <c r="BI18" i="7"/>
  <c r="BI19" i="7"/>
  <c r="BI16" i="7"/>
  <c r="BI15" i="7"/>
  <c r="AM36" i="37"/>
  <c r="Q124" i="32" l="1"/>
  <c r="I124" i="32"/>
  <c r="J124" i="32"/>
  <c r="G59" i="7"/>
  <c r="BI21" i="28"/>
  <c r="BJ17" i="33" l="1"/>
  <c r="F17" i="33" s="1"/>
  <c r="U17" i="33" s="1"/>
  <c r="AQ17" i="33"/>
  <c r="I59" i="7"/>
  <c r="L135" i="32"/>
  <c r="M135" i="32"/>
  <c r="N135" i="32"/>
  <c r="O135" i="32"/>
  <c r="P135" i="32"/>
  <c r="R135" i="32"/>
  <c r="BL133" i="32"/>
  <c r="H133" i="32" s="1"/>
  <c r="BQ133" i="32" s="1"/>
  <c r="BS133" i="32" s="1"/>
  <c r="BW133" i="32" s="1"/>
  <c r="BK133" i="32"/>
  <c r="G133" i="32" s="1"/>
  <c r="BL132" i="32"/>
  <c r="H132" i="32" s="1"/>
  <c r="BQ132" i="32" s="1"/>
  <c r="BS132" i="32" s="1"/>
  <c r="BW132" i="32" s="1"/>
  <c r="BK132" i="32"/>
  <c r="G132" i="32" s="1"/>
  <c r="Y17" i="33" l="1"/>
  <c r="S133" i="32"/>
  <c r="T133" i="32"/>
  <c r="V133" i="32"/>
  <c r="U133" i="32"/>
  <c r="V132" i="32"/>
  <c r="T132" i="32"/>
  <c r="U132" i="32"/>
  <c r="S132" i="32"/>
  <c r="G17" i="33"/>
  <c r="I17" i="33" s="1"/>
  <c r="X17" i="33"/>
  <c r="BK17" i="33"/>
  <c r="AQ18" i="33"/>
  <c r="K133" i="32"/>
  <c r="K132" i="32"/>
  <c r="K135" i="32" s="1"/>
  <c r="H17" i="33" l="1"/>
  <c r="BP17" i="33"/>
  <c r="AO63" i="7"/>
  <c r="BE63" i="7"/>
  <c r="E63" i="7"/>
  <c r="BP18" i="33" l="1"/>
  <c r="BR17" i="33"/>
  <c r="BG35" i="34"/>
  <c r="AS35" i="34"/>
  <c r="AQ35" i="34"/>
  <c r="AM35" i="34"/>
  <c r="AI35" i="34"/>
  <c r="AG35" i="34"/>
  <c r="AE35" i="34"/>
  <c r="AC35" i="34"/>
  <c r="Z36" i="34"/>
  <c r="BJ36" i="34" s="1"/>
  <c r="AA35" i="34"/>
  <c r="BJ35" i="34"/>
  <c r="F35" i="34" s="1"/>
  <c r="BI35" i="34"/>
  <c r="AK35" i="34"/>
  <c r="AO35" i="34"/>
  <c r="BE35" i="34"/>
  <c r="AY35" i="34"/>
  <c r="BA35" i="34"/>
  <c r="BC35" i="34"/>
  <c r="AW35" i="34"/>
  <c r="AU35" i="34"/>
  <c r="BE79" i="32"/>
  <c r="BF124" i="32"/>
  <c r="AD124" i="32"/>
  <c r="AF124" i="32"/>
  <c r="AX124" i="32"/>
  <c r="BJ124" i="32"/>
  <c r="V31" i="34"/>
  <c r="W31" i="34"/>
  <c r="X31" i="34"/>
  <c r="Y31" i="34"/>
  <c r="AA31" i="34"/>
  <c r="AC31" i="34"/>
  <c r="AE31" i="34"/>
  <c r="AG31" i="34"/>
  <c r="AI31" i="34"/>
  <c r="AK31" i="34"/>
  <c r="AM31" i="34"/>
  <c r="AO31" i="34"/>
  <c r="AQ31" i="34"/>
  <c r="AS31" i="34"/>
  <c r="AU31" i="34"/>
  <c r="AW31" i="34"/>
  <c r="AY31" i="34"/>
  <c r="BA31" i="34"/>
  <c r="BC31" i="34"/>
  <c r="BE31" i="34"/>
  <c r="BJ32" i="34"/>
  <c r="F32" i="34" s="1"/>
  <c r="G32" i="34" s="1"/>
  <c r="BP32" i="34" s="1"/>
  <c r="BR32" i="34" s="1"/>
  <c r="BV32" i="34" s="1"/>
  <c r="BI32" i="34"/>
  <c r="BG32" i="34"/>
  <c r="BE32" i="34"/>
  <c r="BC32" i="34"/>
  <c r="AU32" i="34"/>
  <c r="AW32" i="34"/>
  <c r="AY32" i="34"/>
  <c r="BA32" i="34"/>
  <c r="AS32" i="34"/>
  <c r="AQ32" i="34"/>
  <c r="AO32" i="34"/>
  <c r="AM32" i="34"/>
  <c r="AK32" i="34"/>
  <c r="AI32" i="34"/>
  <c r="AG32" i="34"/>
  <c r="AE32" i="34"/>
  <c r="AC32" i="34"/>
  <c r="AA32" i="34"/>
  <c r="AA34" i="34"/>
  <c r="AC34" i="34"/>
  <c r="AE34" i="34"/>
  <c r="AG34" i="34"/>
  <c r="AI34" i="34"/>
  <c r="AK34" i="34"/>
  <c r="AM34" i="34"/>
  <c r="AO34" i="34"/>
  <c r="AO36" i="34" s="1"/>
  <c r="AQ34" i="34"/>
  <c r="AS34" i="34"/>
  <c r="AU34" i="34"/>
  <c r="AW34" i="34"/>
  <c r="AW36" i="34" s="1"/>
  <c r="AY34" i="34"/>
  <c r="BA34" i="34"/>
  <c r="BC34" i="34"/>
  <c r="BE34" i="34"/>
  <c r="BE36" i="34" s="1"/>
  <c r="BG34" i="34"/>
  <c r="BI34" i="34"/>
  <c r="BI36" i="34" s="1"/>
  <c r="BJ34" i="34"/>
  <c r="F34" i="34" s="1"/>
  <c r="G34" i="34" s="1"/>
  <c r="BC36" i="34" l="1"/>
  <c r="AY36" i="34"/>
  <c r="AU36" i="34"/>
  <c r="BK32" i="34"/>
  <c r="AC36" i="34"/>
  <c r="BL124" i="32"/>
  <c r="BV17" i="33"/>
  <c r="Y34" i="34"/>
  <c r="BP34" i="34"/>
  <c r="BR34" i="34" s="1"/>
  <c r="BV34" i="34" s="1"/>
  <c r="Y32" i="34"/>
  <c r="P32" i="34"/>
  <c r="I32" i="34"/>
  <c r="H32" i="34"/>
  <c r="K32" i="34"/>
  <c r="N32" i="34"/>
  <c r="J32" i="34"/>
  <c r="M32" i="34"/>
  <c r="G35" i="34"/>
  <c r="M35" i="34"/>
  <c r="BK35" i="34"/>
  <c r="N34" i="34"/>
  <c r="M34" i="34"/>
  <c r="I34" i="34"/>
  <c r="L34" i="34"/>
  <c r="K34" i="34"/>
  <c r="J34" i="34"/>
  <c r="BK34" i="34"/>
  <c r="BJ38" i="24"/>
  <c r="F38" i="24" s="1"/>
  <c r="BJ19" i="7"/>
  <c r="BJ20" i="7"/>
  <c r="BJ21" i="7"/>
  <c r="BJ22" i="7"/>
  <c r="BJ23" i="7"/>
  <c r="BJ24" i="7"/>
  <c r="BJ25" i="7"/>
  <c r="BJ26" i="7"/>
  <c r="BJ27" i="7"/>
  <c r="F27" i="7" s="1"/>
  <c r="BJ28" i="7"/>
  <c r="BJ15" i="7"/>
  <c r="BJ16" i="7"/>
  <c r="BJ17" i="7"/>
  <c r="BJ18" i="7"/>
  <c r="BJ14" i="7"/>
  <c r="Y35" i="34" l="1"/>
  <c r="L35" i="34"/>
  <c r="I35" i="34"/>
  <c r="H35" i="34"/>
  <c r="N35" i="34"/>
  <c r="P35" i="34"/>
  <c r="K35" i="34"/>
  <c r="AW43" i="37" l="1"/>
  <c r="AW42" i="37"/>
  <c r="BE42" i="37"/>
  <c r="BA42" i="37"/>
  <c r="BA43" i="37"/>
  <c r="BC43" i="37"/>
  <c r="BC42" i="37"/>
  <c r="BG42" i="37"/>
  <c r="AD62" i="7"/>
  <c r="AO54" i="34"/>
  <c r="AB69" i="28" l="1"/>
  <c r="AD69" i="28"/>
  <c r="AF69" i="28"/>
  <c r="AH69" i="28"/>
  <c r="AJ69" i="28"/>
  <c r="AL69" i="28"/>
  <c r="AN69" i="28"/>
  <c r="AP69" i="28"/>
  <c r="AR69" i="28"/>
  <c r="AT69" i="28"/>
  <c r="AV69" i="28"/>
  <c r="AX69" i="28"/>
  <c r="AZ69" i="28"/>
  <c r="BB69" i="28"/>
  <c r="BD69" i="28"/>
  <c r="BF69" i="28"/>
  <c r="BH69" i="28"/>
  <c r="Z69" i="28"/>
  <c r="AW68" i="28"/>
  <c r="AB38" i="37" l="1"/>
  <c r="AD38" i="37"/>
  <c r="AF38" i="37"/>
  <c r="AH38" i="37"/>
  <c r="AJ38" i="37"/>
  <c r="AL38" i="37"/>
  <c r="AN38" i="37"/>
  <c r="AP38" i="37"/>
  <c r="AR38" i="37"/>
  <c r="AT38" i="37"/>
  <c r="AV38" i="37"/>
  <c r="AX38" i="37"/>
  <c r="AZ38" i="37"/>
  <c r="BB38" i="37"/>
  <c r="BD38" i="37"/>
  <c r="BF38" i="37"/>
  <c r="BH38" i="37"/>
  <c r="Z38" i="37"/>
  <c r="AQ27" i="25"/>
  <c r="AQ30" i="25"/>
  <c r="AQ28" i="25"/>
  <c r="BJ37" i="37"/>
  <c r="F37" i="37" s="1"/>
  <c r="G37" i="37" s="1"/>
  <c r="E29" i="24"/>
  <c r="BI29" i="24" s="1"/>
  <c r="BO58" i="34"/>
  <c r="BP58" i="34"/>
  <c r="BQ58" i="34"/>
  <c r="BS58" i="34"/>
  <c r="BT58" i="34"/>
  <c r="BU58" i="34"/>
  <c r="J58" i="34"/>
  <c r="K58" i="34"/>
  <c r="L58" i="34"/>
  <c r="M58" i="34"/>
  <c r="N58" i="34"/>
  <c r="O58" i="34"/>
  <c r="Q58" i="34"/>
  <c r="R58" i="34"/>
  <c r="S58" i="34"/>
  <c r="Z58" i="34"/>
  <c r="AB58" i="34"/>
  <c r="AD58" i="34"/>
  <c r="AF58" i="34"/>
  <c r="AH58" i="34"/>
  <c r="AJ58" i="34"/>
  <c r="AL58" i="34"/>
  <c r="AN58" i="34"/>
  <c r="AP58" i="34"/>
  <c r="AR58" i="34"/>
  <c r="AT58" i="34"/>
  <c r="AV58" i="34"/>
  <c r="AX58" i="34"/>
  <c r="AZ58" i="34"/>
  <c r="BB58" i="34"/>
  <c r="BD58" i="34"/>
  <c r="BF58" i="34"/>
  <c r="BH58" i="34"/>
  <c r="BL58" i="34"/>
  <c r="BL59" i="34" s="1"/>
  <c r="BI58" i="7"/>
  <c r="BK58" i="7" s="1"/>
  <c r="Y57" i="24"/>
  <c r="BJ57" i="24"/>
  <c r="G57" i="24"/>
  <c r="I57" i="24" s="1"/>
  <c r="V56" i="24"/>
  <c r="X56" i="24"/>
  <c r="Y56" i="24"/>
  <c r="AA56" i="24"/>
  <c r="AC56" i="24"/>
  <c r="AE56" i="24"/>
  <c r="AG56" i="24"/>
  <c r="AI56" i="24"/>
  <c r="AK56" i="24"/>
  <c r="AM56" i="24"/>
  <c r="AO56" i="24"/>
  <c r="AQ56" i="24"/>
  <c r="AS56" i="24"/>
  <c r="AU56" i="24"/>
  <c r="AW56" i="24"/>
  <c r="AY56" i="24"/>
  <c r="BA56" i="24"/>
  <c r="BC56" i="24"/>
  <c r="BE56" i="24"/>
  <c r="BG56" i="24"/>
  <c r="BI57" i="24"/>
  <c r="BK57" i="24" s="1"/>
  <c r="U15" i="34"/>
  <c r="AB15" i="34"/>
  <c r="AD15" i="34"/>
  <c r="AF15" i="34"/>
  <c r="AH15" i="34"/>
  <c r="AJ15" i="34"/>
  <c r="AL15" i="34"/>
  <c r="AN15" i="34"/>
  <c r="AP15" i="34"/>
  <c r="AR15" i="34"/>
  <c r="AT15" i="34"/>
  <c r="AV15" i="34"/>
  <c r="AX15" i="34"/>
  <c r="AZ15" i="34"/>
  <c r="BB15" i="34"/>
  <c r="BD15" i="34"/>
  <c r="BF15" i="34"/>
  <c r="Z15" i="34"/>
  <c r="BJ14" i="34"/>
  <c r="F14" i="34" s="1"/>
  <c r="AA14" i="34"/>
  <c r="AC14" i="34"/>
  <c r="AE14" i="34"/>
  <c r="AG14" i="34"/>
  <c r="AI14" i="34"/>
  <c r="AK14" i="34"/>
  <c r="AM14" i="34"/>
  <c r="AO14" i="34"/>
  <c r="AQ14" i="34"/>
  <c r="AS14" i="34"/>
  <c r="AU14" i="34"/>
  <c r="AW14" i="34"/>
  <c r="AY14" i="34"/>
  <c r="BA14" i="34"/>
  <c r="BC14" i="34"/>
  <c r="BE14" i="34"/>
  <c r="BG14" i="34"/>
  <c r="H57" i="24" l="1"/>
  <c r="P37" i="37"/>
  <c r="I37" i="37"/>
  <c r="H37" i="37"/>
  <c r="BK14" i="34"/>
  <c r="BN37" i="37"/>
  <c r="G14" i="34"/>
  <c r="T14" i="34"/>
  <c r="T15" i="34" s="1"/>
  <c r="BR37" i="37" l="1"/>
  <c r="BV37" i="37" s="1"/>
  <c r="X14" i="34"/>
  <c r="H14" i="34"/>
  <c r="I14" i="34"/>
  <c r="C17" i="20"/>
  <c r="C17" i="39"/>
  <c r="E31" i="33"/>
  <c r="BB127" i="32"/>
  <c r="BG126" i="32"/>
  <c r="BJ57" i="34" l="1"/>
  <c r="BC57" i="34"/>
  <c r="AY57" i="34"/>
  <c r="AS57" i="34"/>
  <c r="AO57" i="34"/>
  <c r="AK57" i="34"/>
  <c r="AI57" i="34"/>
  <c r="AE57" i="34"/>
  <c r="AC57" i="34"/>
  <c r="W57" i="34"/>
  <c r="G57" i="34"/>
  <c r="H57" i="34" s="1"/>
  <c r="V57" i="34"/>
  <c r="AA57" i="34"/>
  <c r="AG57" i="34"/>
  <c r="AM57" i="34"/>
  <c r="AQ57" i="34"/>
  <c r="AU57" i="34"/>
  <c r="AW57" i="34"/>
  <c r="BA57" i="34"/>
  <c r="BE57" i="34"/>
  <c r="BG57" i="34"/>
  <c r="BI57" i="34"/>
  <c r="P57" i="34" l="1"/>
  <c r="BK57" i="34"/>
  <c r="BN57" i="34"/>
  <c r="BR57" i="34" s="1"/>
  <c r="BV57" i="34" s="1"/>
  <c r="I57" i="34"/>
  <c r="BJ56" i="34"/>
  <c r="F56" i="34" s="1"/>
  <c r="U56" i="34" s="1"/>
  <c r="Y56" i="34" s="1"/>
  <c r="BI56" i="34"/>
  <c r="BG56" i="34"/>
  <c r="BE56" i="34"/>
  <c r="BC56" i="34"/>
  <c r="BA56" i="34"/>
  <c r="AY56" i="34"/>
  <c r="AW56" i="34"/>
  <c r="AU56" i="34"/>
  <c r="AS56" i="34"/>
  <c r="AQ56" i="34"/>
  <c r="AO56" i="34"/>
  <c r="AM56" i="34"/>
  <c r="AK56" i="34"/>
  <c r="AI56" i="34"/>
  <c r="AG56" i="34"/>
  <c r="AE56" i="34"/>
  <c r="AC56" i="34"/>
  <c r="AA56" i="34"/>
  <c r="W56" i="34"/>
  <c r="V56" i="34"/>
  <c r="BJ55" i="34"/>
  <c r="F55" i="34" s="1"/>
  <c r="G55" i="34" s="1"/>
  <c r="BI55" i="34"/>
  <c r="BG55" i="34"/>
  <c r="BE55" i="34"/>
  <c r="BC55" i="34"/>
  <c r="BA55" i="34"/>
  <c r="AY55" i="34"/>
  <c r="AW55" i="34"/>
  <c r="AU55" i="34"/>
  <c r="AS55" i="34"/>
  <c r="AQ55" i="34"/>
  <c r="AO55" i="34"/>
  <c r="AM55" i="34"/>
  <c r="AK55" i="34"/>
  <c r="AI55" i="34"/>
  <c r="AG55" i="34"/>
  <c r="AE55" i="34"/>
  <c r="AC55" i="34"/>
  <c r="AA55" i="34"/>
  <c r="Y55" i="34"/>
  <c r="X55" i="34"/>
  <c r="W55" i="34"/>
  <c r="V55" i="34"/>
  <c r="BJ54" i="34"/>
  <c r="F54" i="34" s="1"/>
  <c r="BI54" i="34"/>
  <c r="BG54" i="34"/>
  <c r="BE54" i="34"/>
  <c r="BC54" i="34"/>
  <c r="BA54" i="34"/>
  <c r="AY54" i="34"/>
  <c r="AW54" i="34"/>
  <c r="AU54" i="34"/>
  <c r="AS54" i="34"/>
  <c r="AQ54" i="34"/>
  <c r="AM54" i="34"/>
  <c r="AK54" i="34"/>
  <c r="AI54" i="34"/>
  <c r="AG54" i="34"/>
  <c r="AE54" i="34"/>
  <c r="AC54" i="34"/>
  <c r="AA54" i="34"/>
  <c r="Y54" i="34"/>
  <c r="X54" i="34"/>
  <c r="W54" i="34"/>
  <c r="V54" i="34"/>
  <c r="BJ53" i="34"/>
  <c r="F53" i="34" s="1"/>
  <c r="T53" i="34" s="1"/>
  <c r="X53" i="34" s="1"/>
  <c r="BI53" i="34"/>
  <c r="BG53" i="34"/>
  <c r="BE53" i="34"/>
  <c r="BC53" i="34"/>
  <c r="BA53" i="34"/>
  <c r="AY53" i="34"/>
  <c r="AW53" i="34"/>
  <c r="AU53" i="34"/>
  <c r="AS53" i="34"/>
  <c r="AQ53" i="34"/>
  <c r="AO53" i="34"/>
  <c r="AM53" i="34"/>
  <c r="AK53" i="34"/>
  <c r="AI53" i="34"/>
  <c r="AG53" i="34"/>
  <c r="AE53" i="34"/>
  <c r="AC53" i="34"/>
  <c r="AA53" i="34"/>
  <c r="V53" i="34"/>
  <c r="BJ52" i="34"/>
  <c r="F52" i="34" s="1"/>
  <c r="T52" i="34" s="1"/>
  <c r="BI52" i="34"/>
  <c r="BG52" i="34"/>
  <c r="BE52" i="34"/>
  <c r="BC52" i="34"/>
  <c r="BA52" i="34"/>
  <c r="AY52" i="34"/>
  <c r="AW52" i="34"/>
  <c r="AU52" i="34"/>
  <c r="AS52" i="34"/>
  <c r="AQ52" i="34"/>
  <c r="AO52" i="34"/>
  <c r="AM52" i="34"/>
  <c r="AK52" i="34"/>
  <c r="AI52" i="34"/>
  <c r="AG52" i="34"/>
  <c r="AE52" i="34"/>
  <c r="AC52" i="34"/>
  <c r="AA52" i="34"/>
  <c r="V52" i="34"/>
  <c r="W52" i="34"/>
  <c r="BJ51" i="34"/>
  <c r="F51" i="34" s="1"/>
  <c r="G51" i="34" s="1"/>
  <c r="BI51" i="34"/>
  <c r="BG51" i="34"/>
  <c r="BE51" i="34"/>
  <c r="BC51" i="34"/>
  <c r="BA51" i="34"/>
  <c r="AY51" i="34"/>
  <c r="AW51" i="34"/>
  <c r="AU51" i="34"/>
  <c r="AS51" i="34"/>
  <c r="AQ51" i="34"/>
  <c r="AO51" i="34"/>
  <c r="AM51" i="34"/>
  <c r="AK51" i="34"/>
  <c r="AI51" i="34"/>
  <c r="AG51" i="34"/>
  <c r="AE51" i="34"/>
  <c r="AC51" i="34"/>
  <c r="AA51" i="34"/>
  <c r="Y51" i="34"/>
  <c r="X51" i="34"/>
  <c r="W51" i="34"/>
  <c r="V51" i="34"/>
  <c r="BJ50" i="34"/>
  <c r="F50" i="34" s="1"/>
  <c r="BI50" i="34"/>
  <c r="BG50" i="34"/>
  <c r="BE50" i="34"/>
  <c r="BC50" i="34"/>
  <c r="BA50" i="34"/>
  <c r="AY50" i="34"/>
  <c r="AW50" i="34"/>
  <c r="AU50" i="34"/>
  <c r="AS50" i="34"/>
  <c r="AQ50" i="34"/>
  <c r="AM50" i="34"/>
  <c r="AK50" i="34"/>
  <c r="AI50" i="34"/>
  <c r="AG50" i="34"/>
  <c r="AE50" i="34"/>
  <c r="AC50" i="34"/>
  <c r="AA50" i="34"/>
  <c r="Y50" i="34"/>
  <c r="X50" i="34"/>
  <c r="W50" i="34"/>
  <c r="V50" i="34"/>
  <c r="V58" i="34" l="1"/>
  <c r="AE58" i="34"/>
  <c r="BC58" i="34"/>
  <c r="AK58" i="34"/>
  <c r="AW58" i="34"/>
  <c r="BI58" i="34"/>
  <c r="AQ58" i="34"/>
  <c r="G50" i="34"/>
  <c r="H50" i="34" s="1"/>
  <c r="F58" i="34"/>
  <c r="AA58" i="34"/>
  <c r="AM58" i="34"/>
  <c r="AY58" i="34"/>
  <c r="AC58" i="34"/>
  <c r="AO58" i="34"/>
  <c r="BA58" i="34"/>
  <c r="X52" i="34"/>
  <c r="AG58" i="34"/>
  <c r="AS58" i="34"/>
  <c r="BE58" i="34"/>
  <c r="AI58" i="34"/>
  <c r="AU58" i="34"/>
  <c r="BG58" i="34"/>
  <c r="BK53" i="34"/>
  <c r="BK52" i="34"/>
  <c r="BK56" i="34"/>
  <c r="BK50" i="34"/>
  <c r="BK51" i="34"/>
  <c r="BK54" i="34"/>
  <c r="G54" i="34" s="1"/>
  <c r="BK55" i="34"/>
  <c r="T56" i="34"/>
  <c r="X56" i="34" s="1"/>
  <c r="G56" i="34"/>
  <c r="H54" i="34"/>
  <c r="BN54" i="34"/>
  <c r="BR54" i="34" s="1"/>
  <c r="BV54" i="34" s="1"/>
  <c r="P54" i="34"/>
  <c r="I54" i="34"/>
  <c r="P55" i="34"/>
  <c r="I55" i="34"/>
  <c r="H55" i="34"/>
  <c r="BN55" i="34"/>
  <c r="BR55" i="34" s="1"/>
  <c r="BV55" i="34" s="1"/>
  <c r="G53" i="34"/>
  <c r="U53" i="34"/>
  <c r="Y53" i="34" s="1"/>
  <c r="G52" i="34"/>
  <c r="U52" i="34"/>
  <c r="W53" i="34"/>
  <c r="W58" i="34" s="1"/>
  <c r="BN51" i="34"/>
  <c r="BR51" i="34" s="1"/>
  <c r="BV51" i="34" s="1"/>
  <c r="I51" i="34"/>
  <c r="P51" i="34"/>
  <c r="H51" i="34"/>
  <c r="P50" i="34" l="1"/>
  <c r="BN50" i="34"/>
  <c r="X58" i="34"/>
  <c r="G58" i="34"/>
  <c r="I50" i="34"/>
  <c r="Y52" i="34"/>
  <c r="Y58" i="34" s="1"/>
  <c r="U58" i="34"/>
  <c r="T58" i="34"/>
  <c r="BR50" i="34"/>
  <c r="P56" i="34"/>
  <c r="I56" i="34"/>
  <c r="BN56" i="34"/>
  <c r="BR56" i="34" s="1"/>
  <c r="BV56" i="34" s="1"/>
  <c r="H56" i="34"/>
  <c r="P52" i="34"/>
  <c r="I52" i="34"/>
  <c r="BN52" i="34"/>
  <c r="BR52" i="34" s="1"/>
  <c r="BV52" i="34" s="1"/>
  <c r="H52" i="34"/>
  <c r="P53" i="34"/>
  <c r="I53" i="34"/>
  <c r="BN53" i="34"/>
  <c r="BR53" i="34" s="1"/>
  <c r="BV53" i="34" s="1"/>
  <c r="H53" i="34"/>
  <c r="K33" i="32"/>
  <c r="L33" i="32"/>
  <c r="M33" i="32"/>
  <c r="O33" i="32"/>
  <c r="P33" i="32"/>
  <c r="R33" i="32"/>
  <c r="AA33" i="32"/>
  <c r="AC33" i="32"/>
  <c r="AG33" i="32"/>
  <c r="AI33" i="32"/>
  <c r="AK33" i="32"/>
  <c r="AM33" i="32"/>
  <c r="AO33" i="32"/>
  <c r="AQ33" i="32"/>
  <c r="AS33" i="32"/>
  <c r="AU33" i="32"/>
  <c r="AW33" i="32"/>
  <c r="AY33" i="32"/>
  <c r="BA33" i="32"/>
  <c r="BC33" i="32"/>
  <c r="BE33" i="32"/>
  <c r="BG33" i="32"/>
  <c r="BI33" i="32"/>
  <c r="BM33" i="32"/>
  <c r="BP33" i="32"/>
  <c r="BR33" i="32"/>
  <c r="BT33" i="32"/>
  <c r="BU33" i="32"/>
  <c r="BV33" i="32"/>
  <c r="BK32" i="32"/>
  <c r="G32" i="32" s="1"/>
  <c r="BJ32" i="32"/>
  <c r="BH32" i="32"/>
  <c r="BF32" i="32"/>
  <c r="BD32" i="32"/>
  <c r="BB32" i="32"/>
  <c r="AZ32" i="32"/>
  <c r="AX32" i="32"/>
  <c r="AV32" i="32"/>
  <c r="AT32" i="32"/>
  <c r="AR32" i="32"/>
  <c r="AP32" i="32"/>
  <c r="AN32" i="32"/>
  <c r="AL32" i="32"/>
  <c r="AJ32" i="32"/>
  <c r="AH32" i="32"/>
  <c r="AF32" i="32"/>
  <c r="AD32" i="32"/>
  <c r="AB32" i="32"/>
  <c r="Z32" i="32"/>
  <c r="Y32" i="32"/>
  <c r="K109" i="32"/>
  <c r="L109" i="32"/>
  <c r="M109" i="32"/>
  <c r="N109" i="32"/>
  <c r="O109" i="32"/>
  <c r="P109" i="32"/>
  <c r="AA109" i="32"/>
  <c r="AC109" i="32"/>
  <c r="AE109" i="32"/>
  <c r="AG109" i="32"/>
  <c r="AI109" i="32"/>
  <c r="AK109" i="32"/>
  <c r="AM109" i="32"/>
  <c r="AO109" i="32"/>
  <c r="AQ109" i="32"/>
  <c r="AS109" i="32"/>
  <c r="AU109" i="32"/>
  <c r="AW109" i="32"/>
  <c r="AY109" i="32"/>
  <c r="BA109" i="32"/>
  <c r="BC109" i="32"/>
  <c r="BE109" i="32"/>
  <c r="BG109" i="32"/>
  <c r="BI109" i="32"/>
  <c r="BK135" i="32"/>
  <c r="AL39" i="38"/>
  <c r="BK109" i="32" l="1"/>
  <c r="P58" i="34"/>
  <c r="H58" i="34"/>
  <c r="BN58" i="34"/>
  <c r="BV50" i="34"/>
  <c r="BV58" i="34" s="1"/>
  <c r="BR58" i="34"/>
  <c r="I58" i="34"/>
  <c r="BN32" i="32"/>
  <c r="BL32" i="32"/>
  <c r="T32" i="32"/>
  <c r="X32" i="32" s="1"/>
  <c r="S32" i="32"/>
  <c r="W32" i="32" s="1"/>
  <c r="H32" i="32"/>
  <c r="N32" i="32" s="1"/>
  <c r="C28" i="39"/>
  <c r="B28" i="39"/>
  <c r="C27" i="39"/>
  <c r="B27" i="39"/>
  <c r="C26" i="39"/>
  <c r="C25" i="39"/>
  <c r="C22" i="39"/>
  <c r="B22" i="39"/>
  <c r="C21" i="39"/>
  <c r="B21" i="39"/>
  <c r="B17" i="39"/>
  <c r="C16" i="39"/>
  <c r="B16" i="39"/>
  <c r="C15" i="39"/>
  <c r="B15" i="39"/>
  <c r="C11" i="39"/>
  <c r="C10" i="39"/>
  <c r="J32" i="32" l="1"/>
  <c r="BQ32" i="32"/>
  <c r="I32" i="32"/>
  <c r="Q32" i="32"/>
  <c r="BT69" i="7"/>
  <c r="BU69" i="7"/>
  <c r="BO47" i="37"/>
  <c r="BQ47" i="37"/>
  <c r="BS47" i="37"/>
  <c r="BT47" i="37"/>
  <c r="R38" i="37"/>
  <c r="R47" i="37"/>
  <c r="Z47" i="37"/>
  <c r="AB47" i="37"/>
  <c r="AD47" i="37"/>
  <c r="AF47" i="37"/>
  <c r="AH47" i="37"/>
  <c r="AJ47" i="37"/>
  <c r="AL47" i="37"/>
  <c r="AN47" i="37"/>
  <c r="AP47" i="37"/>
  <c r="AR47" i="37"/>
  <c r="AT47" i="37"/>
  <c r="AV47" i="37"/>
  <c r="AX47" i="37"/>
  <c r="AZ47" i="37"/>
  <c r="BB47" i="37"/>
  <c r="BD47" i="37"/>
  <c r="BF47" i="37"/>
  <c r="BH47" i="37"/>
  <c r="BJ46" i="37"/>
  <c r="F46" i="37" s="1"/>
  <c r="G46" i="37" s="1"/>
  <c r="BC45" i="37"/>
  <c r="BC46" i="37"/>
  <c r="BA46" i="37"/>
  <c r="AQ45" i="37"/>
  <c r="AQ46" i="37"/>
  <c r="AK46" i="37"/>
  <c r="AI45" i="37"/>
  <c r="AI46" i="37"/>
  <c r="AG46" i="37"/>
  <c r="AA46" i="37"/>
  <c r="AA45" i="37"/>
  <c r="AG45" i="37"/>
  <c r="AK45" i="37"/>
  <c r="BA45" i="37"/>
  <c r="BE45" i="37"/>
  <c r="V45" i="37"/>
  <c r="W45" i="37"/>
  <c r="X45" i="37"/>
  <c r="Y45" i="37"/>
  <c r="BJ45" i="37"/>
  <c r="F45" i="37" s="1"/>
  <c r="G45" i="37" s="1"/>
  <c r="L45" i="37" s="1"/>
  <c r="J18" i="33"/>
  <c r="K18" i="33"/>
  <c r="M18" i="33"/>
  <c r="N18" i="33"/>
  <c r="O18" i="33"/>
  <c r="P18" i="33"/>
  <c r="Q18" i="33"/>
  <c r="R18" i="33"/>
  <c r="Z18" i="33"/>
  <c r="AB18" i="33"/>
  <c r="AD18" i="33"/>
  <c r="AF18" i="33"/>
  <c r="AH18" i="33"/>
  <c r="AJ18" i="33"/>
  <c r="AL18" i="33"/>
  <c r="BJ18" i="33" s="1"/>
  <c r="AN18" i="33"/>
  <c r="AR18" i="33"/>
  <c r="AT18" i="33"/>
  <c r="AV18" i="33"/>
  <c r="AX18" i="33"/>
  <c r="AZ18" i="33"/>
  <c r="BB18" i="33"/>
  <c r="BD18" i="33"/>
  <c r="BF18" i="33"/>
  <c r="BH18" i="33"/>
  <c r="BI16" i="33"/>
  <c r="BJ16" i="33"/>
  <c r="F16" i="33" s="1"/>
  <c r="BG16" i="33"/>
  <c r="BE16" i="33"/>
  <c r="BC16" i="33"/>
  <c r="BA16" i="33"/>
  <c r="AY16" i="33"/>
  <c r="AW16" i="33"/>
  <c r="AU16" i="33"/>
  <c r="AS16" i="33"/>
  <c r="AQ16" i="33"/>
  <c r="AO16" i="33"/>
  <c r="AM16" i="33"/>
  <c r="AM18" i="33" s="1"/>
  <c r="BK18" i="33" s="1"/>
  <c r="AK16" i="33"/>
  <c r="AI16" i="33"/>
  <c r="AG16" i="33"/>
  <c r="AE16" i="33"/>
  <c r="AC16" i="33"/>
  <c r="AA16" i="33"/>
  <c r="BJ68" i="7"/>
  <c r="BI68" i="7"/>
  <c r="BK68" i="7" s="1"/>
  <c r="BI46" i="7"/>
  <c r="BK131" i="32"/>
  <c r="G131" i="32" s="1"/>
  <c r="BH131" i="32"/>
  <c r="BF131" i="32"/>
  <c r="BD131" i="32"/>
  <c r="BB131" i="32"/>
  <c r="AZ131" i="32"/>
  <c r="AX131" i="32"/>
  <c r="AV131" i="32"/>
  <c r="AT131" i="32"/>
  <c r="AR131" i="32"/>
  <c r="AP131" i="32"/>
  <c r="AN131" i="32"/>
  <c r="AL131" i="32"/>
  <c r="AJ131" i="32"/>
  <c r="AH131" i="32"/>
  <c r="AF131" i="32"/>
  <c r="AD131" i="32"/>
  <c r="AB131" i="32"/>
  <c r="H131" i="32" l="1"/>
  <c r="J131" i="32" s="1"/>
  <c r="T131" i="32"/>
  <c r="X131" i="32" s="1"/>
  <c r="S131" i="32"/>
  <c r="W131" i="32" s="1"/>
  <c r="U131" i="32"/>
  <c r="Y131" i="32" s="1"/>
  <c r="V131" i="32"/>
  <c r="Z131" i="32" s="1"/>
  <c r="G16" i="33"/>
  <c r="G68" i="7"/>
  <c r="I68" i="7" s="1"/>
  <c r="BN131" i="32"/>
  <c r="BS32" i="32"/>
  <c r="BW32" i="32" s="1"/>
  <c r="BQ33" i="32"/>
  <c r="BK46" i="37"/>
  <c r="L46" i="37"/>
  <c r="BN46" i="37"/>
  <c r="BR46" i="37" s="1"/>
  <c r="BV46" i="37" s="1"/>
  <c r="BN45" i="37"/>
  <c r="BR45" i="37" s="1"/>
  <c r="BV45" i="37" s="1"/>
  <c r="H16" i="33"/>
  <c r="I16" i="33"/>
  <c r="BL131" i="32"/>
  <c r="BK45" i="37"/>
  <c r="BK16" i="33"/>
  <c r="K62" i="32"/>
  <c r="L62" i="32"/>
  <c r="O62" i="32"/>
  <c r="P62" i="32"/>
  <c r="AA62" i="32"/>
  <c r="AC62" i="32"/>
  <c r="AE62" i="32"/>
  <c r="AG62" i="32"/>
  <c r="AI62" i="32"/>
  <c r="AK62" i="32"/>
  <c r="AM62" i="32"/>
  <c r="AO62" i="32"/>
  <c r="AQ62" i="32"/>
  <c r="AS62" i="32"/>
  <c r="AU62" i="32"/>
  <c r="AW62" i="32"/>
  <c r="AY62" i="32"/>
  <c r="BA62" i="32"/>
  <c r="BC62" i="32"/>
  <c r="BE62" i="32"/>
  <c r="BG62" i="32"/>
  <c r="BI62" i="32"/>
  <c r="BM62" i="32"/>
  <c r="Y36" i="26"/>
  <c r="X36" i="26"/>
  <c r="W36" i="26"/>
  <c r="V36" i="26"/>
  <c r="Y30" i="26"/>
  <c r="X30" i="26"/>
  <c r="W30" i="26"/>
  <c r="V30" i="26"/>
  <c r="Y16" i="26"/>
  <c r="X16" i="26"/>
  <c r="W16" i="26"/>
  <c r="V16" i="26"/>
  <c r="AB41" i="26"/>
  <c r="AD41" i="26"/>
  <c r="AF41" i="26"/>
  <c r="AH41" i="26"/>
  <c r="AJ41" i="26"/>
  <c r="AL41" i="26"/>
  <c r="AN41" i="26"/>
  <c r="AP41" i="26"/>
  <c r="AR41" i="26"/>
  <c r="AT41" i="26"/>
  <c r="AV41" i="26"/>
  <c r="AX41" i="26"/>
  <c r="AZ41" i="26"/>
  <c r="BB41" i="26"/>
  <c r="BD41" i="26"/>
  <c r="BF41" i="26"/>
  <c r="BH41" i="26"/>
  <c r="AB39" i="26"/>
  <c r="AD39" i="26"/>
  <c r="AF39" i="26"/>
  <c r="AH39" i="26"/>
  <c r="AJ39" i="26"/>
  <c r="AL39" i="26"/>
  <c r="AN39" i="26"/>
  <c r="AP39" i="26"/>
  <c r="AR39" i="26"/>
  <c r="AT39" i="26"/>
  <c r="AV39" i="26"/>
  <c r="AX39" i="26"/>
  <c r="AZ39" i="26"/>
  <c r="BB39" i="26"/>
  <c r="BD39" i="26"/>
  <c r="BF39" i="26"/>
  <c r="BH39" i="26"/>
  <c r="AB33" i="26"/>
  <c r="AD33" i="26"/>
  <c r="AF33" i="26"/>
  <c r="AH33" i="26"/>
  <c r="AJ33" i="26"/>
  <c r="AL33" i="26"/>
  <c r="AN33" i="26"/>
  <c r="AP33" i="26"/>
  <c r="AR33" i="26"/>
  <c r="AT33" i="26"/>
  <c r="AV33" i="26"/>
  <c r="AX33" i="26"/>
  <c r="AZ33" i="26"/>
  <c r="BB33" i="26"/>
  <c r="BD33" i="26"/>
  <c r="BF33" i="26"/>
  <c r="BH33" i="26"/>
  <c r="AB27" i="26"/>
  <c r="AD27" i="26"/>
  <c r="AF27" i="26"/>
  <c r="AH27" i="26"/>
  <c r="AJ27" i="26"/>
  <c r="AL27" i="26"/>
  <c r="AN27" i="26"/>
  <c r="AP27" i="26"/>
  <c r="AR27" i="26"/>
  <c r="AT27" i="26"/>
  <c r="AV27" i="26"/>
  <c r="AX27" i="26"/>
  <c r="AZ27" i="26"/>
  <c r="BB27" i="26"/>
  <c r="BD27" i="26"/>
  <c r="BF27" i="26"/>
  <c r="BH27" i="26"/>
  <c r="AB23" i="26"/>
  <c r="AD23" i="26"/>
  <c r="AF23" i="26"/>
  <c r="AH23" i="26"/>
  <c r="AJ23" i="26"/>
  <c r="AL23" i="26"/>
  <c r="AN23" i="26"/>
  <c r="AP23" i="26"/>
  <c r="AR23" i="26"/>
  <c r="AT23" i="26"/>
  <c r="AV23" i="26"/>
  <c r="AX23" i="26"/>
  <c r="AZ23" i="26"/>
  <c r="BB23" i="26"/>
  <c r="BD23" i="26"/>
  <c r="BF23" i="26"/>
  <c r="BH23" i="26"/>
  <c r="AB18" i="26"/>
  <c r="AD18" i="26"/>
  <c r="AF18" i="26"/>
  <c r="AH18" i="26"/>
  <c r="AJ18" i="26"/>
  <c r="AL18" i="26"/>
  <c r="AN18" i="26"/>
  <c r="AP18" i="26"/>
  <c r="AR18" i="26"/>
  <c r="AT18" i="26"/>
  <c r="AV18" i="26"/>
  <c r="AX18" i="26"/>
  <c r="AZ18" i="26"/>
  <c r="BB18" i="26"/>
  <c r="BD18" i="26"/>
  <c r="BF18" i="26"/>
  <c r="BH18" i="26"/>
  <c r="AB14" i="26"/>
  <c r="AD14" i="26"/>
  <c r="AF14" i="26"/>
  <c r="AH14" i="26"/>
  <c r="AJ14" i="26"/>
  <c r="AL14" i="26"/>
  <c r="AN14" i="26"/>
  <c r="AP14" i="26"/>
  <c r="AR14" i="26"/>
  <c r="AT14" i="26"/>
  <c r="AV14" i="26"/>
  <c r="AX14" i="26"/>
  <c r="AZ14" i="26"/>
  <c r="BB14" i="26"/>
  <c r="BD14" i="26"/>
  <c r="BF14" i="26"/>
  <c r="BH14" i="26"/>
  <c r="BI15" i="26"/>
  <c r="BI16" i="26"/>
  <c r="BI19" i="26"/>
  <c r="BI24" i="26"/>
  <c r="BI28" i="26"/>
  <c r="BI30" i="26"/>
  <c r="BI34" i="26"/>
  <c r="BI36" i="26"/>
  <c r="BG15" i="26"/>
  <c r="BG16" i="26"/>
  <c r="BG19" i="26"/>
  <c r="BG24" i="26"/>
  <c r="BG28" i="26"/>
  <c r="BG30" i="26"/>
  <c r="BG34" i="26"/>
  <c r="BG36" i="26"/>
  <c r="BE15" i="26"/>
  <c r="BE16" i="26"/>
  <c r="BE19" i="26"/>
  <c r="BE24" i="26"/>
  <c r="BE28" i="26"/>
  <c r="BE30" i="26"/>
  <c r="BE34" i="26"/>
  <c r="BE36" i="26"/>
  <c r="BC15" i="26"/>
  <c r="BC16" i="26"/>
  <c r="BC19" i="26"/>
  <c r="BC24" i="26"/>
  <c r="BC28" i="26"/>
  <c r="BC30" i="26"/>
  <c r="BC34" i="26"/>
  <c r="BC36" i="26"/>
  <c r="BA15" i="26"/>
  <c r="BA16" i="26"/>
  <c r="BA19" i="26"/>
  <c r="BA24" i="26"/>
  <c r="BA28" i="26"/>
  <c r="BA30" i="26"/>
  <c r="BA34" i="26"/>
  <c r="BA36" i="26"/>
  <c r="AY15" i="26"/>
  <c r="AY16" i="26"/>
  <c r="AY19" i="26"/>
  <c r="AY24" i="26"/>
  <c r="AY28" i="26"/>
  <c r="AY30" i="26"/>
  <c r="AY34" i="26"/>
  <c r="AY36" i="26"/>
  <c r="AW15" i="26"/>
  <c r="AW16" i="26"/>
  <c r="AW19" i="26"/>
  <c r="AW24" i="26"/>
  <c r="AW28" i="26"/>
  <c r="AW30" i="26"/>
  <c r="AW34" i="26"/>
  <c r="AW36" i="26"/>
  <c r="AU15" i="26"/>
  <c r="AU16" i="26"/>
  <c r="AU19" i="26"/>
  <c r="AU24" i="26"/>
  <c r="AU28" i="26"/>
  <c r="AU30" i="26"/>
  <c r="AU34" i="26"/>
  <c r="AU36" i="26"/>
  <c r="AS15" i="26"/>
  <c r="AS16" i="26"/>
  <c r="AS19" i="26"/>
  <c r="AS24" i="26"/>
  <c r="AS28" i="26"/>
  <c r="AS30" i="26"/>
  <c r="AS34" i="26"/>
  <c r="AS36" i="26"/>
  <c r="AQ15" i="26"/>
  <c r="AQ16" i="26"/>
  <c r="AQ19" i="26"/>
  <c r="AQ24" i="26"/>
  <c r="AQ28" i="26"/>
  <c r="AQ30" i="26"/>
  <c r="AQ34" i="26"/>
  <c r="AQ36" i="26"/>
  <c r="AO15" i="26"/>
  <c r="AO16" i="26"/>
  <c r="AO19" i="26"/>
  <c r="AO24" i="26"/>
  <c r="AO28" i="26"/>
  <c r="AO30" i="26"/>
  <c r="AO34" i="26"/>
  <c r="AO36" i="26"/>
  <c r="AM15" i="26"/>
  <c r="AM16" i="26"/>
  <c r="AM19" i="26"/>
  <c r="AM24" i="26"/>
  <c r="AM28" i="26"/>
  <c r="AM30" i="26"/>
  <c r="AM34" i="26"/>
  <c r="AM36" i="26"/>
  <c r="AK15" i="26"/>
  <c r="AK16" i="26"/>
  <c r="AK19" i="26"/>
  <c r="AK24" i="26"/>
  <c r="AK28" i="26"/>
  <c r="AK30" i="26"/>
  <c r="AK34" i="26"/>
  <c r="AK36" i="26"/>
  <c r="AI15" i="26"/>
  <c r="AI16" i="26"/>
  <c r="AI19" i="26"/>
  <c r="AI24" i="26"/>
  <c r="AI28" i="26"/>
  <c r="AI30" i="26"/>
  <c r="AI34" i="26"/>
  <c r="AI36" i="26"/>
  <c r="AG15" i="26"/>
  <c r="AG16" i="26"/>
  <c r="AG19" i="26"/>
  <c r="AG24" i="26"/>
  <c r="AG28" i="26"/>
  <c r="AG30" i="26"/>
  <c r="AG34" i="26"/>
  <c r="AG36" i="26"/>
  <c r="AE15" i="26"/>
  <c r="AE16" i="26"/>
  <c r="AE19" i="26"/>
  <c r="AE24" i="26"/>
  <c r="AE28" i="26"/>
  <c r="AE30" i="26"/>
  <c r="AE34" i="26"/>
  <c r="AE36" i="26"/>
  <c r="AC15" i="26"/>
  <c r="AC16" i="26"/>
  <c r="AC19" i="26"/>
  <c r="AC24" i="26"/>
  <c r="AC28" i="26"/>
  <c r="AC30" i="26"/>
  <c r="AC34" i="26"/>
  <c r="AC36" i="26"/>
  <c r="AA36" i="26"/>
  <c r="AA30" i="26"/>
  <c r="AA16" i="26"/>
  <c r="V107" i="25"/>
  <c r="W107" i="25"/>
  <c r="X107" i="25"/>
  <c r="Y107" i="25"/>
  <c r="Y53" i="25"/>
  <c r="X53" i="25"/>
  <c r="W53" i="25"/>
  <c r="V53" i="25"/>
  <c r="V27" i="25"/>
  <c r="X27" i="25"/>
  <c r="Y27" i="25"/>
  <c r="V30" i="25"/>
  <c r="X30" i="25"/>
  <c r="Y30" i="25"/>
  <c r="V31" i="25"/>
  <c r="X31" i="25"/>
  <c r="Y31" i="25"/>
  <c r="V32" i="25"/>
  <c r="X32" i="25"/>
  <c r="Y32" i="25"/>
  <c r="V33" i="25"/>
  <c r="W33" i="25"/>
  <c r="X33" i="25"/>
  <c r="Y33" i="25"/>
  <c r="V42" i="25"/>
  <c r="X42" i="25"/>
  <c r="Y42" i="25"/>
  <c r="F104" i="25"/>
  <c r="AB111" i="25"/>
  <c r="AD111" i="25"/>
  <c r="AF111" i="25"/>
  <c r="AH111" i="25"/>
  <c r="AJ111" i="25"/>
  <c r="AL111" i="25"/>
  <c r="AN111" i="25"/>
  <c r="AP111" i="25"/>
  <c r="AR111" i="25"/>
  <c r="AT111" i="25"/>
  <c r="AV111" i="25"/>
  <c r="AX111" i="25"/>
  <c r="AZ111" i="25"/>
  <c r="BB111" i="25"/>
  <c r="BD111" i="25"/>
  <c r="BF111" i="25"/>
  <c r="BH111" i="25"/>
  <c r="AB106" i="25"/>
  <c r="AD106" i="25"/>
  <c r="AF106" i="25"/>
  <c r="AH106" i="25"/>
  <c r="AJ106" i="25"/>
  <c r="AL106" i="25"/>
  <c r="AN106" i="25"/>
  <c r="AP106" i="25"/>
  <c r="AR106" i="25"/>
  <c r="AT106" i="25"/>
  <c r="AV106" i="25"/>
  <c r="AX106" i="25"/>
  <c r="AZ106" i="25"/>
  <c r="BB106" i="25"/>
  <c r="BD106" i="25"/>
  <c r="BF106" i="25"/>
  <c r="BH106" i="25"/>
  <c r="AB87" i="25"/>
  <c r="AD87" i="25"/>
  <c r="AF87" i="25"/>
  <c r="AH87" i="25"/>
  <c r="AJ87" i="25"/>
  <c r="AL87" i="25"/>
  <c r="AN87" i="25"/>
  <c r="AP87" i="25"/>
  <c r="AR87" i="25"/>
  <c r="AT87" i="25"/>
  <c r="AV87" i="25"/>
  <c r="AX87" i="25"/>
  <c r="AZ87" i="25"/>
  <c r="BB87" i="25"/>
  <c r="BD87" i="25"/>
  <c r="BF87" i="25"/>
  <c r="BH87" i="25"/>
  <c r="AB78" i="25"/>
  <c r="AD78" i="25"/>
  <c r="AF78" i="25"/>
  <c r="AH78" i="25"/>
  <c r="AJ78" i="25"/>
  <c r="AL78" i="25"/>
  <c r="AN78" i="25"/>
  <c r="AP78" i="25"/>
  <c r="AR78" i="25"/>
  <c r="AT78" i="25"/>
  <c r="AV78" i="25"/>
  <c r="AX78" i="25"/>
  <c r="AZ78" i="25"/>
  <c r="BB78" i="25"/>
  <c r="BD78" i="25"/>
  <c r="BF78" i="25"/>
  <c r="AB71" i="25"/>
  <c r="AD71" i="25"/>
  <c r="AF71" i="25"/>
  <c r="AH71" i="25"/>
  <c r="AJ71" i="25"/>
  <c r="AL71" i="25"/>
  <c r="AN71" i="25"/>
  <c r="AP71" i="25"/>
  <c r="AR71" i="25"/>
  <c r="AT71" i="25"/>
  <c r="AV71" i="25"/>
  <c r="AX71" i="25"/>
  <c r="AZ71" i="25"/>
  <c r="BB71" i="25"/>
  <c r="BD71" i="25"/>
  <c r="BF71" i="25"/>
  <c r="BH71" i="25"/>
  <c r="AB54" i="25"/>
  <c r="AD54" i="25"/>
  <c r="AF54" i="25"/>
  <c r="AH54" i="25"/>
  <c r="AJ54" i="25"/>
  <c r="AL54" i="25"/>
  <c r="AN54" i="25"/>
  <c r="AP54" i="25"/>
  <c r="AR54" i="25"/>
  <c r="AT54" i="25"/>
  <c r="AV54" i="25"/>
  <c r="AX54" i="25"/>
  <c r="AZ54" i="25"/>
  <c r="BB54" i="25"/>
  <c r="BD54" i="25"/>
  <c r="BF54" i="25"/>
  <c r="BH54" i="25"/>
  <c r="AB52" i="25"/>
  <c r="AD52" i="25"/>
  <c r="AF52" i="25"/>
  <c r="AH52" i="25"/>
  <c r="AJ52" i="25"/>
  <c r="AL52" i="25"/>
  <c r="AN52" i="25"/>
  <c r="AP52" i="25"/>
  <c r="AR52" i="25"/>
  <c r="AT52" i="25"/>
  <c r="AV52" i="25"/>
  <c r="AX52" i="25"/>
  <c r="AZ52" i="25"/>
  <c r="BB52" i="25"/>
  <c r="BD52" i="25"/>
  <c r="BF52" i="25"/>
  <c r="BH52" i="25"/>
  <c r="AB46" i="25"/>
  <c r="AD46" i="25"/>
  <c r="AF46" i="25"/>
  <c r="AH46" i="25"/>
  <c r="AJ46" i="25"/>
  <c r="AL46" i="25"/>
  <c r="AN46" i="25"/>
  <c r="AP46" i="25"/>
  <c r="AR46" i="25"/>
  <c r="AT46" i="25"/>
  <c r="AV46" i="25"/>
  <c r="AX46" i="25"/>
  <c r="AZ46" i="25"/>
  <c r="BB46" i="25"/>
  <c r="BD46" i="25"/>
  <c r="BF46" i="25"/>
  <c r="BH46" i="25"/>
  <c r="AB18" i="25"/>
  <c r="AD18" i="25"/>
  <c r="AF18" i="25"/>
  <c r="AH18" i="25"/>
  <c r="AJ18" i="25"/>
  <c r="AL18" i="25"/>
  <c r="AN18" i="25"/>
  <c r="AP18" i="25"/>
  <c r="AR18" i="25"/>
  <c r="AT18" i="25"/>
  <c r="AV18" i="25"/>
  <c r="AX18" i="25"/>
  <c r="AZ18" i="25"/>
  <c r="BB18" i="25"/>
  <c r="BD18" i="25"/>
  <c r="BF18" i="25"/>
  <c r="BH18" i="25"/>
  <c r="BI13" i="25"/>
  <c r="BI14" i="25"/>
  <c r="BI19" i="25"/>
  <c r="BI27" i="25"/>
  <c r="BI30" i="25"/>
  <c r="BI31" i="25"/>
  <c r="BI32" i="25"/>
  <c r="BI33" i="25"/>
  <c r="BI42" i="25"/>
  <c r="BI47" i="25"/>
  <c r="BI48" i="25"/>
  <c r="BI49" i="25"/>
  <c r="BI53" i="25"/>
  <c r="BI54" i="25" s="1"/>
  <c r="BI56" i="25"/>
  <c r="BI57" i="25"/>
  <c r="BI67" i="25"/>
  <c r="BI72" i="25"/>
  <c r="BI73" i="25"/>
  <c r="BI74" i="25"/>
  <c r="BI76" i="25"/>
  <c r="BI79" i="25"/>
  <c r="BI80" i="25"/>
  <c r="BI82" i="25"/>
  <c r="BI89" i="25"/>
  <c r="BI90" i="25"/>
  <c r="BI92" i="25"/>
  <c r="BI93" i="25"/>
  <c r="BI94" i="25"/>
  <c r="BI96" i="25"/>
  <c r="BI98" i="25"/>
  <c r="BI99" i="25"/>
  <c r="BI100" i="25"/>
  <c r="BI101" i="25"/>
  <c r="BI102" i="25"/>
  <c r="BI104" i="25"/>
  <c r="BI107" i="25"/>
  <c r="BG13" i="25"/>
  <c r="BG14" i="25"/>
  <c r="BG19" i="25"/>
  <c r="BG27" i="25"/>
  <c r="BG30" i="25"/>
  <c r="BG31" i="25"/>
  <c r="BG32" i="25"/>
  <c r="BG33" i="25"/>
  <c r="BG42" i="25"/>
  <c r="BG47" i="25"/>
  <c r="BG48" i="25"/>
  <c r="BG49" i="25"/>
  <c r="BG53" i="25"/>
  <c r="BG54" i="25" s="1"/>
  <c r="BG56" i="25"/>
  <c r="BG57" i="25"/>
  <c r="BG67" i="25"/>
  <c r="BG72" i="25"/>
  <c r="BG73" i="25"/>
  <c r="BG74" i="25"/>
  <c r="BG75" i="25"/>
  <c r="BG76" i="25"/>
  <c r="BG77" i="25"/>
  <c r="BG79" i="25"/>
  <c r="BG80" i="25"/>
  <c r="BG82" i="25"/>
  <c r="BG89" i="25"/>
  <c r="BG90" i="25"/>
  <c r="BG92" i="25"/>
  <c r="BG93" i="25"/>
  <c r="BG94" i="25"/>
  <c r="BG96" i="25"/>
  <c r="BG98" i="25"/>
  <c r="BG99" i="25"/>
  <c r="BG100" i="25"/>
  <c r="BG101" i="25"/>
  <c r="BG102" i="25"/>
  <c r="BG104" i="25"/>
  <c r="BG107" i="25"/>
  <c r="BE13" i="25"/>
  <c r="BE14" i="25"/>
  <c r="BE19" i="25"/>
  <c r="BE27" i="25"/>
  <c r="BE30" i="25"/>
  <c r="BE31" i="25"/>
  <c r="BE32" i="25"/>
  <c r="BE33" i="25"/>
  <c r="BE42" i="25"/>
  <c r="BE47" i="25"/>
  <c r="BE48" i="25"/>
  <c r="BE49" i="25"/>
  <c r="BE53" i="25"/>
  <c r="BE54" i="25" s="1"/>
  <c r="BE56" i="25"/>
  <c r="BE57" i="25"/>
  <c r="BE67" i="25"/>
  <c r="BE72" i="25"/>
  <c r="BE73" i="25"/>
  <c r="BE74" i="25"/>
  <c r="BE75" i="25"/>
  <c r="BE76" i="25"/>
  <c r="BE77" i="25"/>
  <c r="BE79" i="25"/>
  <c r="BE80" i="25"/>
  <c r="BE82" i="25"/>
  <c r="BE89" i="25"/>
  <c r="BE90" i="25"/>
  <c r="BE92" i="25"/>
  <c r="BE93" i="25"/>
  <c r="BE94" i="25"/>
  <c r="BE96" i="25"/>
  <c r="BE98" i="25"/>
  <c r="BE99" i="25"/>
  <c r="BE100" i="25"/>
  <c r="BE101" i="25"/>
  <c r="BE102" i="25"/>
  <c r="BE104" i="25"/>
  <c r="BE107" i="25"/>
  <c r="BC13" i="25"/>
  <c r="BC14" i="25"/>
  <c r="BC19" i="25"/>
  <c r="BC27" i="25"/>
  <c r="BC30" i="25"/>
  <c r="BC31" i="25"/>
  <c r="BC32" i="25"/>
  <c r="BC33" i="25"/>
  <c r="BC42" i="25"/>
  <c r="BC47" i="25"/>
  <c r="BC48" i="25"/>
  <c r="BC49" i="25"/>
  <c r="BC53" i="25"/>
  <c r="BC54" i="25" s="1"/>
  <c r="BC56" i="25"/>
  <c r="BC57" i="25"/>
  <c r="BC67" i="25"/>
  <c r="BC72" i="25"/>
  <c r="BC73" i="25"/>
  <c r="BC74" i="25"/>
  <c r="BC75" i="25"/>
  <c r="BC76" i="25"/>
  <c r="BC77" i="25"/>
  <c r="BC79" i="25"/>
  <c r="BC80" i="25"/>
  <c r="BC82" i="25"/>
  <c r="BC89" i="25"/>
  <c r="BC90" i="25"/>
  <c r="BC92" i="25"/>
  <c r="BC93" i="25"/>
  <c r="BC94" i="25"/>
  <c r="BC96" i="25"/>
  <c r="BC98" i="25"/>
  <c r="BC99" i="25"/>
  <c r="BC100" i="25"/>
  <c r="BC101" i="25"/>
  <c r="BC102" i="25"/>
  <c r="BC104" i="25"/>
  <c r="BC107" i="25"/>
  <c r="BA13" i="25"/>
  <c r="BA14" i="25"/>
  <c r="BA19" i="25"/>
  <c r="BA27" i="25"/>
  <c r="BA30" i="25"/>
  <c r="BA31" i="25"/>
  <c r="BA32" i="25"/>
  <c r="BA33" i="25"/>
  <c r="BA42" i="25"/>
  <c r="BA47" i="25"/>
  <c r="BA48" i="25"/>
  <c r="BA49" i="25"/>
  <c r="BA53" i="25"/>
  <c r="BA54" i="25" s="1"/>
  <c r="BA56" i="25"/>
  <c r="BA57" i="25"/>
  <c r="BA67" i="25"/>
  <c r="BA72" i="25"/>
  <c r="BA73" i="25"/>
  <c r="BA74" i="25"/>
  <c r="BA75" i="25"/>
  <c r="BA76" i="25"/>
  <c r="BA77" i="25"/>
  <c r="BA79" i="25"/>
  <c r="BA80" i="25"/>
  <c r="BA82" i="25"/>
  <c r="BA89" i="25"/>
  <c r="BA90" i="25"/>
  <c r="BA92" i="25"/>
  <c r="BA93" i="25"/>
  <c r="BA94" i="25"/>
  <c r="BA96" i="25"/>
  <c r="BA98" i="25"/>
  <c r="BA99" i="25"/>
  <c r="BA100" i="25"/>
  <c r="BA101" i="25"/>
  <c r="BA102" i="25"/>
  <c r="BA104" i="25"/>
  <c r="BA107" i="25"/>
  <c r="AY13" i="25"/>
  <c r="AY14" i="25"/>
  <c r="AY19" i="25"/>
  <c r="AY27" i="25"/>
  <c r="AY30" i="25"/>
  <c r="AY31" i="25"/>
  <c r="AY32" i="25"/>
  <c r="AY33" i="25"/>
  <c r="AY42" i="25"/>
  <c r="AY47" i="25"/>
  <c r="AY48" i="25"/>
  <c r="AY49" i="25"/>
  <c r="AY53" i="25"/>
  <c r="AY54" i="25" s="1"/>
  <c r="AY56" i="25"/>
  <c r="AY57" i="25"/>
  <c r="AY67" i="25"/>
  <c r="AY72" i="25"/>
  <c r="AY73" i="25"/>
  <c r="AY74" i="25"/>
  <c r="AY75" i="25"/>
  <c r="AY76" i="25"/>
  <c r="AY77" i="25"/>
  <c r="AY79" i="25"/>
  <c r="AY80" i="25"/>
  <c r="AY82" i="25"/>
  <c r="AY89" i="25"/>
  <c r="AY90" i="25"/>
  <c r="AY92" i="25"/>
  <c r="AY93" i="25"/>
  <c r="AY94" i="25"/>
  <c r="AY96" i="25"/>
  <c r="AY98" i="25"/>
  <c r="AY99" i="25"/>
  <c r="AY100" i="25"/>
  <c r="AY101" i="25"/>
  <c r="AY102" i="25"/>
  <c r="AY104" i="25"/>
  <c r="AY107" i="25"/>
  <c r="AW13" i="25"/>
  <c r="AW14" i="25"/>
  <c r="AW19" i="25"/>
  <c r="AW27" i="25"/>
  <c r="AW30" i="25"/>
  <c r="AW31" i="25"/>
  <c r="AW32" i="25"/>
  <c r="AW33" i="25"/>
  <c r="AW42" i="25"/>
  <c r="AW47" i="25"/>
  <c r="AW48" i="25"/>
  <c r="AW49" i="25"/>
  <c r="AW53" i="25"/>
  <c r="AW54" i="25" s="1"/>
  <c r="AW56" i="25"/>
  <c r="AW57" i="25"/>
  <c r="AW67" i="25"/>
  <c r="AW72" i="25"/>
  <c r="AW73" i="25"/>
  <c r="AW74" i="25"/>
  <c r="AW75" i="25"/>
  <c r="AW76" i="25"/>
  <c r="AW77" i="25"/>
  <c r="AW79" i="25"/>
  <c r="AW80" i="25"/>
  <c r="AW82" i="25"/>
  <c r="AW89" i="25"/>
  <c r="AW90" i="25"/>
  <c r="AW92" i="25"/>
  <c r="AW93" i="25"/>
  <c r="AW94" i="25"/>
  <c r="AW96" i="25"/>
  <c r="AW98" i="25"/>
  <c r="AW99" i="25"/>
  <c r="AW100" i="25"/>
  <c r="AW101" i="25"/>
  <c r="AW102" i="25"/>
  <c r="AW104" i="25"/>
  <c r="AW107" i="25"/>
  <c r="AU13" i="25"/>
  <c r="AU14" i="25"/>
  <c r="AU19" i="25"/>
  <c r="AU27" i="25"/>
  <c r="AU30" i="25"/>
  <c r="AU31" i="25"/>
  <c r="AU32" i="25"/>
  <c r="AU33" i="25"/>
  <c r="AU42" i="25"/>
  <c r="AU47" i="25"/>
  <c r="AU48" i="25"/>
  <c r="AU49" i="25"/>
  <c r="AU53" i="25"/>
  <c r="AU54" i="25" s="1"/>
  <c r="AU56" i="25"/>
  <c r="AU57" i="25"/>
  <c r="AU67" i="25"/>
  <c r="AU72" i="25"/>
  <c r="AU73" i="25"/>
  <c r="AU74" i="25"/>
  <c r="AU75" i="25"/>
  <c r="AU76" i="25"/>
  <c r="AU77" i="25"/>
  <c r="AU79" i="25"/>
  <c r="AU80" i="25"/>
  <c r="AU82" i="25"/>
  <c r="AU89" i="25"/>
  <c r="AU90" i="25"/>
  <c r="AU92" i="25"/>
  <c r="AU93" i="25"/>
  <c r="AU94" i="25"/>
  <c r="AU96" i="25"/>
  <c r="AU98" i="25"/>
  <c r="AU99" i="25"/>
  <c r="AU100" i="25"/>
  <c r="AU101" i="25"/>
  <c r="AU102" i="25"/>
  <c r="AU104" i="25"/>
  <c r="AU107" i="25"/>
  <c r="AS13" i="25"/>
  <c r="AS14" i="25"/>
  <c r="AS19" i="25"/>
  <c r="AS27" i="25"/>
  <c r="AS30" i="25"/>
  <c r="AS31" i="25"/>
  <c r="AS32" i="25"/>
  <c r="AS33" i="25"/>
  <c r="AS42" i="25"/>
  <c r="AS47" i="25"/>
  <c r="AS48" i="25"/>
  <c r="AS49" i="25"/>
  <c r="AS53" i="25"/>
  <c r="AS54" i="25" s="1"/>
  <c r="AS56" i="25"/>
  <c r="AS57" i="25"/>
  <c r="AS67" i="25"/>
  <c r="AS72" i="25"/>
  <c r="AS73" i="25"/>
  <c r="AS74" i="25"/>
  <c r="AS75" i="25"/>
  <c r="AS76" i="25"/>
  <c r="AS77" i="25"/>
  <c r="AS79" i="25"/>
  <c r="AS80" i="25"/>
  <c r="AS82" i="25"/>
  <c r="AS89" i="25"/>
  <c r="AS90" i="25"/>
  <c r="AS92" i="25"/>
  <c r="AS93" i="25"/>
  <c r="AS94" i="25"/>
  <c r="AS96" i="25"/>
  <c r="AS98" i="25"/>
  <c r="AS99" i="25"/>
  <c r="AS100" i="25"/>
  <c r="AS101" i="25"/>
  <c r="AS102" i="25"/>
  <c r="AS104" i="25"/>
  <c r="AS107" i="25"/>
  <c r="AQ13" i="25"/>
  <c r="AQ14" i="25"/>
  <c r="AQ19" i="25"/>
  <c r="AQ31" i="25"/>
  <c r="AQ32" i="25"/>
  <c r="AQ33" i="25"/>
  <c r="AQ42" i="25"/>
  <c r="AQ47" i="25"/>
  <c r="AQ48" i="25"/>
  <c r="AQ49" i="25"/>
  <c r="AQ53" i="25"/>
  <c r="AQ54" i="25" s="1"/>
  <c r="AQ56" i="25"/>
  <c r="AQ57" i="25"/>
  <c r="AQ67" i="25"/>
  <c r="AQ72" i="25"/>
  <c r="AQ73" i="25"/>
  <c r="AQ74" i="25"/>
  <c r="AQ75" i="25"/>
  <c r="AQ76" i="25"/>
  <c r="AQ77" i="25"/>
  <c r="AQ79" i="25"/>
  <c r="AQ80" i="25"/>
  <c r="AQ82" i="25"/>
  <c r="AQ89" i="25"/>
  <c r="AQ90" i="25"/>
  <c r="AQ92" i="25"/>
  <c r="AQ93" i="25"/>
  <c r="AQ94" i="25"/>
  <c r="AQ96" i="25"/>
  <c r="AQ98" i="25"/>
  <c r="AQ99" i="25"/>
  <c r="AQ100" i="25"/>
  <c r="AQ101" i="25"/>
  <c r="AQ102" i="25"/>
  <c r="AQ104" i="25"/>
  <c r="AQ107" i="25"/>
  <c r="AO13" i="25"/>
  <c r="AO14" i="25"/>
  <c r="AO19" i="25"/>
  <c r="AO27" i="25"/>
  <c r="AO30" i="25"/>
  <c r="AO31" i="25"/>
  <c r="AO32" i="25"/>
  <c r="AO33" i="25"/>
  <c r="AO42" i="25"/>
  <c r="AO47" i="25"/>
  <c r="AO48" i="25"/>
  <c r="AO49" i="25"/>
  <c r="AO53" i="25"/>
  <c r="AO54" i="25" s="1"/>
  <c r="AO56" i="25"/>
  <c r="AO57" i="25"/>
  <c r="AO67" i="25"/>
  <c r="AO72" i="25"/>
  <c r="AO73" i="25"/>
  <c r="AO74" i="25"/>
  <c r="AO75" i="25"/>
  <c r="AO76" i="25"/>
  <c r="AO77" i="25"/>
  <c r="AO79" i="25"/>
  <c r="AO80" i="25"/>
  <c r="AO82" i="25"/>
  <c r="AO89" i="25"/>
  <c r="AO90" i="25"/>
  <c r="AO92" i="25"/>
  <c r="AO93" i="25"/>
  <c r="AO94" i="25"/>
  <c r="AO96" i="25"/>
  <c r="AO98" i="25"/>
  <c r="AO99" i="25"/>
  <c r="AO100" i="25"/>
  <c r="AO101" i="25"/>
  <c r="AO102" i="25"/>
  <c r="AO104" i="25"/>
  <c r="AO107" i="25"/>
  <c r="AM13" i="25"/>
  <c r="AM14" i="25"/>
  <c r="AM19" i="25"/>
  <c r="AM27" i="25"/>
  <c r="AM30" i="25"/>
  <c r="AM31" i="25"/>
  <c r="AM32" i="25"/>
  <c r="AM33" i="25"/>
  <c r="AM42" i="25"/>
  <c r="AM47" i="25"/>
  <c r="AM48" i="25"/>
  <c r="AM49" i="25"/>
  <c r="AM53" i="25"/>
  <c r="AM54" i="25" s="1"/>
  <c r="AM56" i="25"/>
  <c r="AM57" i="25"/>
  <c r="AM67" i="25"/>
  <c r="AM72" i="25"/>
  <c r="AM73" i="25"/>
  <c r="AM74" i="25"/>
  <c r="AM75" i="25"/>
  <c r="AM76" i="25"/>
  <c r="AM77" i="25"/>
  <c r="AM79" i="25"/>
  <c r="AM80" i="25"/>
  <c r="AM82" i="25"/>
  <c r="AM89" i="25"/>
  <c r="AM90" i="25"/>
  <c r="AM92" i="25"/>
  <c r="AM93" i="25"/>
  <c r="AM94" i="25"/>
  <c r="AM96" i="25"/>
  <c r="AM98" i="25"/>
  <c r="AM99" i="25"/>
  <c r="AM100" i="25"/>
  <c r="AM101" i="25"/>
  <c r="AM102" i="25"/>
  <c r="AM104" i="25"/>
  <c r="AM107" i="25"/>
  <c r="AK13" i="25"/>
  <c r="AK14" i="25"/>
  <c r="AK19" i="25"/>
  <c r="AK27" i="25"/>
  <c r="AK30" i="25"/>
  <c r="AK31" i="25"/>
  <c r="AK32" i="25"/>
  <c r="AK33" i="25"/>
  <c r="AK42" i="25"/>
  <c r="AK47" i="25"/>
  <c r="AK48" i="25"/>
  <c r="AK49" i="25"/>
  <c r="AK53" i="25"/>
  <c r="AK54" i="25" s="1"/>
  <c r="AK56" i="25"/>
  <c r="AK57" i="25"/>
  <c r="AK67" i="25"/>
  <c r="AK72" i="25"/>
  <c r="AK73" i="25"/>
  <c r="AK74" i="25"/>
  <c r="AK75" i="25"/>
  <c r="AK76" i="25"/>
  <c r="AK77" i="25"/>
  <c r="AK79" i="25"/>
  <c r="AK80" i="25"/>
  <c r="AK82" i="25"/>
  <c r="AK89" i="25"/>
  <c r="AK90" i="25"/>
  <c r="AK92" i="25"/>
  <c r="AK93" i="25"/>
  <c r="AK94" i="25"/>
  <c r="AK96" i="25"/>
  <c r="AK98" i="25"/>
  <c r="AK99" i="25"/>
  <c r="AK100" i="25"/>
  <c r="AK101" i="25"/>
  <c r="AK102" i="25"/>
  <c r="AK104" i="25"/>
  <c r="AK107" i="25"/>
  <c r="AI13" i="25"/>
  <c r="AI14" i="25"/>
  <c r="AI19" i="25"/>
  <c r="AI27" i="25"/>
  <c r="AI30" i="25"/>
  <c r="AI31" i="25"/>
  <c r="AI32" i="25"/>
  <c r="AI33" i="25"/>
  <c r="AI42" i="25"/>
  <c r="AI47" i="25"/>
  <c r="AI48" i="25"/>
  <c r="AI49" i="25"/>
  <c r="AI53" i="25"/>
  <c r="AI54" i="25" s="1"/>
  <c r="AI56" i="25"/>
  <c r="AI57" i="25"/>
  <c r="AI67" i="25"/>
  <c r="AI72" i="25"/>
  <c r="AI73" i="25"/>
  <c r="AI74" i="25"/>
  <c r="AI75" i="25"/>
  <c r="AI76" i="25"/>
  <c r="AI77" i="25"/>
  <c r="AI79" i="25"/>
  <c r="AI80" i="25"/>
  <c r="AI82" i="25"/>
  <c r="AI89" i="25"/>
  <c r="AI90" i="25"/>
  <c r="AI92" i="25"/>
  <c r="AI93" i="25"/>
  <c r="AI94" i="25"/>
  <c r="AI96" i="25"/>
  <c r="AI98" i="25"/>
  <c r="AI99" i="25"/>
  <c r="AI100" i="25"/>
  <c r="AI101" i="25"/>
  <c r="AI102" i="25"/>
  <c r="AI104" i="25"/>
  <c r="AI107" i="25"/>
  <c r="AG13" i="25"/>
  <c r="AG14" i="25"/>
  <c r="AG19" i="25"/>
  <c r="AG27" i="25"/>
  <c r="AG30" i="25"/>
  <c r="AG31" i="25"/>
  <c r="AG32" i="25"/>
  <c r="AG33" i="25"/>
  <c r="AG42" i="25"/>
  <c r="AG47" i="25"/>
  <c r="AG48" i="25"/>
  <c r="AG49" i="25"/>
  <c r="AG53" i="25"/>
  <c r="AG54" i="25" s="1"/>
  <c r="AG56" i="25"/>
  <c r="AG57" i="25"/>
  <c r="AG67" i="25"/>
  <c r="AG72" i="25"/>
  <c r="AG73" i="25"/>
  <c r="AG74" i="25"/>
  <c r="AG75" i="25"/>
  <c r="AG76" i="25"/>
  <c r="AG77" i="25"/>
  <c r="AG79" i="25"/>
  <c r="AG80" i="25"/>
  <c r="AG82" i="25"/>
  <c r="AG89" i="25"/>
  <c r="AG90" i="25"/>
  <c r="AG92" i="25"/>
  <c r="AG93" i="25"/>
  <c r="AG94" i="25"/>
  <c r="AG96" i="25"/>
  <c r="AG98" i="25"/>
  <c r="AG99" i="25"/>
  <c r="AG100" i="25"/>
  <c r="AG101" i="25"/>
  <c r="AG102" i="25"/>
  <c r="AG104" i="25"/>
  <c r="AG107" i="25"/>
  <c r="AE13" i="25"/>
  <c r="AE14" i="25"/>
  <c r="AE19" i="25"/>
  <c r="AE27" i="25"/>
  <c r="AE30" i="25"/>
  <c r="AE31" i="25"/>
  <c r="AE32" i="25"/>
  <c r="AE33" i="25"/>
  <c r="AE42" i="25"/>
  <c r="AE47" i="25"/>
  <c r="AE48" i="25"/>
  <c r="AE49" i="25"/>
  <c r="AE53" i="25"/>
  <c r="AE54" i="25" s="1"/>
  <c r="AE56" i="25"/>
  <c r="AE57" i="25"/>
  <c r="AE67" i="25"/>
  <c r="AE72" i="25"/>
  <c r="AE73" i="25"/>
  <c r="AE74" i="25"/>
  <c r="AE75" i="25"/>
  <c r="AE76" i="25"/>
  <c r="AE77" i="25"/>
  <c r="AE79" i="25"/>
  <c r="AE80" i="25"/>
  <c r="AE82" i="25"/>
  <c r="AE89" i="25"/>
  <c r="AE90" i="25"/>
  <c r="AE92" i="25"/>
  <c r="AE93" i="25"/>
  <c r="AE94" i="25"/>
  <c r="AE96" i="25"/>
  <c r="AE98" i="25"/>
  <c r="AE99" i="25"/>
  <c r="AE100" i="25"/>
  <c r="AE101" i="25"/>
  <c r="AE102" i="25"/>
  <c r="AE104" i="25"/>
  <c r="AE107" i="25"/>
  <c r="AC13" i="25"/>
  <c r="AC14" i="25"/>
  <c r="AC19" i="25"/>
  <c r="AC27" i="25"/>
  <c r="AC30" i="25"/>
  <c r="AC31" i="25"/>
  <c r="AC32" i="25"/>
  <c r="AC33" i="25"/>
  <c r="AC42" i="25"/>
  <c r="AC47" i="25"/>
  <c r="AC48" i="25"/>
  <c r="AC49" i="25"/>
  <c r="AC53" i="25"/>
  <c r="AC54" i="25" s="1"/>
  <c r="AC56" i="25"/>
  <c r="AC57" i="25"/>
  <c r="AC67" i="25"/>
  <c r="AC72" i="25"/>
  <c r="AC73" i="25"/>
  <c r="AC74" i="25"/>
  <c r="AC75" i="25"/>
  <c r="AC76" i="25"/>
  <c r="AC77" i="25"/>
  <c r="AC79" i="25"/>
  <c r="AC80" i="25"/>
  <c r="AC82" i="25"/>
  <c r="AC89" i="25"/>
  <c r="AC90" i="25"/>
  <c r="AC92" i="25"/>
  <c r="AC93" i="25"/>
  <c r="AC94" i="25"/>
  <c r="AC96" i="25"/>
  <c r="AC98" i="25"/>
  <c r="AC99" i="25"/>
  <c r="AC100" i="25"/>
  <c r="AC101" i="25"/>
  <c r="AC102" i="25"/>
  <c r="AC104" i="25"/>
  <c r="AC107" i="25"/>
  <c r="AA13" i="25"/>
  <c r="AA14" i="25"/>
  <c r="AA19" i="25"/>
  <c r="AA27" i="25"/>
  <c r="AA30" i="25"/>
  <c r="AA31" i="25"/>
  <c r="AA32" i="25"/>
  <c r="AA33" i="25"/>
  <c r="AA42" i="25"/>
  <c r="AA47" i="25"/>
  <c r="AA48" i="25"/>
  <c r="AA49" i="25"/>
  <c r="AA53" i="25"/>
  <c r="AA54" i="25" s="1"/>
  <c r="AA56" i="25"/>
  <c r="AA57" i="25"/>
  <c r="AA67" i="25"/>
  <c r="AA72" i="25"/>
  <c r="AA73" i="25"/>
  <c r="AA74" i="25"/>
  <c r="AA75" i="25"/>
  <c r="AA76" i="25"/>
  <c r="AA77" i="25"/>
  <c r="AA79" i="25"/>
  <c r="AA80" i="25"/>
  <c r="AA82" i="25"/>
  <c r="AA89" i="25"/>
  <c r="AA90" i="25"/>
  <c r="AA92" i="25"/>
  <c r="AA93" i="25"/>
  <c r="AA94" i="25"/>
  <c r="AA96" i="25"/>
  <c r="AA98" i="25"/>
  <c r="AA99" i="25"/>
  <c r="AA100" i="25"/>
  <c r="AA101" i="25"/>
  <c r="AA104" i="25"/>
  <c r="AA107" i="25"/>
  <c r="V101" i="24"/>
  <c r="W101" i="24"/>
  <c r="X101" i="24"/>
  <c r="Y101" i="24"/>
  <c r="V102" i="24"/>
  <c r="W102" i="24"/>
  <c r="X102" i="24"/>
  <c r="Y102" i="24"/>
  <c r="V103" i="24"/>
  <c r="W103" i="24"/>
  <c r="X103" i="24"/>
  <c r="Y103" i="24"/>
  <c r="V104" i="24"/>
  <c r="W104" i="24"/>
  <c r="X104" i="24"/>
  <c r="Y104" i="24"/>
  <c r="V105" i="24"/>
  <c r="W105" i="24"/>
  <c r="X105" i="24"/>
  <c r="Y105" i="24"/>
  <c r="V106" i="24"/>
  <c r="W106" i="24"/>
  <c r="X106" i="24"/>
  <c r="Y106" i="24"/>
  <c r="V107" i="24"/>
  <c r="W107" i="24"/>
  <c r="X107" i="24"/>
  <c r="Y107" i="24"/>
  <c r="V111" i="24"/>
  <c r="W111" i="24"/>
  <c r="X111" i="24"/>
  <c r="Y111" i="24"/>
  <c r="V112" i="24"/>
  <c r="W112" i="24"/>
  <c r="X112" i="24"/>
  <c r="Y112" i="24"/>
  <c r="V113" i="24"/>
  <c r="W113" i="24"/>
  <c r="X113" i="24"/>
  <c r="Y113" i="24"/>
  <c r="Y100" i="24"/>
  <c r="X100" i="24"/>
  <c r="W100" i="24"/>
  <c r="V100" i="24"/>
  <c r="V90" i="24"/>
  <c r="W90" i="24"/>
  <c r="X90" i="24"/>
  <c r="Y90" i="24"/>
  <c r="V92" i="24"/>
  <c r="W92" i="24"/>
  <c r="X92" i="24"/>
  <c r="Y92" i="24"/>
  <c r="V94" i="24"/>
  <c r="W94" i="24"/>
  <c r="X94" i="24"/>
  <c r="Y94" i="24"/>
  <c r="V95" i="24"/>
  <c r="W95" i="24"/>
  <c r="X95" i="24"/>
  <c r="Y95" i="24"/>
  <c r="V70" i="24"/>
  <c r="W70" i="24"/>
  <c r="X70" i="24"/>
  <c r="Y70" i="24"/>
  <c r="V72" i="24"/>
  <c r="W72" i="24"/>
  <c r="X72" i="24"/>
  <c r="Y72" i="24"/>
  <c r="V73" i="24"/>
  <c r="W73" i="24"/>
  <c r="X73" i="24"/>
  <c r="Y73" i="24"/>
  <c r="V74" i="24"/>
  <c r="W74" i="24"/>
  <c r="X74" i="24"/>
  <c r="Y74" i="24"/>
  <c r="V75" i="24"/>
  <c r="W75" i="24"/>
  <c r="X75" i="24"/>
  <c r="Y75" i="24"/>
  <c r="V76" i="24"/>
  <c r="W76" i="24"/>
  <c r="X76" i="24"/>
  <c r="Y76" i="24"/>
  <c r="V77" i="24"/>
  <c r="W77" i="24"/>
  <c r="X77" i="24"/>
  <c r="Y77" i="24"/>
  <c r="V78" i="24"/>
  <c r="W78" i="24"/>
  <c r="X78" i="24"/>
  <c r="Y78" i="24"/>
  <c r="V79" i="24"/>
  <c r="W79" i="24"/>
  <c r="X79" i="24"/>
  <c r="Y79" i="24"/>
  <c r="V80" i="24"/>
  <c r="W80" i="24"/>
  <c r="X80" i="24"/>
  <c r="Y80" i="24"/>
  <c r="V81" i="24"/>
  <c r="W81" i="24"/>
  <c r="X81" i="24"/>
  <c r="Y81" i="24"/>
  <c r="V82" i="24"/>
  <c r="W82" i="24"/>
  <c r="X82" i="24"/>
  <c r="Y82" i="24"/>
  <c r="V83" i="24"/>
  <c r="W83" i="24"/>
  <c r="X83" i="24"/>
  <c r="Y83" i="24"/>
  <c r="V84" i="24"/>
  <c r="W84" i="24"/>
  <c r="X84" i="24"/>
  <c r="Y84" i="24"/>
  <c r="Y69" i="24"/>
  <c r="X69" i="24"/>
  <c r="W69" i="24"/>
  <c r="V69" i="24"/>
  <c r="V63" i="24"/>
  <c r="W63" i="24"/>
  <c r="X63" i="24"/>
  <c r="Y63" i="24"/>
  <c r="Y62" i="24"/>
  <c r="X62" i="24"/>
  <c r="W62" i="24"/>
  <c r="V62" i="24"/>
  <c r="V59" i="24"/>
  <c r="W59" i="24"/>
  <c r="X59" i="24"/>
  <c r="Y59" i="24"/>
  <c r="Y55" i="24"/>
  <c r="X55" i="24"/>
  <c r="V55" i="24"/>
  <c r="V52" i="24"/>
  <c r="W52" i="24"/>
  <c r="Y52" i="24"/>
  <c r="V20" i="24"/>
  <c r="W20" i="24"/>
  <c r="X20" i="24"/>
  <c r="Y20" i="24"/>
  <c r="V21" i="24"/>
  <c r="W21" i="24"/>
  <c r="X21" i="24"/>
  <c r="Y21" i="24"/>
  <c r="V25" i="24"/>
  <c r="X25" i="24"/>
  <c r="Y25" i="24"/>
  <c r="V26" i="24"/>
  <c r="X26" i="24"/>
  <c r="Y26" i="24"/>
  <c r="V30" i="24"/>
  <c r="X30" i="24"/>
  <c r="Y30" i="24"/>
  <c r="V31" i="24"/>
  <c r="X31" i="24"/>
  <c r="Y31" i="24"/>
  <c r="V32" i="24"/>
  <c r="X32" i="24"/>
  <c r="Y32" i="24"/>
  <c r="V36" i="24"/>
  <c r="X36" i="24"/>
  <c r="Y36" i="24"/>
  <c r="V38" i="24"/>
  <c r="X38" i="24"/>
  <c r="Y38" i="24"/>
  <c r="V41" i="24"/>
  <c r="X41" i="24"/>
  <c r="Y41" i="24"/>
  <c r="V42" i="24"/>
  <c r="X42" i="24"/>
  <c r="Y42" i="24"/>
  <c r="V43" i="24"/>
  <c r="X43" i="24"/>
  <c r="Y43" i="24"/>
  <c r="BJ52" i="24"/>
  <c r="F52" i="24" s="1"/>
  <c r="G38" i="24"/>
  <c r="AB116" i="24"/>
  <c r="AD116" i="24"/>
  <c r="AF116" i="24"/>
  <c r="AH116" i="24"/>
  <c r="AJ116" i="24"/>
  <c r="AL116" i="24"/>
  <c r="AN116" i="24"/>
  <c r="AP116" i="24"/>
  <c r="AR116" i="24"/>
  <c r="AT116" i="24"/>
  <c r="AV116" i="24"/>
  <c r="AX116" i="24"/>
  <c r="AZ116" i="24"/>
  <c r="BB116" i="24"/>
  <c r="BD116" i="24"/>
  <c r="BF116" i="24"/>
  <c r="BH116" i="24"/>
  <c r="AB97" i="24"/>
  <c r="AD97" i="24"/>
  <c r="AF97" i="24"/>
  <c r="AH97" i="24"/>
  <c r="AJ97" i="24"/>
  <c r="AL97" i="24"/>
  <c r="AN97" i="24"/>
  <c r="AP97" i="24"/>
  <c r="AR97" i="24"/>
  <c r="AT97" i="24"/>
  <c r="AV97" i="24"/>
  <c r="AX97" i="24"/>
  <c r="AZ97" i="24"/>
  <c r="BB97" i="24"/>
  <c r="BD97" i="24"/>
  <c r="BF97" i="24"/>
  <c r="BH97" i="24"/>
  <c r="AB87" i="24"/>
  <c r="AD87" i="24"/>
  <c r="AF87" i="24"/>
  <c r="AH87" i="24"/>
  <c r="AJ87" i="24"/>
  <c r="AL87" i="24"/>
  <c r="AN87" i="24"/>
  <c r="AP87" i="24"/>
  <c r="AR87" i="24"/>
  <c r="AT87" i="24"/>
  <c r="AV87" i="24"/>
  <c r="AX87" i="24"/>
  <c r="AZ87" i="24"/>
  <c r="BB87" i="24"/>
  <c r="BD87" i="24"/>
  <c r="BF87" i="24"/>
  <c r="BH87" i="24"/>
  <c r="AB65" i="24"/>
  <c r="AD65" i="24"/>
  <c r="AF65" i="24"/>
  <c r="AH65" i="24"/>
  <c r="AJ65" i="24"/>
  <c r="AL65" i="24"/>
  <c r="AN65" i="24"/>
  <c r="AP65" i="24"/>
  <c r="AR65" i="24"/>
  <c r="AT65" i="24"/>
  <c r="AV65" i="24"/>
  <c r="AX65" i="24"/>
  <c r="AZ65" i="24"/>
  <c r="BB65" i="24"/>
  <c r="BD65" i="24"/>
  <c r="BF65" i="24"/>
  <c r="BH65" i="24"/>
  <c r="BH60" i="24"/>
  <c r="AB53" i="24"/>
  <c r="AD53" i="24"/>
  <c r="AF53" i="24"/>
  <c r="AH53" i="24"/>
  <c r="AJ53" i="24"/>
  <c r="AL53" i="24"/>
  <c r="AN53" i="24"/>
  <c r="AP53" i="24"/>
  <c r="AR53" i="24"/>
  <c r="AT53" i="24"/>
  <c r="AV53" i="24"/>
  <c r="AX53" i="24"/>
  <c r="AZ53" i="24"/>
  <c r="BB53" i="24"/>
  <c r="BD53" i="24"/>
  <c r="BF53" i="24"/>
  <c r="BH53" i="24"/>
  <c r="AB44" i="24"/>
  <c r="AD44" i="24"/>
  <c r="AF44" i="24"/>
  <c r="AH44" i="24"/>
  <c r="AJ44" i="24"/>
  <c r="AL44" i="24"/>
  <c r="AN44" i="24"/>
  <c r="AP44" i="24"/>
  <c r="AR44" i="24"/>
  <c r="AT44" i="24"/>
  <c r="AV44" i="24"/>
  <c r="AX44" i="24"/>
  <c r="AZ44" i="24"/>
  <c r="BB44" i="24"/>
  <c r="BD44" i="24"/>
  <c r="BF44" i="24"/>
  <c r="BH44" i="24"/>
  <c r="AD17" i="24"/>
  <c r="AF17" i="24"/>
  <c r="AH17" i="24"/>
  <c r="AJ17" i="24"/>
  <c r="AL17" i="24"/>
  <c r="AN17" i="24"/>
  <c r="AP17" i="24"/>
  <c r="AR17" i="24"/>
  <c r="AT17" i="24"/>
  <c r="AV17" i="24"/>
  <c r="AX17" i="24"/>
  <c r="AZ17" i="24"/>
  <c r="BB17" i="24"/>
  <c r="BD17" i="24"/>
  <c r="BF17" i="24"/>
  <c r="BI101" i="24"/>
  <c r="BI102" i="24"/>
  <c r="BI103" i="24"/>
  <c r="BI104" i="24"/>
  <c r="BI105" i="24"/>
  <c r="BI106" i="24"/>
  <c r="BI107" i="24"/>
  <c r="BI111" i="24"/>
  <c r="BI112" i="24"/>
  <c r="BI113" i="24"/>
  <c r="BI100" i="24"/>
  <c r="BI90" i="24"/>
  <c r="BI92" i="24"/>
  <c r="BI94" i="24"/>
  <c r="BI95" i="24"/>
  <c r="BI70" i="24"/>
  <c r="BI72" i="24"/>
  <c r="BI73" i="24"/>
  <c r="BI74" i="24"/>
  <c r="BI75" i="24"/>
  <c r="BI76" i="24"/>
  <c r="BI77" i="24"/>
  <c r="BI78" i="24"/>
  <c r="BI79" i="24"/>
  <c r="BI80" i="24"/>
  <c r="BI81" i="24"/>
  <c r="BI82" i="24"/>
  <c r="BI83" i="24"/>
  <c r="BI84" i="24"/>
  <c r="BI69" i="24"/>
  <c r="BI63" i="24"/>
  <c r="BI62" i="24"/>
  <c r="BI56" i="24"/>
  <c r="BI59" i="24"/>
  <c r="BI55" i="24"/>
  <c r="BI52" i="24"/>
  <c r="BI20" i="24"/>
  <c r="BI21" i="24"/>
  <c r="BI25" i="24"/>
  <c r="BI26" i="24"/>
  <c r="BI30" i="24"/>
  <c r="BI31" i="24"/>
  <c r="BI32" i="24"/>
  <c r="BI36" i="24"/>
  <c r="BI38" i="24"/>
  <c r="BI41" i="24"/>
  <c r="BI42" i="24"/>
  <c r="BI43" i="24"/>
  <c r="BI13" i="24"/>
  <c r="BG13" i="24"/>
  <c r="BG18" i="24"/>
  <c r="BG20" i="24"/>
  <c r="BG21" i="24"/>
  <c r="BG25" i="24"/>
  <c r="BG26" i="24"/>
  <c r="BG30" i="24"/>
  <c r="BG31" i="24"/>
  <c r="BG32" i="24"/>
  <c r="BG36" i="24"/>
  <c r="BG38" i="24"/>
  <c r="BG41" i="24"/>
  <c r="BG42" i="24"/>
  <c r="BG43" i="24"/>
  <c r="BG45" i="24"/>
  <c r="BG46" i="24"/>
  <c r="BG52" i="24"/>
  <c r="BG54" i="24"/>
  <c r="BG55" i="24"/>
  <c r="BG59" i="24"/>
  <c r="BG61" i="24"/>
  <c r="BG62" i="24"/>
  <c r="BG63" i="24"/>
  <c r="BG67" i="24"/>
  <c r="BG68" i="24"/>
  <c r="BG69" i="24"/>
  <c r="BG70" i="24"/>
  <c r="BG72" i="24"/>
  <c r="BG73" i="24"/>
  <c r="BG74" i="24"/>
  <c r="BG75" i="24"/>
  <c r="BG76" i="24"/>
  <c r="BG77" i="24"/>
  <c r="BG78" i="24"/>
  <c r="BG79" i="24"/>
  <c r="BG80" i="24"/>
  <c r="BG81" i="24"/>
  <c r="BG82" i="24"/>
  <c r="BG83" i="24"/>
  <c r="BG84" i="24"/>
  <c r="BG88" i="24"/>
  <c r="BG90" i="24"/>
  <c r="BG92" i="24"/>
  <c r="BG94" i="24"/>
  <c r="BG95" i="24"/>
  <c r="BG99" i="24"/>
  <c r="BG100" i="24"/>
  <c r="BG101" i="24"/>
  <c r="BG102" i="24"/>
  <c r="BG103" i="24"/>
  <c r="BG104" i="24"/>
  <c r="BG105" i="24"/>
  <c r="BG106" i="24"/>
  <c r="BG107" i="24"/>
  <c r="BG111" i="24"/>
  <c r="BG112" i="24"/>
  <c r="BG113" i="24"/>
  <c r="BE13" i="24"/>
  <c r="BE18" i="24"/>
  <c r="BE20" i="24"/>
  <c r="BE21" i="24"/>
  <c r="BE25" i="24"/>
  <c r="BE26" i="24"/>
  <c r="BE30" i="24"/>
  <c r="BE31" i="24"/>
  <c r="BE32" i="24"/>
  <c r="BE36" i="24"/>
  <c r="BE38" i="24"/>
  <c r="BE41" i="24"/>
  <c r="BE42" i="24"/>
  <c r="BE43" i="24"/>
  <c r="BE45" i="24"/>
  <c r="BE46" i="24"/>
  <c r="BE52" i="24"/>
  <c r="BE54" i="24"/>
  <c r="BE55" i="24"/>
  <c r="BE59" i="24"/>
  <c r="BE61" i="24"/>
  <c r="BE62" i="24"/>
  <c r="BE63" i="24"/>
  <c r="BE67" i="24"/>
  <c r="BE68" i="24"/>
  <c r="BE69" i="24"/>
  <c r="BE70" i="24"/>
  <c r="BE72" i="24"/>
  <c r="BE73" i="24"/>
  <c r="BE74" i="24"/>
  <c r="BE75" i="24"/>
  <c r="BE76" i="24"/>
  <c r="BE77" i="24"/>
  <c r="BE78" i="24"/>
  <c r="BE79" i="24"/>
  <c r="BE80" i="24"/>
  <c r="BE81" i="24"/>
  <c r="BE82" i="24"/>
  <c r="BE83" i="24"/>
  <c r="BE84" i="24"/>
  <c r="BE88" i="24"/>
  <c r="BE90" i="24"/>
  <c r="BE92" i="24"/>
  <c r="BE94" i="24"/>
  <c r="BE95" i="24"/>
  <c r="BE99" i="24"/>
  <c r="BE100" i="24"/>
  <c r="BE101" i="24"/>
  <c r="BE102" i="24"/>
  <c r="BE103" i="24"/>
  <c r="BE104" i="24"/>
  <c r="BE105" i="24"/>
  <c r="BE106" i="24"/>
  <c r="BE107" i="24"/>
  <c r="BE111" i="24"/>
  <c r="BE112" i="24"/>
  <c r="BE113" i="24"/>
  <c r="BC13" i="24"/>
  <c r="BC18" i="24"/>
  <c r="BC20" i="24"/>
  <c r="BC21" i="24"/>
  <c r="BC25" i="24"/>
  <c r="BC26" i="24"/>
  <c r="BC30" i="24"/>
  <c r="BC31" i="24"/>
  <c r="BC32" i="24"/>
  <c r="BC36" i="24"/>
  <c r="BC38" i="24"/>
  <c r="BC41" i="24"/>
  <c r="BC42" i="24"/>
  <c r="BC43" i="24"/>
  <c r="BC45" i="24"/>
  <c r="BC46" i="24"/>
  <c r="BC52" i="24"/>
  <c r="BC54" i="24"/>
  <c r="BC55" i="24"/>
  <c r="BC59" i="24"/>
  <c r="BC61" i="24"/>
  <c r="BC62" i="24"/>
  <c r="BC63" i="24"/>
  <c r="BC67" i="24"/>
  <c r="BC68" i="24"/>
  <c r="BC69" i="24"/>
  <c r="BC70" i="24"/>
  <c r="BC72" i="24"/>
  <c r="BC73" i="24"/>
  <c r="BC74" i="24"/>
  <c r="BC75" i="24"/>
  <c r="BC76" i="24"/>
  <c r="BC77" i="24"/>
  <c r="BC78" i="24"/>
  <c r="BC79" i="24"/>
  <c r="BC80" i="24"/>
  <c r="BC81" i="24"/>
  <c r="BC82" i="24"/>
  <c r="BC83" i="24"/>
  <c r="BC84" i="24"/>
  <c r="BC88" i="24"/>
  <c r="BC90" i="24"/>
  <c r="BC92" i="24"/>
  <c r="BC94" i="24"/>
  <c r="BC95" i="24"/>
  <c r="BC99" i="24"/>
  <c r="BC100" i="24"/>
  <c r="BC101" i="24"/>
  <c r="BC102" i="24"/>
  <c r="BC103" i="24"/>
  <c r="BC104" i="24"/>
  <c r="BC105" i="24"/>
  <c r="BC106" i="24"/>
  <c r="BC107" i="24"/>
  <c r="BC111" i="24"/>
  <c r="BC112" i="24"/>
  <c r="BC113" i="24"/>
  <c r="BA13" i="24"/>
  <c r="BA18" i="24"/>
  <c r="BA20" i="24"/>
  <c r="BA21" i="24"/>
  <c r="BA25" i="24"/>
  <c r="BA26" i="24"/>
  <c r="BA30" i="24"/>
  <c r="BA31" i="24"/>
  <c r="BA32" i="24"/>
  <c r="BA36" i="24"/>
  <c r="BA38" i="24"/>
  <c r="BA41" i="24"/>
  <c r="BA42" i="24"/>
  <c r="BA43" i="24"/>
  <c r="BA45" i="24"/>
  <c r="BA46" i="24"/>
  <c r="BA52" i="24"/>
  <c r="BA54" i="24"/>
  <c r="BA55" i="24"/>
  <c r="BA59" i="24"/>
  <c r="BA61" i="24"/>
  <c r="BA62" i="24"/>
  <c r="BA63" i="24"/>
  <c r="BA67" i="24"/>
  <c r="BA68" i="24"/>
  <c r="BA69" i="24"/>
  <c r="BA70" i="24"/>
  <c r="BA72" i="24"/>
  <c r="BA73" i="24"/>
  <c r="BA74" i="24"/>
  <c r="BA75" i="24"/>
  <c r="BA76" i="24"/>
  <c r="BA77" i="24"/>
  <c r="BA78" i="24"/>
  <c r="BA79" i="24"/>
  <c r="BA80" i="24"/>
  <c r="BA81" i="24"/>
  <c r="BA82" i="24"/>
  <c r="BA83" i="24"/>
  <c r="BA84" i="24"/>
  <c r="BA88" i="24"/>
  <c r="BA90" i="24"/>
  <c r="BA92" i="24"/>
  <c r="BA94" i="24"/>
  <c r="BA95" i="24"/>
  <c r="BA99" i="24"/>
  <c r="BA100" i="24"/>
  <c r="BA101" i="24"/>
  <c r="BA102" i="24"/>
  <c r="BA103" i="24"/>
  <c r="BA104" i="24"/>
  <c r="BA105" i="24"/>
  <c r="BA106" i="24"/>
  <c r="BA107" i="24"/>
  <c r="BA111" i="24"/>
  <c r="BA112" i="24"/>
  <c r="BA113" i="24"/>
  <c r="AY13" i="24"/>
  <c r="AY18" i="24"/>
  <c r="AY20" i="24"/>
  <c r="AY21" i="24"/>
  <c r="AY25" i="24"/>
  <c r="AY26" i="24"/>
  <c r="AY30" i="24"/>
  <c r="AY31" i="24"/>
  <c r="AY32" i="24"/>
  <c r="AY36" i="24"/>
  <c r="AY38" i="24"/>
  <c r="AY41" i="24"/>
  <c r="AY42" i="24"/>
  <c r="AY43" i="24"/>
  <c r="AY45" i="24"/>
  <c r="AY46" i="24"/>
  <c r="AY52" i="24"/>
  <c r="AY54" i="24"/>
  <c r="AY55" i="24"/>
  <c r="AY59" i="24"/>
  <c r="AY61" i="24"/>
  <c r="AY62" i="24"/>
  <c r="AY63" i="24"/>
  <c r="AY67" i="24"/>
  <c r="AY68" i="24"/>
  <c r="AY69" i="24"/>
  <c r="AY70" i="24"/>
  <c r="AY72" i="24"/>
  <c r="AY73" i="24"/>
  <c r="AY74" i="24"/>
  <c r="AY75" i="24"/>
  <c r="AY76" i="24"/>
  <c r="AY77" i="24"/>
  <c r="AY78" i="24"/>
  <c r="AY79" i="24"/>
  <c r="AY80" i="24"/>
  <c r="AY81" i="24"/>
  <c r="AY82" i="24"/>
  <c r="AY83" i="24"/>
  <c r="AY84" i="24"/>
  <c r="AY88" i="24"/>
  <c r="AY90" i="24"/>
  <c r="AY92" i="24"/>
  <c r="AY94" i="24"/>
  <c r="AY95" i="24"/>
  <c r="AY99" i="24"/>
  <c r="AY100" i="24"/>
  <c r="AY101" i="24"/>
  <c r="AY102" i="24"/>
  <c r="AY103" i="24"/>
  <c r="AY104" i="24"/>
  <c r="AY105" i="24"/>
  <c r="AY106" i="24"/>
  <c r="AY107" i="24"/>
  <c r="AY111" i="24"/>
  <c r="AY112" i="24"/>
  <c r="AY113" i="24"/>
  <c r="AW13" i="24"/>
  <c r="AW18" i="24"/>
  <c r="AW20" i="24"/>
  <c r="AW21" i="24"/>
  <c r="AW25" i="24"/>
  <c r="AW26" i="24"/>
  <c r="AW30" i="24"/>
  <c r="AW31" i="24"/>
  <c r="AW32" i="24"/>
  <c r="AW36" i="24"/>
  <c r="AW38" i="24"/>
  <c r="AW41" i="24"/>
  <c r="AW42" i="24"/>
  <c r="AW43" i="24"/>
  <c r="AW45" i="24"/>
  <c r="AW46" i="24"/>
  <c r="AW52" i="24"/>
  <c r="AW54" i="24"/>
  <c r="AW55" i="24"/>
  <c r="AW59" i="24"/>
  <c r="AW61" i="24"/>
  <c r="AW62" i="24"/>
  <c r="AW63" i="24"/>
  <c r="AW67" i="24"/>
  <c r="AW68" i="24"/>
  <c r="AW69" i="24"/>
  <c r="AW70" i="24"/>
  <c r="AW72" i="24"/>
  <c r="AW73" i="24"/>
  <c r="AW74" i="24"/>
  <c r="AW75" i="24"/>
  <c r="AW76" i="24"/>
  <c r="AW77" i="24"/>
  <c r="AW78" i="24"/>
  <c r="AW79" i="24"/>
  <c r="AW80" i="24"/>
  <c r="AW81" i="24"/>
  <c r="AW82" i="24"/>
  <c r="AW83" i="24"/>
  <c r="AW84" i="24"/>
  <c r="AW88" i="24"/>
  <c r="AW90" i="24"/>
  <c r="AW92" i="24"/>
  <c r="AW94" i="24"/>
  <c r="AW95" i="24"/>
  <c r="AW99" i="24"/>
  <c r="AW100" i="24"/>
  <c r="AW101" i="24"/>
  <c r="AW102" i="24"/>
  <c r="AW103" i="24"/>
  <c r="AW104" i="24"/>
  <c r="AW105" i="24"/>
  <c r="AW106" i="24"/>
  <c r="AW107" i="24"/>
  <c r="AW111" i="24"/>
  <c r="AW112" i="24"/>
  <c r="AW113" i="24"/>
  <c r="AU13" i="24"/>
  <c r="AU18" i="24"/>
  <c r="AU20" i="24"/>
  <c r="AU21" i="24"/>
  <c r="AU25" i="24"/>
  <c r="AU26" i="24"/>
  <c r="AU30" i="24"/>
  <c r="AU31" i="24"/>
  <c r="AU32" i="24"/>
  <c r="AU36" i="24"/>
  <c r="AU38" i="24"/>
  <c r="AU41" i="24"/>
  <c r="AU42" i="24"/>
  <c r="AU43" i="24"/>
  <c r="AU45" i="24"/>
  <c r="AU46" i="24"/>
  <c r="AU52" i="24"/>
  <c r="AU54" i="24"/>
  <c r="AU55" i="24"/>
  <c r="AU59" i="24"/>
  <c r="AU61" i="24"/>
  <c r="AU62" i="24"/>
  <c r="AU63" i="24"/>
  <c r="AU67" i="24"/>
  <c r="AU68" i="24"/>
  <c r="AU69" i="24"/>
  <c r="AU70" i="24"/>
  <c r="AU72" i="24"/>
  <c r="AU73" i="24"/>
  <c r="AU74" i="24"/>
  <c r="AU75" i="24"/>
  <c r="AU76" i="24"/>
  <c r="AU77" i="24"/>
  <c r="AU78" i="24"/>
  <c r="AU79" i="24"/>
  <c r="AU80" i="24"/>
  <c r="AU81" i="24"/>
  <c r="AU82" i="24"/>
  <c r="AU83" i="24"/>
  <c r="AU84" i="24"/>
  <c r="AU88" i="24"/>
  <c r="AU90" i="24"/>
  <c r="AU92" i="24"/>
  <c r="AU94" i="24"/>
  <c r="AU95" i="24"/>
  <c r="AU99" i="24"/>
  <c r="AU100" i="24"/>
  <c r="AU101" i="24"/>
  <c r="AU102" i="24"/>
  <c r="AU103" i="24"/>
  <c r="AU104" i="24"/>
  <c r="AU105" i="24"/>
  <c r="AU106" i="24"/>
  <c r="AU107" i="24"/>
  <c r="AU111" i="24"/>
  <c r="AU112" i="24"/>
  <c r="AU113" i="24"/>
  <c r="AS13" i="24"/>
  <c r="AS18" i="24"/>
  <c r="AS20" i="24"/>
  <c r="AS21" i="24"/>
  <c r="AS25" i="24"/>
  <c r="AS26" i="24"/>
  <c r="AS30" i="24"/>
  <c r="AS31" i="24"/>
  <c r="AS32" i="24"/>
  <c r="AS36" i="24"/>
  <c r="AS38" i="24"/>
  <c r="AS41" i="24"/>
  <c r="AS42" i="24"/>
  <c r="AS43" i="24"/>
  <c r="AS45" i="24"/>
  <c r="AS46" i="24"/>
  <c r="AS52" i="24"/>
  <c r="AS54" i="24"/>
  <c r="AS55" i="24"/>
  <c r="AS59" i="24"/>
  <c r="AS61" i="24"/>
  <c r="AS62" i="24"/>
  <c r="AS63" i="24"/>
  <c r="AS67" i="24"/>
  <c r="AS68" i="24"/>
  <c r="AS69" i="24"/>
  <c r="AS70" i="24"/>
  <c r="AS72" i="24"/>
  <c r="AS73" i="24"/>
  <c r="AS74" i="24"/>
  <c r="AS75" i="24"/>
  <c r="AS76" i="24"/>
  <c r="AS77" i="24"/>
  <c r="AS78" i="24"/>
  <c r="AS79" i="24"/>
  <c r="AS80" i="24"/>
  <c r="AS81" i="24"/>
  <c r="AS82" i="24"/>
  <c r="AS83" i="24"/>
  <c r="AS84" i="24"/>
  <c r="AS88" i="24"/>
  <c r="AS90" i="24"/>
  <c r="AS92" i="24"/>
  <c r="AS94" i="24"/>
  <c r="AS95" i="24"/>
  <c r="AS99" i="24"/>
  <c r="AS100" i="24"/>
  <c r="AS101" i="24"/>
  <c r="AS102" i="24"/>
  <c r="AS103" i="24"/>
  <c r="AS104" i="24"/>
  <c r="AS105" i="24"/>
  <c r="AS106" i="24"/>
  <c r="AS107" i="24"/>
  <c r="AS111" i="24"/>
  <c r="AS112" i="24"/>
  <c r="AS113" i="24"/>
  <c r="AQ13" i="24"/>
  <c r="AQ18" i="24"/>
  <c r="AQ20" i="24"/>
  <c r="AQ21" i="24"/>
  <c r="AQ25" i="24"/>
  <c r="AQ26" i="24"/>
  <c r="AQ30" i="24"/>
  <c r="AQ31" i="24"/>
  <c r="AQ32" i="24"/>
  <c r="AQ36" i="24"/>
  <c r="AQ38" i="24"/>
  <c r="AQ41" i="24"/>
  <c r="AQ42" i="24"/>
  <c r="AQ43" i="24"/>
  <c r="AQ45" i="24"/>
  <c r="AQ46" i="24"/>
  <c r="AQ52" i="24"/>
  <c r="AQ54" i="24"/>
  <c r="AQ55" i="24"/>
  <c r="AQ59" i="24"/>
  <c r="AQ61" i="24"/>
  <c r="AQ62" i="24"/>
  <c r="AQ63" i="24"/>
  <c r="AQ67" i="24"/>
  <c r="AQ68" i="24"/>
  <c r="AQ69" i="24"/>
  <c r="AQ70" i="24"/>
  <c r="AQ72" i="24"/>
  <c r="AQ73" i="24"/>
  <c r="AQ74" i="24"/>
  <c r="AQ75" i="24"/>
  <c r="AQ76" i="24"/>
  <c r="AQ77" i="24"/>
  <c r="AQ78" i="24"/>
  <c r="AQ79" i="24"/>
  <c r="AQ80" i="24"/>
  <c r="AQ81" i="24"/>
  <c r="AQ82" i="24"/>
  <c r="AQ83" i="24"/>
  <c r="AQ84" i="24"/>
  <c r="AQ88" i="24"/>
  <c r="AQ90" i="24"/>
  <c r="AQ92" i="24"/>
  <c r="AQ94" i="24"/>
  <c r="AQ95" i="24"/>
  <c r="AQ99" i="24"/>
  <c r="AQ100" i="24"/>
  <c r="AQ101" i="24"/>
  <c r="AQ102" i="24"/>
  <c r="AQ103" i="24"/>
  <c r="AQ104" i="24"/>
  <c r="AQ105" i="24"/>
  <c r="AQ106" i="24"/>
  <c r="AQ107" i="24"/>
  <c r="AQ111" i="24"/>
  <c r="AQ112" i="24"/>
  <c r="AQ113" i="24"/>
  <c r="AO13" i="24"/>
  <c r="AO18" i="24"/>
  <c r="AO20" i="24"/>
  <c r="AO21" i="24"/>
  <c r="AO25" i="24"/>
  <c r="AO26" i="24"/>
  <c r="AO30" i="24"/>
  <c r="AO31" i="24"/>
  <c r="AO32" i="24"/>
  <c r="AO36" i="24"/>
  <c r="AO38" i="24"/>
  <c r="AO41" i="24"/>
  <c r="AO42" i="24"/>
  <c r="AO43" i="24"/>
  <c r="AO45" i="24"/>
  <c r="AO46" i="24"/>
  <c r="AO52" i="24"/>
  <c r="AO54" i="24"/>
  <c r="AO55" i="24"/>
  <c r="AO59" i="24"/>
  <c r="AO61" i="24"/>
  <c r="AO62" i="24"/>
  <c r="AO63" i="24"/>
  <c r="AO67" i="24"/>
  <c r="AO68" i="24"/>
  <c r="AO69" i="24"/>
  <c r="AO70" i="24"/>
  <c r="AO72" i="24"/>
  <c r="AO73" i="24"/>
  <c r="AO74" i="24"/>
  <c r="AO75" i="24"/>
  <c r="AO76" i="24"/>
  <c r="AO77" i="24"/>
  <c r="AO78" i="24"/>
  <c r="AO79" i="24"/>
  <c r="AO80" i="24"/>
  <c r="AO81" i="24"/>
  <c r="AO82" i="24"/>
  <c r="AO83" i="24"/>
  <c r="AO84" i="24"/>
  <c r="AO88" i="24"/>
  <c r="AO90" i="24"/>
  <c r="AO92" i="24"/>
  <c r="AO94" i="24"/>
  <c r="AO95" i="24"/>
  <c r="AO99" i="24"/>
  <c r="AO100" i="24"/>
  <c r="AO101" i="24"/>
  <c r="AO102" i="24"/>
  <c r="AO103" i="24"/>
  <c r="AO104" i="24"/>
  <c r="AO105" i="24"/>
  <c r="AO106" i="24"/>
  <c r="AO107" i="24"/>
  <c r="AO111" i="24"/>
  <c r="AO112" i="24"/>
  <c r="AO113" i="24"/>
  <c r="AM13" i="24"/>
  <c r="AM18" i="24"/>
  <c r="AM20" i="24"/>
  <c r="AM21" i="24"/>
  <c r="AM25" i="24"/>
  <c r="AM26" i="24"/>
  <c r="AM30" i="24"/>
  <c r="AM31" i="24"/>
  <c r="AM32" i="24"/>
  <c r="AM36" i="24"/>
  <c r="AM38" i="24"/>
  <c r="AM41" i="24"/>
  <c r="AM42" i="24"/>
  <c r="AM43" i="24"/>
  <c r="AM45" i="24"/>
  <c r="AM46" i="24"/>
  <c r="AM52" i="24"/>
  <c r="AM54" i="24"/>
  <c r="AM55" i="24"/>
  <c r="AM59" i="24"/>
  <c r="AM61" i="24"/>
  <c r="AM62" i="24"/>
  <c r="AM63" i="24"/>
  <c r="AM67" i="24"/>
  <c r="AM68" i="24"/>
  <c r="AM69" i="24"/>
  <c r="AM70" i="24"/>
  <c r="AM72" i="24"/>
  <c r="AM73" i="24"/>
  <c r="AM74" i="24"/>
  <c r="AM75" i="24"/>
  <c r="AM76" i="24"/>
  <c r="AM77" i="24"/>
  <c r="AM78" i="24"/>
  <c r="AM79" i="24"/>
  <c r="AM80" i="24"/>
  <c r="AM81" i="24"/>
  <c r="AM82" i="24"/>
  <c r="AM83" i="24"/>
  <c r="AM84" i="24"/>
  <c r="AM88" i="24"/>
  <c r="AM90" i="24"/>
  <c r="AM92" i="24"/>
  <c r="AM94" i="24"/>
  <c r="AM95" i="24"/>
  <c r="AM99" i="24"/>
  <c r="AM100" i="24"/>
  <c r="AM101" i="24"/>
  <c r="AM102" i="24"/>
  <c r="AM103" i="24"/>
  <c r="AM104" i="24"/>
  <c r="AM105" i="24"/>
  <c r="AM106" i="24"/>
  <c r="AM107" i="24"/>
  <c r="AM111" i="24"/>
  <c r="AM112" i="24"/>
  <c r="AM113" i="24"/>
  <c r="AK13" i="24"/>
  <c r="AK18" i="24"/>
  <c r="AK20" i="24"/>
  <c r="AK21" i="24"/>
  <c r="AK25" i="24"/>
  <c r="AK26" i="24"/>
  <c r="AK30" i="24"/>
  <c r="AK31" i="24"/>
  <c r="AK32" i="24"/>
  <c r="AK36" i="24"/>
  <c r="AK38" i="24"/>
  <c r="AK41" i="24"/>
  <c r="AK42" i="24"/>
  <c r="AK43" i="24"/>
  <c r="AK45" i="24"/>
  <c r="AK46" i="24"/>
  <c r="AK52" i="24"/>
  <c r="AK54" i="24"/>
  <c r="AK55" i="24"/>
  <c r="AK59" i="24"/>
  <c r="AK61" i="24"/>
  <c r="AK62" i="24"/>
  <c r="AK63" i="24"/>
  <c r="AK67" i="24"/>
  <c r="AK68" i="24"/>
  <c r="AK69" i="24"/>
  <c r="AK70" i="24"/>
  <c r="AK72" i="24"/>
  <c r="AK73" i="24"/>
  <c r="AK74" i="24"/>
  <c r="AK75" i="24"/>
  <c r="AK76" i="24"/>
  <c r="AK77" i="24"/>
  <c r="AK78" i="24"/>
  <c r="AK79" i="24"/>
  <c r="AK80" i="24"/>
  <c r="AK81" i="24"/>
  <c r="AK82" i="24"/>
  <c r="AK83" i="24"/>
  <c r="AK84" i="24"/>
  <c r="AK88" i="24"/>
  <c r="AK90" i="24"/>
  <c r="AK92" i="24"/>
  <c r="AK94" i="24"/>
  <c r="AK95" i="24"/>
  <c r="AK99" i="24"/>
  <c r="AK100" i="24"/>
  <c r="AK101" i="24"/>
  <c r="AK102" i="24"/>
  <c r="AK103" i="24"/>
  <c r="AK104" i="24"/>
  <c r="AK105" i="24"/>
  <c r="AK106" i="24"/>
  <c r="AK107" i="24"/>
  <c r="AK111" i="24"/>
  <c r="AK112" i="24"/>
  <c r="AK113" i="24"/>
  <c r="AI13" i="24"/>
  <c r="AI18" i="24"/>
  <c r="AI20" i="24"/>
  <c r="AI21" i="24"/>
  <c r="AI25" i="24"/>
  <c r="AI26" i="24"/>
  <c r="AI30" i="24"/>
  <c r="AI31" i="24"/>
  <c r="AI32" i="24"/>
  <c r="AI36" i="24"/>
  <c r="AI38" i="24"/>
  <c r="AI41" i="24"/>
  <c r="AI42" i="24"/>
  <c r="AI43" i="24"/>
  <c r="AI45" i="24"/>
  <c r="AI46" i="24"/>
  <c r="AI52" i="24"/>
  <c r="AI54" i="24"/>
  <c r="AI55" i="24"/>
  <c r="AI59" i="24"/>
  <c r="AI61" i="24"/>
  <c r="AI62" i="24"/>
  <c r="AI63" i="24"/>
  <c r="AI67" i="24"/>
  <c r="AI68" i="24"/>
  <c r="AI69" i="24"/>
  <c r="AI70" i="24"/>
  <c r="AI72" i="24"/>
  <c r="AI73" i="24"/>
  <c r="AI74" i="24"/>
  <c r="AI75" i="24"/>
  <c r="AI76" i="24"/>
  <c r="AI77" i="24"/>
  <c r="AI78" i="24"/>
  <c r="AI79" i="24"/>
  <c r="AI80" i="24"/>
  <c r="AI81" i="24"/>
  <c r="AI82" i="24"/>
  <c r="AI83" i="24"/>
  <c r="AI84" i="24"/>
  <c r="AI88" i="24"/>
  <c r="AI90" i="24"/>
  <c r="AI92" i="24"/>
  <c r="AI94" i="24"/>
  <c r="AI95" i="24"/>
  <c r="AI99" i="24"/>
  <c r="AI100" i="24"/>
  <c r="AI101" i="24"/>
  <c r="AI102" i="24"/>
  <c r="AI103" i="24"/>
  <c r="AI104" i="24"/>
  <c r="AI105" i="24"/>
  <c r="AI106" i="24"/>
  <c r="AI107" i="24"/>
  <c r="AI111" i="24"/>
  <c r="AI112" i="24"/>
  <c r="AI113" i="24"/>
  <c r="AG13" i="24"/>
  <c r="AG18" i="24"/>
  <c r="AG20" i="24"/>
  <c r="AG21" i="24"/>
  <c r="AG25" i="24"/>
  <c r="AG26" i="24"/>
  <c r="AG30" i="24"/>
  <c r="AG31" i="24"/>
  <c r="AG32" i="24"/>
  <c r="AG36" i="24"/>
  <c r="AG38" i="24"/>
  <c r="AG41" i="24"/>
  <c r="AG42" i="24"/>
  <c r="AG43" i="24"/>
  <c r="AG45" i="24"/>
  <c r="AG46" i="24"/>
  <c r="AG52" i="24"/>
  <c r="AG54" i="24"/>
  <c r="AG55" i="24"/>
  <c r="AG59" i="24"/>
  <c r="AG61" i="24"/>
  <c r="AG62" i="24"/>
  <c r="AG63" i="24"/>
  <c r="AG67" i="24"/>
  <c r="AG68" i="24"/>
  <c r="AG69" i="24"/>
  <c r="AG70" i="24"/>
  <c r="AG72" i="24"/>
  <c r="AG73" i="24"/>
  <c r="AG74" i="24"/>
  <c r="AG75" i="24"/>
  <c r="AG76" i="24"/>
  <c r="AG77" i="24"/>
  <c r="AG78" i="24"/>
  <c r="AG79" i="24"/>
  <c r="AG80" i="24"/>
  <c r="AG81" i="24"/>
  <c r="AG82" i="24"/>
  <c r="AG83" i="24"/>
  <c r="AG84" i="24"/>
  <c r="AG88" i="24"/>
  <c r="AG90" i="24"/>
  <c r="AG92" i="24"/>
  <c r="AG94" i="24"/>
  <c r="AG95" i="24"/>
  <c r="AG99" i="24"/>
  <c r="AG100" i="24"/>
  <c r="AG101" i="24"/>
  <c r="AG102" i="24"/>
  <c r="AG103" i="24"/>
  <c r="AG104" i="24"/>
  <c r="AG105" i="24"/>
  <c r="AG106" i="24"/>
  <c r="AG107" i="24"/>
  <c r="AG111" i="24"/>
  <c r="AG112" i="24"/>
  <c r="AG113" i="24"/>
  <c r="AE13" i="24"/>
  <c r="AE18" i="24"/>
  <c r="AE20" i="24"/>
  <c r="AE21" i="24"/>
  <c r="AE25" i="24"/>
  <c r="AE26" i="24"/>
  <c r="AE30" i="24"/>
  <c r="AE31" i="24"/>
  <c r="AE32" i="24"/>
  <c r="AE36" i="24"/>
  <c r="AE38" i="24"/>
  <c r="AE41" i="24"/>
  <c r="AE42" i="24"/>
  <c r="AE43" i="24"/>
  <c r="AE45" i="24"/>
  <c r="AE46" i="24"/>
  <c r="AE52" i="24"/>
  <c r="AE54" i="24"/>
  <c r="AE55" i="24"/>
  <c r="AE59" i="24"/>
  <c r="AE61" i="24"/>
  <c r="AE62" i="24"/>
  <c r="AE63" i="24"/>
  <c r="AE67" i="24"/>
  <c r="AE68" i="24"/>
  <c r="AE69" i="24"/>
  <c r="AE70" i="24"/>
  <c r="AE72" i="24"/>
  <c r="AE73" i="24"/>
  <c r="AE74" i="24"/>
  <c r="AE75" i="24"/>
  <c r="AE76" i="24"/>
  <c r="AE77" i="24"/>
  <c r="AE78" i="24"/>
  <c r="AE79" i="24"/>
  <c r="AE80" i="24"/>
  <c r="AE81" i="24"/>
  <c r="AE82" i="24"/>
  <c r="AE83" i="24"/>
  <c r="AE84" i="24"/>
  <c r="AE88" i="24"/>
  <c r="AE90" i="24"/>
  <c r="AE92" i="24"/>
  <c r="AE94" i="24"/>
  <c r="AE95" i="24"/>
  <c r="AE99" i="24"/>
  <c r="AE100" i="24"/>
  <c r="AE101" i="24"/>
  <c r="AE102" i="24"/>
  <c r="AE103" i="24"/>
  <c r="AE104" i="24"/>
  <c r="AE105" i="24"/>
  <c r="AE106" i="24"/>
  <c r="AE107" i="24"/>
  <c r="AE111" i="24"/>
  <c r="AE112" i="24"/>
  <c r="AE113" i="24"/>
  <c r="AC13" i="24"/>
  <c r="AC18" i="24"/>
  <c r="AC20" i="24"/>
  <c r="AC21" i="24"/>
  <c r="AC25" i="24"/>
  <c r="AC26" i="24"/>
  <c r="AC30" i="24"/>
  <c r="AC31" i="24"/>
  <c r="AC32" i="24"/>
  <c r="AC36" i="24"/>
  <c r="AC38" i="24"/>
  <c r="AC41" i="24"/>
  <c r="AC42" i="24"/>
  <c r="AC43" i="24"/>
  <c r="AC45" i="24"/>
  <c r="AC46" i="24"/>
  <c r="AC52" i="24"/>
  <c r="AC54" i="24"/>
  <c r="AC55" i="24"/>
  <c r="AC59" i="24"/>
  <c r="AC61" i="24"/>
  <c r="AC62" i="24"/>
  <c r="AC63" i="24"/>
  <c r="AC67" i="24"/>
  <c r="AC68" i="24"/>
  <c r="AC69" i="24"/>
  <c r="AC70" i="24"/>
  <c r="AC72" i="24"/>
  <c r="AC73" i="24"/>
  <c r="AC74" i="24"/>
  <c r="AC75" i="24"/>
  <c r="AC76" i="24"/>
  <c r="AC77" i="24"/>
  <c r="AC78" i="24"/>
  <c r="AC79" i="24"/>
  <c r="AC80" i="24"/>
  <c r="AC81" i="24"/>
  <c r="AC82" i="24"/>
  <c r="AC83" i="24"/>
  <c r="AC84" i="24"/>
  <c r="AC88" i="24"/>
  <c r="AC90" i="24"/>
  <c r="AC92" i="24"/>
  <c r="AC94" i="24"/>
  <c r="AC95" i="24"/>
  <c r="AC99" i="24"/>
  <c r="AC100" i="24"/>
  <c r="AC101" i="24"/>
  <c r="AC102" i="24"/>
  <c r="AC103" i="24"/>
  <c r="AC104" i="24"/>
  <c r="AC105" i="24"/>
  <c r="AC106" i="24"/>
  <c r="AC107" i="24"/>
  <c r="AC111" i="24"/>
  <c r="AC112" i="24"/>
  <c r="AC113" i="24"/>
  <c r="AA101" i="24"/>
  <c r="AA102" i="24"/>
  <c r="AA103" i="24"/>
  <c r="AA104" i="24"/>
  <c r="AA105" i="24"/>
  <c r="AA106" i="24"/>
  <c r="AA107" i="24"/>
  <c r="AA111" i="24"/>
  <c r="AA112" i="24"/>
  <c r="AA113" i="24"/>
  <c r="AA100" i="24"/>
  <c r="AA94" i="24"/>
  <c r="AA95" i="24"/>
  <c r="AA90" i="24"/>
  <c r="AA92" i="24"/>
  <c r="AA70" i="24"/>
  <c r="AA72" i="24"/>
  <c r="AA73" i="24"/>
  <c r="AA74" i="24"/>
  <c r="AA75" i="24"/>
  <c r="AA76" i="24"/>
  <c r="AA77" i="24"/>
  <c r="AA78" i="24"/>
  <c r="AA79" i="24"/>
  <c r="AA80" i="24"/>
  <c r="AA81" i="24"/>
  <c r="AA82" i="24"/>
  <c r="AA83" i="24"/>
  <c r="AA84" i="24"/>
  <c r="AA69" i="24"/>
  <c r="AA63" i="24"/>
  <c r="AA62" i="24"/>
  <c r="AA59" i="24"/>
  <c r="AA55" i="24"/>
  <c r="AA52" i="24"/>
  <c r="AA20" i="24"/>
  <c r="AA21" i="24"/>
  <c r="AA25" i="24"/>
  <c r="AA26" i="24"/>
  <c r="AA30" i="24"/>
  <c r="AA31" i="24"/>
  <c r="AA32" i="24"/>
  <c r="AA36" i="24"/>
  <c r="AA38" i="24"/>
  <c r="AA41" i="24"/>
  <c r="AA42" i="24"/>
  <c r="AA43" i="24"/>
  <c r="AA13" i="24"/>
  <c r="BJ62" i="24"/>
  <c r="F62" i="24" s="1"/>
  <c r="BJ59" i="24"/>
  <c r="F59" i="24" s="1"/>
  <c r="AA102" i="25"/>
  <c r="BJ53" i="25"/>
  <c r="F53" i="25" s="1"/>
  <c r="Y16" i="33" l="1"/>
  <c r="Y18" i="33" s="1"/>
  <c r="U18" i="33"/>
  <c r="T18" i="33"/>
  <c r="I131" i="32"/>
  <c r="BQ131" i="32"/>
  <c r="BS131" i="32" s="1"/>
  <c r="BW131" i="32" s="1"/>
  <c r="BK62" i="32"/>
  <c r="H68" i="7"/>
  <c r="BN16" i="33"/>
  <c r="BS68" i="7"/>
  <c r="BV68" i="7" s="1"/>
  <c r="BZ68" i="7" s="1"/>
  <c r="BF98" i="24"/>
  <c r="AX98" i="24"/>
  <c r="AP98" i="24"/>
  <c r="AH98" i="24"/>
  <c r="AY78" i="25"/>
  <c r="BC78" i="25"/>
  <c r="BG78" i="25"/>
  <c r="BA78" i="25"/>
  <c r="BE78" i="25"/>
  <c r="AA78" i="25"/>
  <c r="AG78" i="25"/>
  <c r="AO78" i="25"/>
  <c r="AU78" i="25"/>
  <c r="AW78" i="25"/>
  <c r="AE78" i="25"/>
  <c r="AM78" i="25"/>
  <c r="AC78" i="25"/>
  <c r="AK78" i="25"/>
  <c r="AS78" i="25"/>
  <c r="AI78" i="25"/>
  <c r="AQ78" i="25"/>
  <c r="AZ98" i="24"/>
  <c r="AR98" i="24"/>
  <c r="AJ98" i="24"/>
  <c r="AB98" i="24"/>
  <c r="BK52" i="24"/>
  <c r="BB98" i="24"/>
  <c r="AT98" i="24"/>
  <c r="AL98" i="24"/>
  <c r="AD98" i="24"/>
  <c r="BH66" i="24"/>
  <c r="BD98" i="24"/>
  <c r="AV98" i="24"/>
  <c r="AN98" i="24"/>
  <c r="AF98" i="24"/>
  <c r="BH98" i="24"/>
  <c r="V42" i="37"/>
  <c r="W42" i="37"/>
  <c r="X42" i="37"/>
  <c r="Y42" i="37"/>
  <c r="V43" i="37"/>
  <c r="W43" i="37"/>
  <c r="X43" i="37"/>
  <c r="Y43" i="37"/>
  <c r="V14" i="37"/>
  <c r="V15" i="37"/>
  <c r="V16" i="37"/>
  <c r="V17" i="37"/>
  <c r="V18" i="37"/>
  <c r="V19" i="37"/>
  <c r="V20" i="37"/>
  <c r="V21" i="37"/>
  <c r="V22" i="37"/>
  <c r="V23" i="37"/>
  <c r="V24" i="37"/>
  <c r="W24" i="37"/>
  <c r="X24" i="37"/>
  <c r="Y24" i="37"/>
  <c r="V25" i="37"/>
  <c r="V26" i="37"/>
  <c r="W26" i="37"/>
  <c r="X26" i="37"/>
  <c r="Y26" i="37"/>
  <c r="V27" i="37"/>
  <c r="X27" i="37"/>
  <c r="V28" i="37"/>
  <c r="V29" i="37"/>
  <c r="W29" i="37"/>
  <c r="X29" i="37"/>
  <c r="Y29" i="37"/>
  <c r="V30" i="37"/>
  <c r="V31" i="37"/>
  <c r="Y31" i="37"/>
  <c r="V32" i="37"/>
  <c r="V33" i="37"/>
  <c r="W33" i="37"/>
  <c r="X33" i="37"/>
  <c r="Y33" i="37"/>
  <c r="V34" i="37"/>
  <c r="W34" i="37"/>
  <c r="X34" i="37"/>
  <c r="Y34" i="37"/>
  <c r="V35" i="37"/>
  <c r="W35" i="37"/>
  <c r="X35" i="37"/>
  <c r="Y35" i="37"/>
  <c r="V36" i="37"/>
  <c r="W36" i="37"/>
  <c r="X36" i="37"/>
  <c r="Y36" i="37"/>
  <c r="V37" i="37"/>
  <c r="W37" i="37"/>
  <c r="X37" i="37"/>
  <c r="Y37" i="37"/>
  <c r="V12" i="37"/>
  <c r="BJ36" i="37"/>
  <c r="AY42" i="37"/>
  <c r="AY43" i="37"/>
  <c r="AY17" i="37"/>
  <c r="AY18" i="37"/>
  <c r="AY19" i="37"/>
  <c r="AY20" i="37"/>
  <c r="AY21" i="37"/>
  <c r="AY22" i="37"/>
  <c r="AY23" i="37"/>
  <c r="AY24" i="37"/>
  <c r="AY25" i="37"/>
  <c r="AY26" i="37"/>
  <c r="AY27" i="37"/>
  <c r="AY28" i="37"/>
  <c r="AY29" i="37"/>
  <c r="AY30" i="37"/>
  <c r="AY31" i="37"/>
  <c r="AY32" i="37"/>
  <c r="AY33" i="37"/>
  <c r="AY34" i="37"/>
  <c r="AY35" i="37"/>
  <c r="AY36" i="37"/>
  <c r="AY37" i="37"/>
  <c r="AY16" i="37"/>
  <c r="AY14" i="37"/>
  <c r="AY12" i="37"/>
  <c r="AW16" i="37"/>
  <c r="AW17" i="37"/>
  <c r="AW18" i="37"/>
  <c r="AW19" i="37"/>
  <c r="AW20" i="37"/>
  <c r="AW21" i="37"/>
  <c r="AW22" i="37"/>
  <c r="AW23" i="37"/>
  <c r="AW24" i="37"/>
  <c r="AW25" i="37"/>
  <c r="AW26" i="37"/>
  <c r="AW27" i="37"/>
  <c r="AW28" i="37"/>
  <c r="AW29" i="37"/>
  <c r="AW30" i="37"/>
  <c r="AW31" i="37"/>
  <c r="AW32" i="37"/>
  <c r="AW33" i="37"/>
  <c r="AW34" i="37"/>
  <c r="AW35" i="37"/>
  <c r="AW36" i="37"/>
  <c r="AW37" i="37"/>
  <c r="AU42" i="37"/>
  <c r="AU43" i="37"/>
  <c r="AU14" i="37"/>
  <c r="AU15" i="37"/>
  <c r="AU16" i="37"/>
  <c r="AU17" i="37"/>
  <c r="AU18" i="37"/>
  <c r="AU19" i="37"/>
  <c r="AU20" i="37"/>
  <c r="AU21" i="37"/>
  <c r="AU22" i="37"/>
  <c r="AU23" i="37"/>
  <c r="AU24" i="37"/>
  <c r="AU25" i="37"/>
  <c r="AU26" i="37"/>
  <c r="AU27" i="37"/>
  <c r="AU28" i="37"/>
  <c r="AU29" i="37"/>
  <c r="AU30" i="37"/>
  <c r="AU31" i="37"/>
  <c r="AU32" i="37"/>
  <c r="AU33" i="37"/>
  <c r="AU34" i="37"/>
  <c r="AU35" i="37"/>
  <c r="AU36" i="37"/>
  <c r="AU37" i="37"/>
  <c r="AO42" i="37"/>
  <c r="AO43" i="37"/>
  <c r="AO14" i="37"/>
  <c r="AO15" i="37"/>
  <c r="AO16" i="37"/>
  <c r="AO17" i="37"/>
  <c r="AO18" i="37"/>
  <c r="AO19" i="37"/>
  <c r="AO20" i="37"/>
  <c r="AO21" i="37"/>
  <c r="AO22" i="37"/>
  <c r="AO23" i="37"/>
  <c r="AO24" i="37"/>
  <c r="AO25" i="37"/>
  <c r="AO26" i="37"/>
  <c r="AO27" i="37"/>
  <c r="AO28" i="37"/>
  <c r="AO29" i="37"/>
  <c r="AO30" i="37"/>
  <c r="AO31" i="37"/>
  <c r="AO32" i="37"/>
  <c r="AO33" i="37"/>
  <c r="AO34" i="37"/>
  <c r="AO35" i="37"/>
  <c r="AO36" i="37"/>
  <c r="AO37" i="37"/>
  <c r="AO12" i="37"/>
  <c r="AK42" i="37"/>
  <c r="AK43" i="37"/>
  <c r="AK14" i="37"/>
  <c r="AK15" i="37"/>
  <c r="AK16" i="37"/>
  <c r="AK17" i="37"/>
  <c r="AK18" i="37"/>
  <c r="AK19" i="37"/>
  <c r="AK20" i="37"/>
  <c r="AK21" i="37"/>
  <c r="AK22" i="37"/>
  <c r="AK23" i="37"/>
  <c r="AK24" i="37"/>
  <c r="AK25" i="37"/>
  <c r="AK26" i="37"/>
  <c r="AK27" i="37"/>
  <c r="AK28" i="37"/>
  <c r="AK29" i="37"/>
  <c r="AK30" i="37"/>
  <c r="AK31" i="37"/>
  <c r="AK32" i="37"/>
  <c r="AK33" i="37"/>
  <c r="AK34" i="37"/>
  <c r="AK35" i="37"/>
  <c r="AK36" i="37"/>
  <c r="AK37" i="37"/>
  <c r="AK12" i="37"/>
  <c r="AE42" i="38"/>
  <c r="AG42" i="38"/>
  <c r="AI42" i="38"/>
  <c r="AK42" i="38"/>
  <c r="AM42" i="38"/>
  <c r="AO42" i="38"/>
  <c r="AQ42" i="38"/>
  <c r="AS42" i="38"/>
  <c r="AU42" i="38"/>
  <c r="AW42" i="38"/>
  <c r="AY42" i="38"/>
  <c r="BA42" i="38"/>
  <c r="BC42" i="38"/>
  <c r="BE42" i="38"/>
  <c r="BG42" i="38"/>
  <c r="BI42" i="38"/>
  <c r="AC42" i="38"/>
  <c r="Z51" i="38"/>
  <c r="W51" i="38"/>
  <c r="W48" i="38"/>
  <c r="X48" i="38"/>
  <c r="Y48" i="38"/>
  <c r="Z48" i="38"/>
  <c r="Z44" i="38"/>
  <c r="Y44" i="38"/>
  <c r="X44" i="38"/>
  <c r="W44" i="38"/>
  <c r="W40" i="38"/>
  <c r="W41" i="38"/>
  <c r="X41" i="38"/>
  <c r="Y41" i="38"/>
  <c r="Z41" i="38"/>
  <c r="Z39" i="38"/>
  <c r="Y39" i="38"/>
  <c r="X39" i="38"/>
  <c r="W39" i="38"/>
  <c r="W28" i="38"/>
  <c r="X28" i="38"/>
  <c r="Y28" i="38"/>
  <c r="Z28" i="38"/>
  <c r="W30" i="38"/>
  <c r="X30" i="38"/>
  <c r="Y30" i="38"/>
  <c r="Z30" i="38"/>
  <c r="W31" i="38"/>
  <c r="X31" i="38"/>
  <c r="Y31" i="38"/>
  <c r="Z31" i="38"/>
  <c r="W32" i="38"/>
  <c r="X32" i="38"/>
  <c r="Y32" i="38"/>
  <c r="Z32" i="38"/>
  <c r="W33" i="38"/>
  <c r="X33" i="38"/>
  <c r="Y33" i="38"/>
  <c r="Z33" i="38"/>
  <c r="W34" i="38"/>
  <c r="X34" i="38"/>
  <c r="Y34" i="38"/>
  <c r="Z34" i="38"/>
  <c r="W35" i="38"/>
  <c r="X35" i="38"/>
  <c r="W36" i="38"/>
  <c r="X36" i="38"/>
  <c r="Y36" i="38"/>
  <c r="Z36" i="38"/>
  <c r="Z27" i="38"/>
  <c r="Y27" i="38"/>
  <c r="X27" i="38"/>
  <c r="W27" i="38"/>
  <c r="W24" i="38"/>
  <c r="X24" i="38"/>
  <c r="Y24" i="38"/>
  <c r="Z24" i="38"/>
  <c r="W18" i="38"/>
  <c r="X18" i="38"/>
  <c r="Y18" i="38"/>
  <c r="Z18" i="38"/>
  <c r="Z15" i="38"/>
  <c r="Y15" i="38"/>
  <c r="X15" i="38"/>
  <c r="W15" i="38"/>
  <c r="T49" i="38"/>
  <c r="U49" i="38"/>
  <c r="V49" i="38"/>
  <c r="S49" i="38"/>
  <c r="S42" i="38"/>
  <c r="X12" i="34"/>
  <c r="Y12" i="34"/>
  <c r="X13" i="34"/>
  <c r="Y13" i="34"/>
  <c r="Y11" i="34"/>
  <c r="X11" i="34"/>
  <c r="AA28" i="33"/>
  <c r="AC28" i="33"/>
  <c r="AE28" i="33"/>
  <c r="AG28" i="33"/>
  <c r="AI28" i="33"/>
  <c r="AK28" i="33"/>
  <c r="AM28" i="33"/>
  <c r="AO28" i="33"/>
  <c r="AQ28" i="33"/>
  <c r="AS28" i="33"/>
  <c r="AU28" i="33"/>
  <c r="AW28" i="33"/>
  <c r="AY28" i="33"/>
  <c r="BA28" i="33"/>
  <c r="BC28" i="33"/>
  <c r="BE28" i="33"/>
  <c r="BG28" i="33"/>
  <c r="BI28" i="33"/>
  <c r="BP62" i="32"/>
  <c r="BQ62" i="32"/>
  <c r="BR62" i="32"/>
  <c r="AR83" i="32"/>
  <c r="AR85" i="32"/>
  <c r="BF85" i="32"/>
  <c r="BH85" i="32"/>
  <c r="BK85" i="32"/>
  <c r="I45" i="32"/>
  <c r="J45" i="32"/>
  <c r="K45" i="32"/>
  <c r="L45" i="32"/>
  <c r="M45" i="32"/>
  <c r="O45" i="32"/>
  <c r="P45" i="32"/>
  <c r="Q45" i="32"/>
  <c r="R45" i="32"/>
  <c r="AA45" i="32"/>
  <c r="AC45" i="32"/>
  <c r="AE45" i="32"/>
  <c r="AG45" i="32"/>
  <c r="AI45" i="32"/>
  <c r="AK45" i="32"/>
  <c r="AM45" i="32"/>
  <c r="AO45" i="32"/>
  <c r="AQ45" i="32"/>
  <c r="AS45" i="32"/>
  <c r="AU45" i="32"/>
  <c r="AW45" i="32"/>
  <c r="AY45" i="32"/>
  <c r="BA45" i="32"/>
  <c r="BC45" i="32"/>
  <c r="BE45" i="32"/>
  <c r="BG45" i="32"/>
  <c r="BI45" i="32"/>
  <c r="BK19" i="32"/>
  <c r="C15" i="20"/>
  <c r="BO50" i="28"/>
  <c r="BP50" i="28"/>
  <c r="BS50" i="28"/>
  <c r="BT50" i="28"/>
  <c r="BN50" i="28"/>
  <c r="R50" i="28"/>
  <c r="S50" i="28"/>
  <c r="Z50" i="28"/>
  <c r="AB50" i="28"/>
  <c r="AD50" i="28"/>
  <c r="AF50" i="28"/>
  <c r="AH50" i="28"/>
  <c r="AJ50" i="28"/>
  <c r="AL50" i="28"/>
  <c r="AN50" i="28"/>
  <c r="AP50" i="28"/>
  <c r="AR50" i="28"/>
  <c r="AT50" i="28"/>
  <c r="AV50" i="28"/>
  <c r="AX50" i="28"/>
  <c r="AZ50" i="28"/>
  <c r="BB50" i="28"/>
  <c r="BD50" i="28"/>
  <c r="BF50" i="28"/>
  <c r="BH50" i="28"/>
  <c r="BG49" i="28"/>
  <c r="BI49" i="28"/>
  <c r="BE49" i="28"/>
  <c r="BC49" i="28"/>
  <c r="AY49" i="28"/>
  <c r="BA49" i="28"/>
  <c r="AW49" i="28"/>
  <c r="AU49" i="28"/>
  <c r="AS49" i="28"/>
  <c r="AQ49" i="28"/>
  <c r="AO49" i="28"/>
  <c r="AM49" i="28"/>
  <c r="AK49" i="28"/>
  <c r="AI49" i="28"/>
  <c r="AG49" i="28"/>
  <c r="AE49" i="28"/>
  <c r="AC49" i="28"/>
  <c r="AA49" i="28"/>
  <c r="V49" i="28"/>
  <c r="W49" i="28"/>
  <c r="X49" i="28"/>
  <c r="Y49" i="28"/>
  <c r="BJ49" i="28"/>
  <c r="F49" i="28" s="1"/>
  <c r="G49" i="28" s="1"/>
  <c r="Y15" i="28"/>
  <c r="X15" i="28"/>
  <c r="W15" i="28"/>
  <c r="V15" i="28"/>
  <c r="V68" i="28"/>
  <c r="W68" i="28"/>
  <c r="X68" i="28"/>
  <c r="Y68" i="28"/>
  <c r="Y45" i="28"/>
  <c r="X45" i="28"/>
  <c r="W45" i="28"/>
  <c r="V45" i="28"/>
  <c r="V35" i="28"/>
  <c r="W35" i="28"/>
  <c r="X35" i="28"/>
  <c r="Y35" i="28"/>
  <c r="W21" i="28"/>
  <c r="V21" i="28"/>
  <c r="R16" i="28"/>
  <c r="BV59" i="7"/>
  <c r="BV58" i="7"/>
  <c r="BG67" i="7"/>
  <c r="BE67" i="7"/>
  <c r="BC67" i="7"/>
  <c r="BA67" i="7"/>
  <c r="AY67" i="7"/>
  <c r="AW67" i="7"/>
  <c r="AU67" i="7"/>
  <c r="AS67" i="7"/>
  <c r="AQ67" i="7"/>
  <c r="AO67" i="7"/>
  <c r="AM67" i="7"/>
  <c r="AK67" i="7"/>
  <c r="AI67" i="7"/>
  <c r="AG67" i="7"/>
  <c r="AE67" i="7"/>
  <c r="AC67" i="7"/>
  <c r="AA67" i="7"/>
  <c r="BJ47" i="7"/>
  <c r="F47" i="7" s="1"/>
  <c r="BJ46" i="7"/>
  <c r="F46" i="7" s="1"/>
  <c r="G46" i="7" s="1"/>
  <c r="BJ55" i="7"/>
  <c r="F55" i="7" s="1"/>
  <c r="BJ51" i="7"/>
  <c r="F51" i="7" s="1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J37" i="7"/>
  <c r="F37" i="7" s="1"/>
  <c r="BJ38" i="7"/>
  <c r="F38" i="7" s="1"/>
  <c r="BJ39" i="7"/>
  <c r="F39" i="7" s="1"/>
  <c r="BJ40" i="7"/>
  <c r="F40" i="7" s="1"/>
  <c r="BJ41" i="7"/>
  <c r="F41" i="7" s="1"/>
  <c r="BJ42" i="7"/>
  <c r="F42" i="7" s="1"/>
  <c r="BJ43" i="7"/>
  <c r="F43" i="7" s="1"/>
  <c r="F24" i="7"/>
  <c r="F25" i="7"/>
  <c r="F26" i="7"/>
  <c r="F28" i="7"/>
  <c r="BK19" i="7"/>
  <c r="BK20" i="7"/>
  <c r="BK21" i="7"/>
  <c r="F19" i="7"/>
  <c r="F20" i="7"/>
  <c r="F21" i="7"/>
  <c r="E10" i="7"/>
  <c r="E11" i="7"/>
  <c r="BK45" i="32" l="1"/>
  <c r="BN18" i="33"/>
  <c r="BR16" i="33"/>
  <c r="M49" i="28"/>
  <c r="N49" i="28"/>
  <c r="Q49" i="28"/>
  <c r="O49" i="28"/>
  <c r="J49" i="28"/>
  <c r="P49" i="28"/>
  <c r="K49" i="28"/>
  <c r="L49" i="28"/>
  <c r="BJ48" i="7"/>
  <c r="Y15" i="34"/>
  <c r="X15" i="34"/>
  <c r="W42" i="38"/>
  <c r="I49" i="28"/>
  <c r="H49" i="28"/>
  <c r="BQ49" i="28"/>
  <c r="BR49" i="28" s="1"/>
  <c r="BV49" i="28" s="1"/>
  <c r="BK49" i="28"/>
  <c r="F48" i="7"/>
  <c r="BY60" i="7"/>
  <c r="BX60" i="7"/>
  <c r="BW60" i="7"/>
  <c r="BV60" i="7"/>
  <c r="BU60" i="7"/>
  <c r="BT60" i="7"/>
  <c r="BS60" i="7"/>
  <c r="BR60" i="7"/>
  <c r="BI60" i="7"/>
  <c r="BH60" i="7"/>
  <c r="BG60" i="7"/>
  <c r="BF60" i="7"/>
  <c r="BE60" i="7"/>
  <c r="BD60" i="7"/>
  <c r="BC60" i="7"/>
  <c r="BB60" i="7"/>
  <c r="BA60" i="7"/>
  <c r="AZ60" i="7"/>
  <c r="AY60" i="7"/>
  <c r="AX60" i="7"/>
  <c r="AW60" i="7"/>
  <c r="AV60" i="7"/>
  <c r="AU60" i="7"/>
  <c r="AT60" i="7"/>
  <c r="AS60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BK67" i="7"/>
  <c r="BJ67" i="7"/>
  <c r="F67" i="7" s="1"/>
  <c r="BJ63" i="7"/>
  <c r="F63" i="7" s="1"/>
  <c r="BK60" i="7"/>
  <c r="BJ58" i="7"/>
  <c r="F58" i="7" s="1"/>
  <c r="G58" i="7" s="1"/>
  <c r="BJ54" i="7"/>
  <c r="F54" i="7" s="1"/>
  <c r="BJ50" i="7"/>
  <c r="F50" i="7" s="1"/>
  <c r="BK47" i="7"/>
  <c r="BK46" i="7"/>
  <c r="BI48" i="7"/>
  <c r="BV16" i="33" l="1"/>
  <c r="BR18" i="33"/>
  <c r="BZ60" i="7"/>
  <c r="F60" i="7"/>
  <c r="H58" i="7"/>
  <c r="I58" i="7"/>
  <c r="G60" i="7"/>
  <c r="BK48" i="7"/>
  <c r="H59" i="7"/>
  <c r="BJ60" i="7"/>
  <c r="AX41" i="38"/>
  <c r="BK41" i="38"/>
  <c r="G41" i="38" s="1"/>
  <c r="H41" i="38" s="1"/>
  <c r="BO41" i="38" s="1"/>
  <c r="BS41" i="38" s="1"/>
  <c r="BW41" i="38" s="1"/>
  <c r="BJ41" i="38"/>
  <c r="BH41" i="38"/>
  <c r="BF41" i="38"/>
  <c r="BD41" i="38"/>
  <c r="BB41" i="38"/>
  <c r="AZ41" i="38"/>
  <c r="AV41" i="38"/>
  <c r="AT41" i="38"/>
  <c r="AR41" i="38"/>
  <c r="AP41" i="38"/>
  <c r="AN41" i="38"/>
  <c r="AL41" i="38"/>
  <c r="AJ41" i="38"/>
  <c r="AH41" i="38"/>
  <c r="AF41" i="38"/>
  <c r="AD41" i="38"/>
  <c r="AA42" i="38"/>
  <c r="AB41" i="38"/>
  <c r="AZ54" i="32"/>
  <c r="BJ84" i="32"/>
  <c r="BJ85" i="32"/>
  <c r="BK84" i="32"/>
  <c r="G84" i="32" s="1"/>
  <c r="G85" i="32"/>
  <c r="BK98" i="32"/>
  <c r="G98" i="32" s="1"/>
  <c r="BJ98" i="32"/>
  <c r="BH98" i="32"/>
  <c r="BF98" i="32"/>
  <c r="BD98" i="32"/>
  <c r="BB98" i="32"/>
  <c r="AZ98" i="32"/>
  <c r="AX98" i="32"/>
  <c r="AV98" i="32"/>
  <c r="AT98" i="32"/>
  <c r="AR98" i="32"/>
  <c r="AP98" i="32"/>
  <c r="AN98" i="32"/>
  <c r="AL98" i="32"/>
  <c r="AJ98" i="32"/>
  <c r="AH98" i="32"/>
  <c r="AF98" i="32"/>
  <c r="AD98" i="32"/>
  <c r="AB98" i="32"/>
  <c r="BK97" i="32"/>
  <c r="G97" i="32" s="1"/>
  <c r="BJ97" i="32"/>
  <c r="BH97" i="32"/>
  <c r="BF97" i="32"/>
  <c r="BD97" i="32"/>
  <c r="BB97" i="32"/>
  <c r="AZ97" i="32"/>
  <c r="AX97" i="32"/>
  <c r="AV97" i="32"/>
  <c r="AT97" i="32"/>
  <c r="AR97" i="32"/>
  <c r="AP97" i="32"/>
  <c r="AN97" i="32"/>
  <c r="AL97" i="32"/>
  <c r="AJ97" i="32"/>
  <c r="AH97" i="32"/>
  <c r="AF97" i="32"/>
  <c r="AD97" i="32"/>
  <c r="AB97" i="32"/>
  <c r="BK80" i="32"/>
  <c r="G80" i="32" s="1"/>
  <c r="BJ80" i="32"/>
  <c r="BH80" i="32"/>
  <c r="BF80" i="32"/>
  <c r="BD80" i="32"/>
  <c r="BB80" i="32"/>
  <c r="AZ80" i="32"/>
  <c r="AX80" i="32"/>
  <c r="AV80" i="32"/>
  <c r="AT80" i="32"/>
  <c r="AR80" i="32"/>
  <c r="AP80" i="32"/>
  <c r="AN80" i="32"/>
  <c r="AL80" i="32"/>
  <c r="AJ80" i="32"/>
  <c r="AH80" i="32"/>
  <c r="AF80" i="32"/>
  <c r="AD80" i="32"/>
  <c r="AB80" i="32"/>
  <c r="BH115" i="32"/>
  <c r="BK115" i="32"/>
  <c r="G115" i="32" s="1"/>
  <c r="BF115" i="32"/>
  <c r="BD115" i="32"/>
  <c r="BB115" i="32"/>
  <c r="AZ115" i="32"/>
  <c r="AX115" i="32"/>
  <c r="AV115" i="32"/>
  <c r="AT115" i="32"/>
  <c r="AR115" i="32"/>
  <c r="AP115" i="32"/>
  <c r="AN115" i="32"/>
  <c r="AL115" i="32"/>
  <c r="AJ115" i="32"/>
  <c r="AF115" i="32"/>
  <c r="AH115" i="32"/>
  <c r="AD115" i="32"/>
  <c r="AB115" i="32"/>
  <c r="BJ115" i="32"/>
  <c r="BH120" i="32"/>
  <c r="BK120" i="32"/>
  <c r="G120" i="32" s="1"/>
  <c r="BF120" i="32"/>
  <c r="BD120" i="32"/>
  <c r="BB120" i="32"/>
  <c r="AZ120" i="32"/>
  <c r="AX120" i="32"/>
  <c r="AV120" i="32"/>
  <c r="AT120" i="32"/>
  <c r="AR120" i="32"/>
  <c r="AP120" i="32"/>
  <c r="AN120" i="32"/>
  <c r="AL120" i="32"/>
  <c r="AJ120" i="32"/>
  <c r="AH120" i="32"/>
  <c r="AF120" i="32"/>
  <c r="AD120" i="32"/>
  <c r="AB120" i="32"/>
  <c r="BJ120" i="32"/>
  <c r="BD85" i="32"/>
  <c r="BB85" i="32"/>
  <c r="AZ85" i="32"/>
  <c r="AX85" i="32"/>
  <c r="AV85" i="32"/>
  <c r="AT85" i="32"/>
  <c r="AP85" i="32"/>
  <c r="AN85" i="32"/>
  <c r="AL85" i="32"/>
  <c r="AJ85" i="32"/>
  <c r="AH85" i="32"/>
  <c r="AF85" i="32"/>
  <c r="AD85" i="32"/>
  <c r="AB85" i="32"/>
  <c r="BD84" i="32"/>
  <c r="BB84" i="32"/>
  <c r="AZ84" i="32"/>
  <c r="AX84" i="32"/>
  <c r="AV84" i="32"/>
  <c r="AT84" i="32"/>
  <c r="AP84" i="32"/>
  <c r="AN84" i="32"/>
  <c r="AL84" i="32"/>
  <c r="AJ84" i="32"/>
  <c r="AH84" i="32"/>
  <c r="AF84" i="32"/>
  <c r="AD84" i="32"/>
  <c r="AB84" i="32"/>
  <c r="BH83" i="32"/>
  <c r="BK83" i="32"/>
  <c r="G83" i="32" s="1"/>
  <c r="BF83" i="32"/>
  <c r="BD83" i="32"/>
  <c r="BB83" i="32"/>
  <c r="AZ83" i="32"/>
  <c r="AX83" i="32"/>
  <c r="AV83" i="32"/>
  <c r="AT83" i="32"/>
  <c r="AP83" i="32"/>
  <c r="AN83" i="32"/>
  <c r="AL83" i="32"/>
  <c r="AJ83" i="32"/>
  <c r="AH83" i="32"/>
  <c r="AF83" i="32"/>
  <c r="AD83" i="32"/>
  <c r="AB83" i="32"/>
  <c r="BJ83" i="32"/>
  <c r="F36" i="37"/>
  <c r="G36" i="37" s="1"/>
  <c r="AB51" i="37"/>
  <c r="AD51" i="37"/>
  <c r="AF51" i="37"/>
  <c r="AH51" i="37"/>
  <c r="AJ51" i="37"/>
  <c r="AL51" i="37"/>
  <c r="AN51" i="37"/>
  <c r="AP51" i="37"/>
  <c r="AR51" i="37"/>
  <c r="AT51" i="37"/>
  <c r="AV51" i="37"/>
  <c r="AX51" i="37"/>
  <c r="AZ51" i="37"/>
  <c r="BB51" i="37"/>
  <c r="BD51" i="37"/>
  <c r="BF51" i="37"/>
  <c r="BH51" i="37"/>
  <c r="Z51" i="37"/>
  <c r="BI14" i="37"/>
  <c r="BI15" i="37"/>
  <c r="BI16" i="37"/>
  <c r="BI17" i="37"/>
  <c r="BI18" i="37"/>
  <c r="BI19" i="37"/>
  <c r="BI20" i="37"/>
  <c r="BI21" i="37"/>
  <c r="BI22" i="37"/>
  <c r="BI23" i="37"/>
  <c r="BI24" i="37"/>
  <c r="BI25" i="37"/>
  <c r="BI26" i="37"/>
  <c r="BI27" i="37"/>
  <c r="BI28" i="37"/>
  <c r="BI29" i="37"/>
  <c r="BI30" i="37"/>
  <c r="BI31" i="37"/>
  <c r="BI32" i="37"/>
  <c r="BI33" i="37"/>
  <c r="BI34" i="37"/>
  <c r="BI35" i="37"/>
  <c r="BI36" i="37"/>
  <c r="BI37" i="37"/>
  <c r="BI39" i="37"/>
  <c r="BI42" i="37"/>
  <c r="BI43" i="37"/>
  <c r="BI48" i="37"/>
  <c r="BI12" i="37"/>
  <c r="BG14" i="37"/>
  <c r="BG15" i="37"/>
  <c r="BG16" i="37"/>
  <c r="BG17" i="37"/>
  <c r="BG18" i="37"/>
  <c r="BG19" i="37"/>
  <c r="BG20" i="37"/>
  <c r="BG21" i="37"/>
  <c r="BG22" i="37"/>
  <c r="BG23" i="37"/>
  <c r="BG24" i="37"/>
  <c r="BG25" i="37"/>
  <c r="BG26" i="37"/>
  <c r="BG27" i="37"/>
  <c r="BG28" i="37"/>
  <c r="BG29" i="37"/>
  <c r="BG30" i="37"/>
  <c r="BG31" i="37"/>
  <c r="BG32" i="37"/>
  <c r="BG33" i="37"/>
  <c r="BG34" i="37"/>
  <c r="BG35" i="37"/>
  <c r="BG36" i="37"/>
  <c r="BG37" i="37"/>
  <c r="BG39" i="37"/>
  <c r="BG43" i="37"/>
  <c r="BG48" i="37"/>
  <c r="BG12" i="37"/>
  <c r="BE14" i="37"/>
  <c r="BE15" i="37"/>
  <c r="BE16" i="37"/>
  <c r="BE17" i="37"/>
  <c r="BE18" i="37"/>
  <c r="BE19" i="37"/>
  <c r="BE20" i="37"/>
  <c r="BE21" i="37"/>
  <c r="BE22" i="37"/>
  <c r="BE23" i="37"/>
  <c r="BE24" i="37"/>
  <c r="BE25" i="37"/>
  <c r="BE26" i="37"/>
  <c r="BE27" i="37"/>
  <c r="BE28" i="37"/>
  <c r="BE29" i="37"/>
  <c r="BE30" i="37"/>
  <c r="BE31" i="37"/>
  <c r="BE32" i="37"/>
  <c r="BE33" i="37"/>
  <c r="BE34" i="37"/>
  <c r="BE35" i="37"/>
  <c r="BE36" i="37"/>
  <c r="BE37" i="37"/>
  <c r="BE39" i="37"/>
  <c r="BE43" i="37"/>
  <c r="BE12" i="37"/>
  <c r="BC14" i="37"/>
  <c r="BC15" i="37"/>
  <c r="BC16" i="37"/>
  <c r="BC17" i="37"/>
  <c r="BC18" i="37"/>
  <c r="BC19" i="37"/>
  <c r="BC20" i="37"/>
  <c r="BC21" i="37"/>
  <c r="BC22" i="37"/>
  <c r="BC23" i="37"/>
  <c r="BC24" i="37"/>
  <c r="BC25" i="37"/>
  <c r="BC26" i="37"/>
  <c r="BC27" i="37"/>
  <c r="BC28" i="37"/>
  <c r="BC29" i="37"/>
  <c r="BC30" i="37"/>
  <c r="BC31" i="37"/>
  <c r="BC32" i="37"/>
  <c r="BC33" i="37"/>
  <c r="BC34" i="37"/>
  <c r="BC35" i="37"/>
  <c r="BC36" i="37"/>
  <c r="BC37" i="37"/>
  <c r="BC39" i="37"/>
  <c r="BC48" i="37"/>
  <c r="BC12" i="37"/>
  <c r="BA14" i="37"/>
  <c r="BA15" i="37"/>
  <c r="BA16" i="37"/>
  <c r="BA17" i="37"/>
  <c r="BA18" i="37"/>
  <c r="BA19" i="37"/>
  <c r="BA20" i="37"/>
  <c r="BA21" i="37"/>
  <c r="BA22" i="37"/>
  <c r="BA23" i="37"/>
  <c r="BA24" i="37"/>
  <c r="BA25" i="37"/>
  <c r="BA26" i="37"/>
  <c r="BA27" i="37"/>
  <c r="BA28" i="37"/>
  <c r="BA29" i="37"/>
  <c r="BA30" i="37"/>
  <c r="BA31" i="37"/>
  <c r="BA32" i="37"/>
  <c r="BA33" i="37"/>
  <c r="BA34" i="37"/>
  <c r="BA35" i="37"/>
  <c r="BA36" i="37"/>
  <c r="BA37" i="37"/>
  <c r="BA39" i="37"/>
  <c r="BA48" i="37"/>
  <c r="BA12" i="37"/>
  <c r="AS14" i="37"/>
  <c r="AS15" i="37"/>
  <c r="AS16" i="37"/>
  <c r="AS17" i="37"/>
  <c r="AS18" i="37"/>
  <c r="AS19" i="37"/>
  <c r="AS20" i="37"/>
  <c r="AS21" i="37"/>
  <c r="AS22" i="37"/>
  <c r="AS23" i="37"/>
  <c r="AS24" i="37"/>
  <c r="AS25" i="37"/>
  <c r="AS26" i="37"/>
  <c r="AS27" i="37"/>
  <c r="AS28" i="37"/>
  <c r="AS29" i="37"/>
  <c r="AS30" i="37"/>
  <c r="AS31" i="37"/>
  <c r="AS32" i="37"/>
  <c r="AS33" i="37"/>
  <c r="AS34" i="37"/>
  <c r="AS35" i="37"/>
  <c r="AS36" i="37"/>
  <c r="AS37" i="37"/>
  <c r="AS39" i="37"/>
  <c r="AS42" i="37"/>
  <c r="AS43" i="37"/>
  <c r="AS48" i="37"/>
  <c r="AS12" i="37"/>
  <c r="AQ14" i="37"/>
  <c r="AQ15" i="37"/>
  <c r="AQ16" i="37"/>
  <c r="AQ17" i="37"/>
  <c r="AQ18" i="37"/>
  <c r="AQ19" i="37"/>
  <c r="AQ20" i="37"/>
  <c r="AQ21" i="37"/>
  <c r="AQ22" i="37"/>
  <c r="AQ23" i="37"/>
  <c r="AQ24" i="37"/>
  <c r="AQ25" i="37"/>
  <c r="AQ26" i="37"/>
  <c r="AQ27" i="37"/>
  <c r="AQ28" i="37"/>
  <c r="AQ29" i="37"/>
  <c r="AQ30" i="37"/>
  <c r="AQ31" i="37"/>
  <c r="AQ32" i="37"/>
  <c r="AQ33" i="37"/>
  <c r="AQ34" i="37"/>
  <c r="AQ35" i="37"/>
  <c r="AQ36" i="37"/>
  <c r="AQ37" i="37"/>
  <c r="AQ39" i="37"/>
  <c r="AQ42" i="37"/>
  <c r="AQ43" i="37"/>
  <c r="AQ48" i="37"/>
  <c r="AQ12" i="37"/>
  <c r="AM14" i="37"/>
  <c r="AM15" i="37"/>
  <c r="AM16" i="37"/>
  <c r="AM17" i="37"/>
  <c r="AM18" i="37"/>
  <c r="AM19" i="37"/>
  <c r="AM20" i="37"/>
  <c r="AM21" i="37"/>
  <c r="AM22" i="37"/>
  <c r="AM23" i="37"/>
  <c r="AM24" i="37"/>
  <c r="AM25" i="37"/>
  <c r="AM26" i="37"/>
  <c r="AM27" i="37"/>
  <c r="AM28" i="37"/>
  <c r="AM29" i="37"/>
  <c r="AM30" i="37"/>
  <c r="AM31" i="37"/>
  <c r="AM32" i="37"/>
  <c r="AM33" i="37"/>
  <c r="AM34" i="37"/>
  <c r="AM35" i="37"/>
  <c r="AM37" i="37"/>
  <c r="AM39" i="37"/>
  <c r="AM42" i="37"/>
  <c r="AM43" i="37"/>
  <c r="AM48" i="37"/>
  <c r="AM12" i="37"/>
  <c r="AI14" i="37"/>
  <c r="AI15" i="37"/>
  <c r="AI16" i="37"/>
  <c r="AI17" i="37"/>
  <c r="AI18" i="37"/>
  <c r="AI19" i="37"/>
  <c r="AI20" i="37"/>
  <c r="AI21" i="37"/>
  <c r="AI22" i="37"/>
  <c r="AI23" i="37"/>
  <c r="AI24" i="37"/>
  <c r="AI25" i="37"/>
  <c r="AI26" i="37"/>
  <c r="AI27" i="37"/>
  <c r="AI28" i="37"/>
  <c r="AI29" i="37"/>
  <c r="AI30" i="37"/>
  <c r="AI31" i="37"/>
  <c r="AI32" i="37"/>
  <c r="AI33" i="37"/>
  <c r="AI34" i="37"/>
  <c r="AI35" i="37"/>
  <c r="AI36" i="37"/>
  <c r="AI37" i="37"/>
  <c r="AI39" i="37"/>
  <c r="AI42" i="37"/>
  <c r="AI43" i="37"/>
  <c r="AI48" i="37"/>
  <c r="AI12" i="37"/>
  <c r="AG14" i="37"/>
  <c r="AG15" i="37"/>
  <c r="AG16" i="37"/>
  <c r="AG17" i="37"/>
  <c r="AG18" i="37"/>
  <c r="AG19" i="37"/>
  <c r="AG20" i="37"/>
  <c r="AG21" i="37"/>
  <c r="AG22" i="37"/>
  <c r="AG23" i="37"/>
  <c r="AG24" i="37"/>
  <c r="AG25" i="37"/>
  <c r="AG26" i="37"/>
  <c r="AG27" i="37"/>
  <c r="AG28" i="37"/>
  <c r="AG29" i="37"/>
  <c r="AG30" i="37"/>
  <c r="AG31" i="37"/>
  <c r="AG32" i="37"/>
  <c r="AG33" i="37"/>
  <c r="AG34" i="37"/>
  <c r="AG35" i="37"/>
  <c r="AG36" i="37"/>
  <c r="AG37" i="37"/>
  <c r="AG39" i="37"/>
  <c r="AG42" i="37"/>
  <c r="AG43" i="37"/>
  <c r="AG48" i="37"/>
  <c r="AG12" i="37"/>
  <c r="AE14" i="37"/>
  <c r="AE15" i="37"/>
  <c r="AE16" i="37"/>
  <c r="AE17" i="37"/>
  <c r="AE18" i="37"/>
  <c r="AE19" i="37"/>
  <c r="AE20" i="37"/>
  <c r="AE21" i="37"/>
  <c r="AE22" i="37"/>
  <c r="AE23" i="37"/>
  <c r="AE24" i="37"/>
  <c r="AE25" i="37"/>
  <c r="AE26" i="37"/>
  <c r="AE27" i="37"/>
  <c r="AE28" i="37"/>
  <c r="AE29" i="37"/>
  <c r="AE30" i="37"/>
  <c r="AE31" i="37"/>
  <c r="AE32" i="37"/>
  <c r="AE33" i="37"/>
  <c r="AE34" i="37"/>
  <c r="AE35" i="37"/>
  <c r="AE36" i="37"/>
  <c r="AE37" i="37"/>
  <c r="AE39" i="37"/>
  <c r="AE42" i="37"/>
  <c r="AE43" i="37"/>
  <c r="AE48" i="37"/>
  <c r="AE12" i="37"/>
  <c r="AC14" i="37"/>
  <c r="AC15" i="37"/>
  <c r="AC16" i="37"/>
  <c r="AC17" i="37"/>
  <c r="AC18" i="37"/>
  <c r="AC19" i="37"/>
  <c r="AC20" i="37"/>
  <c r="AC21" i="37"/>
  <c r="AC22" i="37"/>
  <c r="AC23" i="37"/>
  <c r="AC24" i="37"/>
  <c r="AC25" i="37"/>
  <c r="AC26" i="37"/>
  <c r="AC27" i="37"/>
  <c r="AC28" i="37"/>
  <c r="AC29" i="37"/>
  <c r="AC30" i="37"/>
  <c r="AC31" i="37"/>
  <c r="AC32" i="37"/>
  <c r="AC33" i="37"/>
  <c r="AC34" i="37"/>
  <c r="AC35" i="37"/>
  <c r="AC36" i="37"/>
  <c r="AC37" i="37"/>
  <c r="AC39" i="37"/>
  <c r="AC42" i="37"/>
  <c r="AC43" i="37"/>
  <c r="AC48" i="37"/>
  <c r="AC12" i="37"/>
  <c r="AA14" i="37"/>
  <c r="AA15" i="37"/>
  <c r="AA16" i="37"/>
  <c r="AA17" i="37"/>
  <c r="AA18" i="37"/>
  <c r="AA19" i="37"/>
  <c r="AA20" i="37"/>
  <c r="AA21" i="37"/>
  <c r="AA22" i="37"/>
  <c r="AA23" i="37"/>
  <c r="AA24" i="37"/>
  <c r="AA25" i="37"/>
  <c r="AA26" i="37"/>
  <c r="AA27" i="37"/>
  <c r="AA28" i="37"/>
  <c r="AA29" i="37"/>
  <c r="AA30" i="37"/>
  <c r="AA31" i="37"/>
  <c r="AA32" i="37"/>
  <c r="AA33" i="37"/>
  <c r="AA34" i="37"/>
  <c r="AA35" i="37"/>
  <c r="AA36" i="37"/>
  <c r="AA37" i="37"/>
  <c r="AA39" i="37"/>
  <c r="AA42" i="37"/>
  <c r="AA43" i="37"/>
  <c r="AA48" i="37"/>
  <c r="AA12" i="37"/>
  <c r="AC52" i="38"/>
  <c r="AE52" i="38"/>
  <c r="AG52" i="38"/>
  <c r="AI52" i="38"/>
  <c r="AK52" i="38"/>
  <c r="AM52" i="38"/>
  <c r="AO52" i="38"/>
  <c r="AQ52" i="38"/>
  <c r="AS52" i="38"/>
  <c r="AU52" i="38"/>
  <c r="AW52" i="38"/>
  <c r="AY52" i="38"/>
  <c r="BA52" i="38"/>
  <c r="BC52" i="38"/>
  <c r="BE52" i="38"/>
  <c r="BG52" i="38"/>
  <c r="BI52" i="38"/>
  <c r="AC49" i="38"/>
  <c r="AE49" i="38"/>
  <c r="AG49" i="38"/>
  <c r="AI49" i="38"/>
  <c r="AK49" i="38"/>
  <c r="AM49" i="38"/>
  <c r="AO49" i="38"/>
  <c r="AQ49" i="38"/>
  <c r="AS49" i="38"/>
  <c r="AU49" i="38"/>
  <c r="AW49" i="38"/>
  <c r="AY49" i="38"/>
  <c r="BA49" i="38"/>
  <c r="BC49" i="38"/>
  <c r="BE49" i="38"/>
  <c r="BG49" i="38"/>
  <c r="BI49" i="38"/>
  <c r="AC37" i="38"/>
  <c r="AE37" i="38"/>
  <c r="AG37" i="38"/>
  <c r="AI37" i="38"/>
  <c r="AK37" i="38"/>
  <c r="AM37" i="38"/>
  <c r="AO37" i="38"/>
  <c r="AQ37" i="38"/>
  <c r="AS37" i="38"/>
  <c r="AU37" i="38"/>
  <c r="AW37" i="38"/>
  <c r="AY37" i="38"/>
  <c r="BA37" i="38"/>
  <c r="BC37" i="38"/>
  <c r="BE37" i="38"/>
  <c r="BG37" i="38"/>
  <c r="BI37" i="38"/>
  <c r="AC25" i="38"/>
  <c r="AE25" i="38"/>
  <c r="AG25" i="38"/>
  <c r="AI25" i="38"/>
  <c r="AK25" i="38"/>
  <c r="AM25" i="38"/>
  <c r="AO25" i="38"/>
  <c r="AQ25" i="38"/>
  <c r="AS25" i="38"/>
  <c r="AU25" i="38"/>
  <c r="AW25" i="38"/>
  <c r="AY25" i="38"/>
  <c r="BA25" i="38"/>
  <c r="BC25" i="38"/>
  <c r="BE25" i="38"/>
  <c r="BG25" i="38"/>
  <c r="BI25" i="38"/>
  <c r="AC20" i="38"/>
  <c r="AE20" i="38"/>
  <c r="AG20" i="38"/>
  <c r="AI20" i="38"/>
  <c r="AK20" i="38"/>
  <c r="AM20" i="38"/>
  <c r="AO20" i="38"/>
  <c r="AQ20" i="38"/>
  <c r="AS20" i="38"/>
  <c r="AU20" i="38"/>
  <c r="AW20" i="38"/>
  <c r="AY20" i="38"/>
  <c r="BA20" i="38"/>
  <c r="BC20" i="38"/>
  <c r="BE20" i="38"/>
  <c r="BG20" i="38"/>
  <c r="BI20" i="38"/>
  <c r="AC13" i="38"/>
  <c r="AE13" i="38"/>
  <c r="AG13" i="38"/>
  <c r="AI13" i="38"/>
  <c r="AK13" i="38"/>
  <c r="AM13" i="38"/>
  <c r="AO13" i="38"/>
  <c r="AQ13" i="38"/>
  <c r="AS13" i="38"/>
  <c r="AU13" i="38"/>
  <c r="AW13" i="38"/>
  <c r="AY13" i="38"/>
  <c r="BA13" i="38"/>
  <c r="BC13" i="38"/>
  <c r="BE13" i="38"/>
  <c r="BG13" i="38"/>
  <c r="BI13" i="38"/>
  <c r="BJ14" i="38"/>
  <c r="BJ15" i="38"/>
  <c r="BJ17" i="38"/>
  <c r="BJ18" i="38"/>
  <c r="BJ21" i="38"/>
  <c r="BJ24" i="38"/>
  <c r="BJ26" i="38"/>
  <c r="BJ27" i="38"/>
  <c r="BJ28" i="38"/>
  <c r="BJ30" i="38"/>
  <c r="BJ31" i="38"/>
  <c r="BJ32" i="38"/>
  <c r="BJ33" i="38"/>
  <c r="BJ34" i="38"/>
  <c r="BJ35" i="38"/>
  <c r="BJ36" i="38"/>
  <c r="BJ38" i="38"/>
  <c r="BJ39" i="38"/>
  <c r="BJ40" i="38"/>
  <c r="BJ43" i="38"/>
  <c r="BJ44" i="38"/>
  <c r="BJ48" i="38"/>
  <c r="BJ50" i="38"/>
  <c r="BJ51" i="38"/>
  <c r="BJ52" i="38" s="1"/>
  <c r="BH14" i="38"/>
  <c r="BH15" i="38"/>
  <c r="BH17" i="38"/>
  <c r="BH18" i="38"/>
  <c r="BH21" i="38"/>
  <c r="BH24" i="38"/>
  <c r="BH26" i="38"/>
  <c r="BH27" i="38"/>
  <c r="BH28" i="38"/>
  <c r="BH30" i="38"/>
  <c r="BH31" i="38"/>
  <c r="BH32" i="38"/>
  <c r="BH33" i="38"/>
  <c r="BH34" i="38"/>
  <c r="BH35" i="38"/>
  <c r="BH36" i="38"/>
  <c r="BH38" i="38"/>
  <c r="BH39" i="38"/>
  <c r="BH40" i="38"/>
  <c r="BH43" i="38"/>
  <c r="BH44" i="38"/>
  <c r="BH48" i="38"/>
  <c r="BH50" i="38"/>
  <c r="BH51" i="38"/>
  <c r="BH52" i="38" s="1"/>
  <c r="BF14" i="38"/>
  <c r="BF15" i="38"/>
  <c r="BF17" i="38"/>
  <c r="BF18" i="38"/>
  <c r="BF21" i="38"/>
  <c r="BF24" i="38"/>
  <c r="BF26" i="38"/>
  <c r="BF27" i="38"/>
  <c r="BF28" i="38"/>
  <c r="BF30" i="38"/>
  <c r="BF31" i="38"/>
  <c r="BF32" i="38"/>
  <c r="BF33" i="38"/>
  <c r="BF34" i="38"/>
  <c r="BF35" i="38"/>
  <c r="BF36" i="38"/>
  <c r="BF38" i="38"/>
  <c r="BF39" i="38"/>
  <c r="BF40" i="38"/>
  <c r="BF43" i="38"/>
  <c r="BF44" i="38"/>
  <c r="BF48" i="38"/>
  <c r="BF50" i="38"/>
  <c r="BF51" i="38"/>
  <c r="BF52" i="38" s="1"/>
  <c r="BD14" i="38"/>
  <c r="BD15" i="38"/>
  <c r="BD17" i="38"/>
  <c r="BD18" i="38"/>
  <c r="BD21" i="38"/>
  <c r="BD24" i="38"/>
  <c r="BD26" i="38"/>
  <c r="BD27" i="38"/>
  <c r="BD28" i="38"/>
  <c r="BD30" i="38"/>
  <c r="BD31" i="38"/>
  <c r="BD32" i="38"/>
  <c r="BD33" i="38"/>
  <c r="BD34" i="38"/>
  <c r="BD35" i="38"/>
  <c r="BD36" i="38"/>
  <c r="BD38" i="38"/>
  <c r="BD39" i="38"/>
  <c r="BD40" i="38"/>
  <c r="BD43" i="38"/>
  <c r="BD44" i="38"/>
  <c r="BD48" i="38"/>
  <c r="BD50" i="38"/>
  <c r="BD51" i="38"/>
  <c r="BD52" i="38" s="1"/>
  <c r="BB14" i="38"/>
  <c r="BB15" i="38"/>
  <c r="BB17" i="38"/>
  <c r="BB18" i="38"/>
  <c r="BB21" i="38"/>
  <c r="BB24" i="38"/>
  <c r="BB26" i="38"/>
  <c r="BB27" i="38"/>
  <c r="BB28" i="38"/>
  <c r="BB30" i="38"/>
  <c r="BB31" i="38"/>
  <c r="BB32" i="38"/>
  <c r="BB33" i="38"/>
  <c r="BB34" i="38"/>
  <c r="BB35" i="38"/>
  <c r="BB36" i="38"/>
  <c r="BB38" i="38"/>
  <c r="BB39" i="38"/>
  <c r="BB40" i="38"/>
  <c r="BB43" i="38"/>
  <c r="BB44" i="38"/>
  <c r="BB48" i="38"/>
  <c r="BB50" i="38"/>
  <c r="BB51" i="38"/>
  <c r="BB52" i="38" s="1"/>
  <c r="AZ14" i="38"/>
  <c r="AZ15" i="38"/>
  <c r="AZ17" i="38"/>
  <c r="AZ18" i="38"/>
  <c r="AZ21" i="38"/>
  <c r="AZ24" i="38"/>
  <c r="AZ26" i="38"/>
  <c r="AZ27" i="38"/>
  <c r="AZ28" i="38"/>
  <c r="AZ30" i="38"/>
  <c r="AZ31" i="38"/>
  <c r="AZ32" i="38"/>
  <c r="AZ33" i="38"/>
  <c r="AZ34" i="38"/>
  <c r="AZ35" i="38"/>
  <c r="AZ36" i="38"/>
  <c r="AZ38" i="38"/>
  <c r="AZ39" i="38"/>
  <c r="AZ40" i="38"/>
  <c r="AZ43" i="38"/>
  <c r="AZ44" i="38"/>
  <c r="AZ48" i="38"/>
  <c r="AZ50" i="38"/>
  <c r="AZ51" i="38"/>
  <c r="AZ52" i="38" s="1"/>
  <c r="AX14" i="38"/>
  <c r="AX15" i="38"/>
  <c r="AX17" i="38"/>
  <c r="AX18" i="38"/>
  <c r="AX21" i="38"/>
  <c r="AX24" i="38"/>
  <c r="AX26" i="38"/>
  <c r="AX27" i="38"/>
  <c r="AX28" i="38"/>
  <c r="AX30" i="38"/>
  <c r="AX31" i="38"/>
  <c r="AX32" i="38"/>
  <c r="AX33" i="38"/>
  <c r="AX34" i="38"/>
  <c r="AX35" i="38"/>
  <c r="AX36" i="38"/>
  <c r="AX38" i="38"/>
  <c r="AX39" i="38"/>
  <c r="AX40" i="38"/>
  <c r="AX43" i="38"/>
  <c r="AX44" i="38"/>
  <c r="AX48" i="38"/>
  <c r="AX50" i="38"/>
  <c r="AX51" i="38"/>
  <c r="AX52" i="38" s="1"/>
  <c r="AV14" i="38"/>
  <c r="AV15" i="38"/>
  <c r="AV17" i="38"/>
  <c r="AV18" i="38"/>
  <c r="AV21" i="38"/>
  <c r="AV24" i="38"/>
  <c r="AV26" i="38"/>
  <c r="AV27" i="38"/>
  <c r="AV28" i="38"/>
  <c r="AV30" i="38"/>
  <c r="AV31" i="38"/>
  <c r="AV32" i="38"/>
  <c r="AV33" i="38"/>
  <c r="AV34" i="38"/>
  <c r="AV35" i="38"/>
  <c r="AV36" i="38"/>
  <c r="AV38" i="38"/>
  <c r="AV39" i="38"/>
  <c r="AV40" i="38"/>
  <c r="AV43" i="38"/>
  <c r="AV44" i="38"/>
  <c r="AV48" i="38"/>
  <c r="AV50" i="38"/>
  <c r="AV51" i="38"/>
  <c r="AV52" i="38" s="1"/>
  <c r="AT14" i="38"/>
  <c r="AT15" i="38"/>
  <c r="AT17" i="38"/>
  <c r="AT18" i="38"/>
  <c r="AT21" i="38"/>
  <c r="AT24" i="38"/>
  <c r="AT26" i="38"/>
  <c r="AT27" i="38"/>
  <c r="AT28" i="38"/>
  <c r="AT30" i="38"/>
  <c r="AT31" i="38"/>
  <c r="AT32" i="38"/>
  <c r="AT33" i="38"/>
  <c r="AT34" i="38"/>
  <c r="AT35" i="38"/>
  <c r="AT36" i="38"/>
  <c r="AT38" i="38"/>
  <c r="AT39" i="38"/>
  <c r="AT40" i="38"/>
  <c r="AT43" i="38"/>
  <c r="AT44" i="38"/>
  <c r="AT48" i="38"/>
  <c r="AT50" i="38"/>
  <c r="AT51" i="38"/>
  <c r="AT52" i="38" s="1"/>
  <c r="AR14" i="38"/>
  <c r="AR15" i="38"/>
  <c r="AR17" i="38"/>
  <c r="AR18" i="38"/>
  <c r="AR21" i="38"/>
  <c r="AR24" i="38"/>
  <c r="AR26" i="38"/>
  <c r="AR27" i="38"/>
  <c r="AR28" i="38"/>
  <c r="AR30" i="38"/>
  <c r="AR31" i="38"/>
  <c r="AR32" i="38"/>
  <c r="AR33" i="38"/>
  <c r="AR34" i="38"/>
  <c r="AR35" i="38"/>
  <c r="AR36" i="38"/>
  <c r="AR38" i="38"/>
  <c r="AR39" i="38"/>
  <c r="AR40" i="38"/>
  <c r="AR43" i="38"/>
  <c r="AR44" i="38"/>
  <c r="AR48" i="38"/>
  <c r="AR50" i="38"/>
  <c r="AR51" i="38"/>
  <c r="AR52" i="38" s="1"/>
  <c r="AP14" i="38"/>
  <c r="AP15" i="38"/>
  <c r="AP17" i="38"/>
  <c r="AP18" i="38"/>
  <c r="AP21" i="38"/>
  <c r="AP24" i="38"/>
  <c r="AP26" i="38"/>
  <c r="AP27" i="38"/>
  <c r="AP28" i="38"/>
  <c r="AP30" i="38"/>
  <c r="AP31" i="38"/>
  <c r="AP32" i="38"/>
  <c r="AP33" i="38"/>
  <c r="AP34" i="38"/>
  <c r="AP35" i="38"/>
  <c r="AP36" i="38"/>
  <c r="AP38" i="38"/>
  <c r="AP39" i="38"/>
  <c r="AP40" i="38"/>
  <c r="AP43" i="38"/>
  <c r="AP44" i="38"/>
  <c r="AP48" i="38"/>
  <c r="AP50" i="38"/>
  <c r="AP51" i="38"/>
  <c r="AP52" i="38" s="1"/>
  <c r="AN14" i="38"/>
  <c r="AN15" i="38"/>
  <c r="AN17" i="38"/>
  <c r="AN18" i="38"/>
  <c r="AN21" i="38"/>
  <c r="AN24" i="38"/>
  <c r="AN26" i="38"/>
  <c r="AN27" i="38"/>
  <c r="AN28" i="38"/>
  <c r="AN30" i="38"/>
  <c r="AN31" i="38"/>
  <c r="AN32" i="38"/>
  <c r="AN33" i="38"/>
  <c r="AN34" i="38"/>
  <c r="AN35" i="38"/>
  <c r="AN36" i="38"/>
  <c r="AN38" i="38"/>
  <c r="AN39" i="38"/>
  <c r="AN40" i="38"/>
  <c r="AN43" i="38"/>
  <c r="AN44" i="38"/>
  <c r="AN48" i="38"/>
  <c r="AN50" i="38"/>
  <c r="AN51" i="38"/>
  <c r="AN52" i="38" s="1"/>
  <c r="AL14" i="38"/>
  <c r="AL15" i="38"/>
  <c r="AL17" i="38"/>
  <c r="AL18" i="38"/>
  <c r="AL21" i="38"/>
  <c r="AL24" i="38"/>
  <c r="AL26" i="38"/>
  <c r="AL27" i="38"/>
  <c r="AL28" i="38"/>
  <c r="AL30" i="38"/>
  <c r="AL31" i="38"/>
  <c r="AL32" i="38"/>
  <c r="AL33" i="38"/>
  <c r="AL34" i="38"/>
  <c r="AL35" i="38"/>
  <c r="AL36" i="38"/>
  <c r="AL38" i="38"/>
  <c r="AL40" i="38"/>
  <c r="AL43" i="38"/>
  <c r="AL44" i="38"/>
  <c r="AL48" i="38"/>
  <c r="AL50" i="38"/>
  <c r="AL51" i="38"/>
  <c r="AL52" i="38" s="1"/>
  <c r="AJ14" i="38"/>
  <c r="AJ15" i="38"/>
  <c r="AJ17" i="38"/>
  <c r="AJ18" i="38"/>
  <c r="AJ21" i="38"/>
  <c r="AJ24" i="38"/>
  <c r="AJ26" i="38"/>
  <c r="AJ27" i="38"/>
  <c r="AJ28" i="38"/>
  <c r="AJ30" i="38"/>
  <c r="AJ31" i="38"/>
  <c r="AJ32" i="38"/>
  <c r="AJ33" i="38"/>
  <c r="AJ34" i="38"/>
  <c r="AJ35" i="38"/>
  <c r="AJ36" i="38"/>
  <c r="AJ38" i="38"/>
  <c r="AJ39" i="38"/>
  <c r="AJ40" i="38"/>
  <c r="AJ43" i="38"/>
  <c r="AJ44" i="38"/>
  <c r="AJ48" i="38"/>
  <c r="AJ50" i="38"/>
  <c r="AJ51" i="38"/>
  <c r="AJ52" i="38" s="1"/>
  <c r="AH14" i="38"/>
  <c r="AH15" i="38"/>
  <c r="AH17" i="38"/>
  <c r="AH18" i="38"/>
  <c r="AH21" i="38"/>
  <c r="AH24" i="38"/>
  <c r="AH26" i="38"/>
  <c r="AH27" i="38"/>
  <c r="AH28" i="38"/>
  <c r="AH30" i="38"/>
  <c r="AH31" i="38"/>
  <c r="AH32" i="38"/>
  <c r="AH33" i="38"/>
  <c r="AH34" i="38"/>
  <c r="AH35" i="38"/>
  <c r="AH36" i="38"/>
  <c r="AH38" i="38"/>
  <c r="AH39" i="38"/>
  <c r="AH40" i="38"/>
  <c r="AH43" i="38"/>
  <c r="AH44" i="38"/>
  <c r="AH48" i="38"/>
  <c r="AH50" i="38"/>
  <c r="AH51" i="38"/>
  <c r="AH52" i="38" s="1"/>
  <c r="AF14" i="38"/>
  <c r="AF15" i="38"/>
  <c r="AF17" i="38"/>
  <c r="AF18" i="38"/>
  <c r="AF21" i="38"/>
  <c r="AF24" i="38"/>
  <c r="AF26" i="38"/>
  <c r="AF27" i="38"/>
  <c r="AF28" i="38"/>
  <c r="AF30" i="38"/>
  <c r="AF31" i="38"/>
  <c r="AF32" i="38"/>
  <c r="AF33" i="38"/>
  <c r="AF34" i="38"/>
  <c r="AF35" i="38"/>
  <c r="AF36" i="38"/>
  <c r="AF38" i="38"/>
  <c r="AF39" i="38"/>
  <c r="AF40" i="38"/>
  <c r="AF43" i="38"/>
  <c r="AF44" i="38"/>
  <c r="AF48" i="38"/>
  <c r="AF50" i="38"/>
  <c r="AF51" i="38"/>
  <c r="AF52" i="38" s="1"/>
  <c r="AD14" i="38"/>
  <c r="AD15" i="38"/>
  <c r="AD17" i="38"/>
  <c r="AD18" i="38"/>
  <c r="AD21" i="38"/>
  <c r="AD24" i="38"/>
  <c r="AD26" i="38"/>
  <c r="AD27" i="38"/>
  <c r="AD28" i="38"/>
  <c r="AD30" i="38"/>
  <c r="AD31" i="38"/>
  <c r="AD32" i="38"/>
  <c r="AD33" i="38"/>
  <c r="AD34" i="38"/>
  <c r="AD35" i="38"/>
  <c r="AD36" i="38"/>
  <c r="AD38" i="38"/>
  <c r="AD39" i="38"/>
  <c r="AD40" i="38"/>
  <c r="AD43" i="38"/>
  <c r="AD44" i="38"/>
  <c r="AD48" i="38"/>
  <c r="AD50" i="38"/>
  <c r="AD51" i="38"/>
  <c r="AD52" i="38" s="1"/>
  <c r="AB24" i="38"/>
  <c r="AB18" i="38"/>
  <c r="AB17" i="38"/>
  <c r="AB15" i="38"/>
  <c r="BH75" i="25"/>
  <c r="BH77" i="25"/>
  <c r="BI77" i="25" s="1"/>
  <c r="AB14" i="38"/>
  <c r="AB21" i="38"/>
  <c r="AB26" i="38"/>
  <c r="AB27" i="38"/>
  <c r="AB28" i="38"/>
  <c r="AB30" i="38"/>
  <c r="AB31" i="38"/>
  <c r="AB32" i="38"/>
  <c r="AB33" i="38"/>
  <c r="AB34" i="38"/>
  <c r="AB35" i="38"/>
  <c r="AB36" i="38"/>
  <c r="AB38" i="38"/>
  <c r="AB39" i="38"/>
  <c r="AB40" i="38"/>
  <c r="AB43" i="38"/>
  <c r="AB44" i="38"/>
  <c r="AB48" i="38"/>
  <c r="AB50" i="38"/>
  <c r="AB51" i="38"/>
  <c r="AB52" i="38" s="1"/>
  <c r="BU31" i="34"/>
  <c r="BI31" i="34"/>
  <c r="BG31" i="34"/>
  <c r="BH13" i="34"/>
  <c r="T98" i="32" l="1"/>
  <c r="X98" i="32" s="1"/>
  <c r="U98" i="32"/>
  <c r="V98" i="32"/>
  <c r="Z98" i="32" s="1"/>
  <c r="S98" i="32"/>
  <c r="W98" i="32" s="1"/>
  <c r="S80" i="32"/>
  <c r="U80" i="32"/>
  <c r="Y80" i="32" s="1"/>
  <c r="T80" i="32"/>
  <c r="V80" i="32"/>
  <c r="Z80" i="32" s="1"/>
  <c r="T97" i="32"/>
  <c r="X97" i="32" s="1"/>
  <c r="U97" i="32"/>
  <c r="Y97" i="32" s="1"/>
  <c r="V97" i="32"/>
  <c r="Z97" i="32" s="1"/>
  <c r="S97" i="32"/>
  <c r="W97" i="32" s="1"/>
  <c r="T83" i="32"/>
  <c r="U83" i="32"/>
  <c r="S83" i="32"/>
  <c r="W83" i="32" s="1"/>
  <c r="V83" i="32"/>
  <c r="Z83" i="32" s="1"/>
  <c r="V84" i="32"/>
  <c r="Z84" i="32" s="1"/>
  <c r="U84" i="32"/>
  <c r="Y84" i="32" s="1"/>
  <c r="S84" i="32"/>
  <c r="T84" i="32"/>
  <c r="S85" i="32"/>
  <c r="W85" i="32" s="1"/>
  <c r="V85" i="32"/>
  <c r="Z85" i="32" s="1"/>
  <c r="T85" i="32"/>
  <c r="X85" i="32" s="1"/>
  <c r="U85" i="32"/>
  <c r="Y85" i="32" s="1"/>
  <c r="V115" i="32"/>
  <c r="U115" i="32"/>
  <c r="Y115" i="32" s="1"/>
  <c r="T115" i="32"/>
  <c r="X115" i="32" s="1"/>
  <c r="S115" i="32"/>
  <c r="W115" i="32" s="1"/>
  <c r="T120" i="32"/>
  <c r="X120" i="32" s="1"/>
  <c r="U120" i="32"/>
  <c r="Y120" i="32" s="1"/>
  <c r="S120" i="32"/>
  <c r="W120" i="32" s="1"/>
  <c r="V120" i="32"/>
  <c r="BK37" i="37"/>
  <c r="BN120" i="32"/>
  <c r="AL42" i="38"/>
  <c r="BN115" i="32"/>
  <c r="BN80" i="32"/>
  <c r="BN85" i="32"/>
  <c r="BN83" i="32"/>
  <c r="BN97" i="32"/>
  <c r="BN84" i="32"/>
  <c r="BN98" i="32"/>
  <c r="BL80" i="32"/>
  <c r="AN42" i="38"/>
  <c r="AP42" i="38"/>
  <c r="AR42" i="38"/>
  <c r="AT42" i="38"/>
  <c r="AV42" i="38"/>
  <c r="AX42" i="38"/>
  <c r="AZ42" i="38"/>
  <c r="BB42" i="38"/>
  <c r="BD42" i="38"/>
  <c r="BF42" i="38"/>
  <c r="BH42" i="38"/>
  <c r="BJ42" i="38"/>
  <c r="BH78" i="25"/>
  <c r="BI75" i="25"/>
  <c r="BI78" i="25" s="1"/>
  <c r="AB42" i="38"/>
  <c r="AD42" i="38"/>
  <c r="AF42" i="38"/>
  <c r="AH42" i="38"/>
  <c r="AJ42" i="38"/>
  <c r="BL84" i="32"/>
  <c r="BL83" i="32"/>
  <c r="H97" i="32"/>
  <c r="H85" i="32"/>
  <c r="BQ85" i="32" s="1"/>
  <c r="BS85" i="32" s="1"/>
  <c r="BW85" i="32" s="1"/>
  <c r="BH52" i="37"/>
  <c r="Z115" i="32"/>
  <c r="H115" i="32"/>
  <c r="BQ115" i="32" s="1"/>
  <c r="BS115" i="32" s="1"/>
  <c r="W80" i="32"/>
  <c r="X80" i="32"/>
  <c r="H80" i="32"/>
  <c r="X84" i="32"/>
  <c r="H84" i="32"/>
  <c r="BQ84" i="32" s="1"/>
  <c r="BS84" i="32" s="1"/>
  <c r="BW84" i="32" s="1"/>
  <c r="W84" i="32"/>
  <c r="AX52" i="37"/>
  <c r="Z120" i="32"/>
  <c r="H120" i="32"/>
  <c r="BQ120" i="32" s="1"/>
  <c r="BS120" i="32" s="1"/>
  <c r="BW120" i="32" s="1"/>
  <c r="X83" i="32"/>
  <c r="Y83" i="32"/>
  <c r="H83" i="32"/>
  <c r="BQ83" i="32" s="1"/>
  <c r="BS83" i="32" s="1"/>
  <c r="BW83" i="32" s="1"/>
  <c r="R85" i="32"/>
  <c r="BL85" i="32"/>
  <c r="Y98" i="32"/>
  <c r="H98" i="32"/>
  <c r="AR52" i="37"/>
  <c r="AL52" i="37"/>
  <c r="BB52" i="37"/>
  <c r="AV52" i="37"/>
  <c r="AT52" i="37"/>
  <c r="AN52" i="37"/>
  <c r="AJ52" i="37"/>
  <c r="BI53" i="38"/>
  <c r="AH52" i="37"/>
  <c r="BF52" i="37"/>
  <c r="AZ52" i="37"/>
  <c r="AP52" i="37"/>
  <c r="BD52" i="37"/>
  <c r="BL41" i="38"/>
  <c r="L41" i="38" s="1"/>
  <c r="BE53" i="38"/>
  <c r="BC53" i="38"/>
  <c r="AY53" i="38"/>
  <c r="AW53" i="38"/>
  <c r="AU53" i="38"/>
  <c r="AQ53" i="38"/>
  <c r="AO53" i="38"/>
  <c r="AM53" i="38"/>
  <c r="AK53" i="38"/>
  <c r="AC53" i="38"/>
  <c r="BL98" i="32"/>
  <c r="BL97" i="32"/>
  <c r="BL115" i="32"/>
  <c r="BL120" i="32"/>
  <c r="R120" i="32" s="1"/>
  <c r="BG53" i="38"/>
  <c r="AI53" i="38"/>
  <c r="AG53" i="38"/>
  <c r="AE53" i="38"/>
  <c r="BA53" i="38"/>
  <c r="AS53" i="38"/>
  <c r="BH12" i="34"/>
  <c r="AB49" i="34"/>
  <c r="AD49" i="34"/>
  <c r="AF49" i="34"/>
  <c r="AH49" i="34"/>
  <c r="AJ49" i="34"/>
  <c r="AL49" i="34"/>
  <c r="AN49" i="34"/>
  <c r="AP49" i="34"/>
  <c r="AR49" i="34"/>
  <c r="AT49" i="34"/>
  <c r="AV49" i="34"/>
  <c r="AX49" i="34"/>
  <c r="AZ49" i="34"/>
  <c r="BB49" i="34"/>
  <c r="BD49" i="34"/>
  <c r="BF49" i="34"/>
  <c r="BH49" i="34"/>
  <c r="Z49" i="34"/>
  <c r="AB47" i="34"/>
  <c r="AD47" i="34"/>
  <c r="AF47" i="34"/>
  <c r="AH47" i="34"/>
  <c r="AJ47" i="34"/>
  <c r="AL47" i="34"/>
  <c r="AN47" i="34"/>
  <c r="BJ47" i="34" s="1"/>
  <c r="AP47" i="34"/>
  <c r="AR47" i="34"/>
  <c r="AT47" i="34"/>
  <c r="AV47" i="34"/>
  <c r="AX47" i="34"/>
  <c r="AZ47" i="34"/>
  <c r="BB47" i="34"/>
  <c r="BD47" i="34"/>
  <c r="BF47" i="34"/>
  <c r="BH47" i="34"/>
  <c r="Z47" i="34"/>
  <c r="AB43" i="34"/>
  <c r="AD43" i="34"/>
  <c r="AF43" i="34"/>
  <c r="AH43" i="34"/>
  <c r="AJ43" i="34"/>
  <c r="AL43" i="34"/>
  <c r="AN43" i="34"/>
  <c r="AP43" i="34"/>
  <c r="AR43" i="34"/>
  <c r="AT43" i="34"/>
  <c r="AV43" i="34"/>
  <c r="AX43" i="34"/>
  <c r="AZ43" i="34"/>
  <c r="BB43" i="34"/>
  <c r="BD43" i="34"/>
  <c r="BF43" i="34"/>
  <c r="BH43" i="34"/>
  <c r="Z43" i="34"/>
  <c r="AB27" i="34"/>
  <c r="AD27" i="34"/>
  <c r="AF27" i="34"/>
  <c r="AH27" i="34"/>
  <c r="AJ27" i="34"/>
  <c r="AL27" i="34"/>
  <c r="AN27" i="34"/>
  <c r="AP27" i="34"/>
  <c r="AR27" i="34"/>
  <c r="AT27" i="34"/>
  <c r="AV27" i="34"/>
  <c r="AX27" i="34"/>
  <c r="AZ27" i="34"/>
  <c r="BB27" i="34"/>
  <c r="BD27" i="34"/>
  <c r="BF27" i="34"/>
  <c r="BH27" i="34"/>
  <c r="Z27" i="34"/>
  <c r="AB22" i="34"/>
  <c r="AD22" i="34"/>
  <c r="AF22" i="34"/>
  <c r="AH22" i="34"/>
  <c r="AJ22" i="34"/>
  <c r="AL22" i="34"/>
  <c r="AN22" i="34"/>
  <c r="AP22" i="34"/>
  <c r="AR22" i="34"/>
  <c r="AT22" i="34"/>
  <c r="AV22" i="34"/>
  <c r="AX22" i="34"/>
  <c r="AZ22" i="34"/>
  <c r="BB22" i="34"/>
  <c r="BD22" i="34"/>
  <c r="BF22" i="34"/>
  <c r="BH22" i="34"/>
  <c r="Z22" i="34"/>
  <c r="BJ16" i="34"/>
  <c r="BJ17" i="34"/>
  <c r="BJ18" i="34"/>
  <c r="F18" i="34" s="1"/>
  <c r="BJ19" i="34"/>
  <c r="F19" i="34" s="1"/>
  <c r="BJ20" i="34"/>
  <c r="F20" i="34" s="1"/>
  <c r="BJ21" i="34"/>
  <c r="F21" i="34" s="1"/>
  <c r="BJ23" i="34"/>
  <c r="BJ24" i="34"/>
  <c r="F24" i="34" s="1"/>
  <c r="BJ25" i="34"/>
  <c r="F25" i="34" s="1"/>
  <c r="BJ26" i="34"/>
  <c r="F26" i="34" s="1"/>
  <c r="BJ29" i="34"/>
  <c r="BJ30" i="34"/>
  <c r="BJ33" i="34"/>
  <c r="BJ37" i="34"/>
  <c r="BJ38" i="34"/>
  <c r="F38" i="34" s="1"/>
  <c r="BJ39" i="34"/>
  <c r="F39" i="34" s="1"/>
  <c r="BJ40" i="34"/>
  <c r="F40" i="34" s="1"/>
  <c r="BJ41" i="34"/>
  <c r="F41" i="34" s="1"/>
  <c r="BJ42" i="34"/>
  <c r="F42" i="34" s="1"/>
  <c r="BJ44" i="34"/>
  <c r="BJ45" i="34"/>
  <c r="BJ46" i="34"/>
  <c r="BJ48" i="34"/>
  <c r="BI13" i="34"/>
  <c r="BI16" i="34"/>
  <c r="BI23" i="34"/>
  <c r="BI37" i="34"/>
  <c r="BI44" i="34"/>
  <c r="BG12" i="34"/>
  <c r="BG13" i="34"/>
  <c r="BG16" i="34"/>
  <c r="BG23" i="34"/>
  <c r="BG28" i="34"/>
  <c r="BG37" i="34"/>
  <c r="BG44" i="34"/>
  <c r="BG11" i="34"/>
  <c r="BE16" i="34"/>
  <c r="BE23" i="34"/>
  <c r="BE28" i="34"/>
  <c r="BE37" i="34"/>
  <c r="BE44" i="34"/>
  <c r="BE12" i="34"/>
  <c r="BE13" i="34"/>
  <c r="BE11" i="34"/>
  <c r="BC12" i="34"/>
  <c r="BC13" i="34"/>
  <c r="BC16" i="34"/>
  <c r="BC23" i="34"/>
  <c r="BC28" i="34"/>
  <c r="BC37" i="34"/>
  <c r="BC44" i="34"/>
  <c r="BC11" i="34"/>
  <c r="BA12" i="34"/>
  <c r="BA13" i="34"/>
  <c r="BA16" i="34"/>
  <c r="BA23" i="34"/>
  <c r="BA28" i="34"/>
  <c r="BA37" i="34"/>
  <c r="BA44" i="34"/>
  <c r="BA11" i="34"/>
  <c r="AY12" i="34"/>
  <c r="AY13" i="34"/>
  <c r="AY16" i="34"/>
  <c r="AY23" i="34"/>
  <c r="AY28" i="34"/>
  <c r="AY37" i="34"/>
  <c r="AY44" i="34"/>
  <c r="AY11" i="34"/>
  <c r="AW12" i="34"/>
  <c r="AW13" i="34"/>
  <c r="AW16" i="34"/>
  <c r="AW23" i="34"/>
  <c r="AW28" i="34"/>
  <c r="AW37" i="34"/>
  <c r="AW44" i="34"/>
  <c r="AW11" i="34"/>
  <c r="AU12" i="34"/>
  <c r="AU13" i="34"/>
  <c r="AU16" i="34"/>
  <c r="AU23" i="34"/>
  <c r="AU28" i="34"/>
  <c r="AU37" i="34"/>
  <c r="AU44" i="34"/>
  <c r="AU11" i="34"/>
  <c r="AS12" i="34"/>
  <c r="AS13" i="34"/>
  <c r="AS16" i="34"/>
  <c r="AS23" i="34"/>
  <c r="AS28" i="34"/>
  <c r="AS37" i="34"/>
  <c r="AS44" i="34"/>
  <c r="AS11" i="34"/>
  <c r="AQ12" i="34"/>
  <c r="AQ13" i="34"/>
  <c r="AQ16" i="34"/>
  <c r="AQ23" i="34"/>
  <c r="AQ28" i="34"/>
  <c r="AQ37" i="34"/>
  <c r="AQ44" i="34"/>
  <c r="AQ11" i="34"/>
  <c r="AO12" i="34"/>
  <c r="AO13" i="34"/>
  <c r="AO16" i="34"/>
  <c r="AO23" i="34"/>
  <c r="AO28" i="34"/>
  <c r="AO37" i="34"/>
  <c r="AO44" i="34"/>
  <c r="AO11" i="34"/>
  <c r="AM12" i="34"/>
  <c r="AM13" i="34"/>
  <c r="AM16" i="34"/>
  <c r="AM23" i="34"/>
  <c r="AM28" i="34"/>
  <c r="AM37" i="34"/>
  <c r="AM44" i="34"/>
  <c r="AM11" i="34"/>
  <c r="AK16" i="34"/>
  <c r="AK23" i="34"/>
  <c r="AK28" i="34"/>
  <c r="AK37" i="34"/>
  <c r="AK44" i="34"/>
  <c r="AK12" i="34"/>
  <c r="AK13" i="34"/>
  <c r="AK11" i="34"/>
  <c r="AI12" i="34"/>
  <c r="AI13" i="34"/>
  <c r="AI16" i="34"/>
  <c r="AI23" i="34"/>
  <c r="AI28" i="34"/>
  <c r="AI37" i="34"/>
  <c r="AI44" i="34"/>
  <c r="AI11" i="34"/>
  <c r="AG12" i="34"/>
  <c r="AG13" i="34"/>
  <c r="AG16" i="34"/>
  <c r="AG23" i="34"/>
  <c r="AG28" i="34"/>
  <c r="AG37" i="34"/>
  <c r="AG44" i="34"/>
  <c r="AG11" i="34"/>
  <c r="AE12" i="34"/>
  <c r="AE16" i="34"/>
  <c r="AE23" i="34"/>
  <c r="AE28" i="34"/>
  <c r="AE37" i="34"/>
  <c r="AE44" i="34"/>
  <c r="AE11" i="34"/>
  <c r="AC12" i="34"/>
  <c r="AC13" i="34"/>
  <c r="AC16" i="34"/>
  <c r="AC23" i="34"/>
  <c r="AC28" i="34"/>
  <c r="AC37" i="34"/>
  <c r="AC44" i="34"/>
  <c r="AC11" i="34"/>
  <c r="AA12" i="34"/>
  <c r="AA13" i="34"/>
  <c r="AA16" i="34"/>
  <c r="AA23" i="34"/>
  <c r="AA28" i="34"/>
  <c r="AA37" i="34"/>
  <c r="AA44" i="34"/>
  <c r="AA11" i="34"/>
  <c r="BH11" i="34"/>
  <c r="BJ33" i="33"/>
  <c r="BJ34" i="33" s="1"/>
  <c r="BJ29" i="33"/>
  <c r="F29" i="33" s="1"/>
  <c r="BJ30" i="33"/>
  <c r="F30" i="33" s="1"/>
  <c r="BJ31" i="33"/>
  <c r="BJ27" i="33"/>
  <c r="BJ24" i="33"/>
  <c r="F24" i="33" s="1"/>
  <c r="BJ25" i="33"/>
  <c r="BJ23" i="33"/>
  <c r="BJ20" i="33"/>
  <c r="F20" i="33" s="1"/>
  <c r="S20" i="33" s="1"/>
  <c r="BJ21" i="33"/>
  <c r="F21" i="33" s="1"/>
  <c r="BJ19" i="33"/>
  <c r="BJ15" i="33"/>
  <c r="F15" i="33" s="1"/>
  <c r="BJ14" i="33"/>
  <c r="F14" i="33" s="1"/>
  <c r="BJ12" i="33"/>
  <c r="BJ11" i="33"/>
  <c r="BJ10" i="33"/>
  <c r="BJ13" i="33"/>
  <c r="AO27" i="33"/>
  <c r="AO23" i="33"/>
  <c r="AO11" i="33"/>
  <c r="AO15" i="33"/>
  <c r="AO10" i="33"/>
  <c r="AY33" i="33"/>
  <c r="AY34" i="33" s="1"/>
  <c r="AY27" i="33"/>
  <c r="AY23" i="33"/>
  <c r="AY19" i="33"/>
  <c r="AY11" i="33"/>
  <c r="AY15" i="33"/>
  <c r="AY10" i="33"/>
  <c r="AW10" i="33"/>
  <c r="AW33" i="33"/>
  <c r="AW34" i="33" s="1"/>
  <c r="AW27" i="33"/>
  <c r="AW23" i="33"/>
  <c r="AW19" i="33"/>
  <c r="AW15" i="33"/>
  <c r="AW11" i="33"/>
  <c r="AU33" i="33"/>
  <c r="AU34" i="33" s="1"/>
  <c r="AU27" i="33"/>
  <c r="AU23" i="33"/>
  <c r="AU19" i="33"/>
  <c r="AU11" i="33"/>
  <c r="AU15" i="33"/>
  <c r="AU10" i="33"/>
  <c r="AO19" i="33"/>
  <c r="AK33" i="33"/>
  <c r="AK34" i="33" s="1"/>
  <c r="AK27" i="33"/>
  <c r="AK23" i="33"/>
  <c r="AK19" i="33"/>
  <c r="AK11" i="33"/>
  <c r="AK15" i="33"/>
  <c r="AK10" i="33"/>
  <c r="G33" i="33"/>
  <c r="AO33" i="33" s="1"/>
  <c r="AO34" i="33" s="1"/>
  <c r="AB34" i="33"/>
  <c r="AD34" i="33"/>
  <c r="AF34" i="33"/>
  <c r="AH34" i="33"/>
  <c r="AJ34" i="33"/>
  <c r="AL34" i="33"/>
  <c r="AN34" i="33"/>
  <c r="AP34" i="33"/>
  <c r="AR34" i="33"/>
  <c r="AT34" i="33"/>
  <c r="AV34" i="33"/>
  <c r="AX34" i="33"/>
  <c r="AZ34" i="33"/>
  <c r="BB34" i="33"/>
  <c r="BD34" i="33"/>
  <c r="BF34" i="33"/>
  <c r="BH34" i="33"/>
  <c r="AB26" i="33"/>
  <c r="AD26" i="33"/>
  <c r="AF26" i="33"/>
  <c r="AH26" i="33"/>
  <c r="AJ26" i="33"/>
  <c r="AL26" i="33"/>
  <c r="AN26" i="33"/>
  <c r="AP26" i="33"/>
  <c r="AR26" i="33"/>
  <c r="AT26" i="33"/>
  <c r="AV26" i="33"/>
  <c r="AX26" i="33"/>
  <c r="AZ26" i="33"/>
  <c r="BB26" i="33"/>
  <c r="BD26" i="33"/>
  <c r="BF26" i="33"/>
  <c r="BH26" i="33"/>
  <c r="AB22" i="33"/>
  <c r="AD22" i="33"/>
  <c r="AF22" i="33"/>
  <c r="AH22" i="33"/>
  <c r="AJ22" i="33"/>
  <c r="AL22" i="33"/>
  <c r="AN22" i="33"/>
  <c r="AP22" i="33"/>
  <c r="AR22" i="33"/>
  <c r="AT22" i="33"/>
  <c r="AV22" i="33"/>
  <c r="AX22" i="33"/>
  <c r="AZ22" i="33"/>
  <c r="BB22" i="33"/>
  <c r="BD22" i="33"/>
  <c r="BF22" i="33"/>
  <c r="BH22" i="33"/>
  <c r="BI19" i="33"/>
  <c r="BI23" i="33"/>
  <c r="BI27" i="33"/>
  <c r="BI33" i="33"/>
  <c r="BI34" i="33" s="1"/>
  <c r="BG19" i="33"/>
  <c r="BG23" i="33"/>
  <c r="BG27" i="33"/>
  <c r="BG33" i="33"/>
  <c r="BG34" i="33" s="1"/>
  <c r="BE19" i="33"/>
  <c r="BE23" i="33"/>
  <c r="BE27" i="33"/>
  <c r="BE33" i="33"/>
  <c r="BE34" i="33" s="1"/>
  <c r="BC19" i="33"/>
  <c r="BC23" i="33"/>
  <c r="BC27" i="33"/>
  <c r="BC33" i="33"/>
  <c r="BC34" i="33" s="1"/>
  <c r="BA19" i="33"/>
  <c r="BA23" i="33"/>
  <c r="BA27" i="33"/>
  <c r="BA33" i="33"/>
  <c r="BA34" i="33" s="1"/>
  <c r="AS19" i="33"/>
  <c r="AS23" i="33"/>
  <c r="AS27" i="33"/>
  <c r="AS33" i="33"/>
  <c r="AS34" i="33" s="1"/>
  <c r="AQ19" i="33"/>
  <c r="AQ23" i="33"/>
  <c r="AQ27" i="33"/>
  <c r="AQ33" i="33"/>
  <c r="AQ34" i="33" s="1"/>
  <c r="AM19" i="33"/>
  <c r="AM23" i="33"/>
  <c r="AM27" i="33"/>
  <c r="AM33" i="33"/>
  <c r="AM34" i="33" s="1"/>
  <c r="AI19" i="33"/>
  <c r="AI23" i="33"/>
  <c r="AI27" i="33"/>
  <c r="AI33" i="33"/>
  <c r="AI34" i="33" s="1"/>
  <c r="AG19" i="33"/>
  <c r="AG23" i="33"/>
  <c r="AG27" i="33"/>
  <c r="AG33" i="33"/>
  <c r="AG34" i="33" s="1"/>
  <c r="AE23" i="33"/>
  <c r="AE27" i="33"/>
  <c r="AE33" i="33"/>
  <c r="AE34" i="33" s="1"/>
  <c r="AC23" i="33"/>
  <c r="AC27" i="33"/>
  <c r="AC33" i="33"/>
  <c r="AC34" i="33" s="1"/>
  <c r="AA23" i="33"/>
  <c r="AA27" i="33"/>
  <c r="AA33" i="33"/>
  <c r="AA34" i="33" s="1"/>
  <c r="BI11" i="33"/>
  <c r="BI15" i="33"/>
  <c r="BG11" i="33"/>
  <c r="BG15" i="33"/>
  <c r="BG10" i="33"/>
  <c r="BE11" i="33"/>
  <c r="BE15" i="33"/>
  <c r="BE10" i="33"/>
  <c r="BC11" i="33"/>
  <c r="BC15" i="33"/>
  <c r="BC10" i="33"/>
  <c r="BA11" i="33"/>
  <c r="BA15" i="33"/>
  <c r="BA10" i="33"/>
  <c r="AS11" i="33"/>
  <c r="AS15" i="33"/>
  <c r="AS10" i="33"/>
  <c r="AQ11" i="33"/>
  <c r="AQ15" i="33"/>
  <c r="AQ10" i="33"/>
  <c r="AM11" i="33"/>
  <c r="AM15" i="33"/>
  <c r="AM10" i="33"/>
  <c r="AI11" i="33"/>
  <c r="AI15" i="33"/>
  <c r="AI10" i="33"/>
  <c r="AG11" i="33"/>
  <c r="AG15" i="33"/>
  <c r="AG10" i="33"/>
  <c r="AE11" i="33"/>
  <c r="AE15" i="33"/>
  <c r="AE10" i="33"/>
  <c r="AC11" i="33"/>
  <c r="AC15" i="33"/>
  <c r="AC10" i="33"/>
  <c r="AA11" i="33"/>
  <c r="AA15" i="33"/>
  <c r="AA10" i="33"/>
  <c r="AB42" i="32"/>
  <c r="AD42" i="32"/>
  <c r="AF42" i="32"/>
  <c r="AH42" i="32"/>
  <c r="AJ42" i="32"/>
  <c r="AL42" i="32"/>
  <c r="AN42" i="32"/>
  <c r="AP42" i="32"/>
  <c r="AR42" i="32"/>
  <c r="AT42" i="32"/>
  <c r="AV42" i="32"/>
  <c r="AX42" i="32"/>
  <c r="AZ42" i="32"/>
  <c r="BB42" i="32"/>
  <c r="BD42" i="32"/>
  <c r="BF42" i="32"/>
  <c r="BH42" i="32"/>
  <c r="BJ42" i="32"/>
  <c r="BK42" i="32"/>
  <c r="G42" i="32" s="1"/>
  <c r="AC126" i="32"/>
  <c r="AE126" i="32"/>
  <c r="AG126" i="32"/>
  <c r="AI126" i="32"/>
  <c r="AK126" i="32"/>
  <c r="AM126" i="32"/>
  <c r="AO126" i="32"/>
  <c r="AQ126" i="32"/>
  <c r="AS126" i="32"/>
  <c r="AU126" i="32"/>
  <c r="AW126" i="32"/>
  <c r="AY126" i="32"/>
  <c r="BA126" i="32"/>
  <c r="BC126" i="32"/>
  <c r="BE126" i="32"/>
  <c r="BI126" i="32"/>
  <c r="AC87" i="32"/>
  <c r="AE87" i="32"/>
  <c r="AG87" i="32"/>
  <c r="AI87" i="32"/>
  <c r="AK87" i="32"/>
  <c r="AM87" i="32"/>
  <c r="AO87" i="32"/>
  <c r="AQ87" i="32"/>
  <c r="AS87" i="32"/>
  <c r="AU87" i="32"/>
  <c r="AW87" i="32"/>
  <c r="AY87" i="32"/>
  <c r="BA87" i="32"/>
  <c r="BC87" i="32"/>
  <c r="BE87" i="32"/>
  <c r="BG87" i="32"/>
  <c r="BI87" i="32"/>
  <c r="AC77" i="32"/>
  <c r="AE77" i="32"/>
  <c r="AG77" i="32"/>
  <c r="AI77" i="32"/>
  <c r="AK77" i="32"/>
  <c r="AM77" i="32"/>
  <c r="AO77" i="32"/>
  <c r="AQ77" i="32"/>
  <c r="AS77" i="32"/>
  <c r="AU77" i="32"/>
  <c r="AW77" i="32"/>
  <c r="AY77" i="32"/>
  <c r="BA77" i="32"/>
  <c r="BC77" i="32"/>
  <c r="BE77" i="32"/>
  <c r="BG77" i="32"/>
  <c r="BI77" i="32"/>
  <c r="AA77" i="32"/>
  <c r="AC38" i="32"/>
  <c r="AE38" i="32"/>
  <c r="AG38" i="32"/>
  <c r="AI38" i="32"/>
  <c r="AK38" i="32"/>
  <c r="AM38" i="32"/>
  <c r="AO38" i="32"/>
  <c r="AQ38" i="32"/>
  <c r="AS38" i="32"/>
  <c r="AU38" i="32"/>
  <c r="AW38" i="32"/>
  <c r="AY38" i="32"/>
  <c r="BA38" i="32"/>
  <c r="BC38" i="32"/>
  <c r="BE38" i="32"/>
  <c r="BG38" i="32"/>
  <c r="BI38" i="32"/>
  <c r="AC22" i="32"/>
  <c r="AE22" i="32"/>
  <c r="AG22" i="32"/>
  <c r="AI22" i="32"/>
  <c r="AK22" i="32"/>
  <c r="AM22" i="32"/>
  <c r="AO22" i="32"/>
  <c r="AQ22" i="32"/>
  <c r="AS22" i="32"/>
  <c r="AU22" i="32"/>
  <c r="AW22" i="32"/>
  <c r="AY22" i="32"/>
  <c r="BA22" i="32"/>
  <c r="BC22" i="32"/>
  <c r="BE22" i="32"/>
  <c r="BG22" i="32"/>
  <c r="BI22" i="32"/>
  <c r="AA22" i="32"/>
  <c r="BK22" i="32" s="1"/>
  <c r="AA15" i="32"/>
  <c r="AC15" i="32"/>
  <c r="AE15" i="32"/>
  <c r="AG15" i="32"/>
  <c r="AI15" i="32"/>
  <c r="AK15" i="32"/>
  <c r="AM15" i="32"/>
  <c r="AO15" i="32"/>
  <c r="AQ15" i="32"/>
  <c r="AS15" i="32"/>
  <c r="AU15" i="32"/>
  <c r="AW15" i="32"/>
  <c r="AY15" i="32"/>
  <c r="BA15" i="32"/>
  <c r="BC15" i="32"/>
  <c r="BE15" i="32"/>
  <c r="BG15" i="32"/>
  <c r="BI15" i="32"/>
  <c r="BK13" i="32"/>
  <c r="BK14" i="32"/>
  <c r="BK16" i="32"/>
  <c r="BK17" i="32"/>
  <c r="BK18" i="32"/>
  <c r="BK20" i="32"/>
  <c r="BK21" i="32"/>
  <c r="BK23" i="32"/>
  <c r="BK24" i="32"/>
  <c r="G24" i="32" s="1"/>
  <c r="BK26" i="32"/>
  <c r="BK27" i="32"/>
  <c r="BK28" i="32"/>
  <c r="BK29" i="32"/>
  <c r="BK30" i="32"/>
  <c r="BK31" i="32"/>
  <c r="BK35" i="32"/>
  <c r="BK36" i="32"/>
  <c r="BK37" i="32"/>
  <c r="BK39" i="32"/>
  <c r="G39" i="32" s="1"/>
  <c r="BK40" i="32"/>
  <c r="BK41" i="32"/>
  <c r="BK43" i="32"/>
  <c r="BK44" i="32"/>
  <c r="G44" i="32" s="1"/>
  <c r="BK46" i="32"/>
  <c r="G46" i="32" s="1"/>
  <c r="BK47" i="32"/>
  <c r="BK48" i="32"/>
  <c r="BK49" i="32"/>
  <c r="BK50" i="32"/>
  <c r="BK51" i="32"/>
  <c r="BK52" i="32"/>
  <c r="BK53" i="32"/>
  <c r="BK54" i="32"/>
  <c r="G54" i="32" s="1"/>
  <c r="BK55" i="32"/>
  <c r="BK56" i="32"/>
  <c r="BK57" i="32"/>
  <c r="BK58" i="32"/>
  <c r="BK59" i="32"/>
  <c r="G59" i="32" s="1"/>
  <c r="BK60" i="32"/>
  <c r="G60" i="32" s="1"/>
  <c r="BK61" i="32"/>
  <c r="G61" i="32" s="1"/>
  <c r="BK64" i="32"/>
  <c r="BK65" i="32"/>
  <c r="BK66" i="32"/>
  <c r="BK67" i="32"/>
  <c r="BK68" i="32"/>
  <c r="BK69" i="32"/>
  <c r="BK70" i="32"/>
  <c r="BK71" i="32"/>
  <c r="BK72" i="32"/>
  <c r="BK73" i="32"/>
  <c r="BK74" i="32"/>
  <c r="BK75" i="32"/>
  <c r="G75" i="32" s="1"/>
  <c r="BK76" i="32"/>
  <c r="G76" i="32" s="1"/>
  <c r="BK78" i="32"/>
  <c r="G78" i="32" s="1"/>
  <c r="H78" i="32" s="1"/>
  <c r="BK79" i="32"/>
  <c r="BK81" i="32"/>
  <c r="BK82" i="32"/>
  <c r="BK86" i="32"/>
  <c r="BK89" i="32"/>
  <c r="BK90" i="32"/>
  <c r="BK91" i="32"/>
  <c r="BK92" i="32"/>
  <c r="BK93" i="32"/>
  <c r="BK94" i="32"/>
  <c r="BK95" i="32"/>
  <c r="BK96" i="32"/>
  <c r="BK99" i="32"/>
  <c r="BK100" i="32"/>
  <c r="BK101" i="32"/>
  <c r="BK102" i="32"/>
  <c r="BK103" i="32"/>
  <c r="BK104" i="32"/>
  <c r="BK105" i="32"/>
  <c r="G105" i="32" s="1"/>
  <c r="BK106" i="32"/>
  <c r="G106" i="32" s="1"/>
  <c r="BK107" i="32"/>
  <c r="G107" i="32" s="1"/>
  <c r="BK108" i="32"/>
  <c r="G108" i="32" s="1"/>
  <c r="BK110" i="32"/>
  <c r="G110" i="32" s="1"/>
  <c r="BK111" i="32"/>
  <c r="BK112" i="32"/>
  <c r="BK113" i="32"/>
  <c r="BK114" i="32"/>
  <c r="BK116" i="32"/>
  <c r="BK117" i="32"/>
  <c r="BK118" i="32"/>
  <c r="BK119" i="32"/>
  <c r="BK121" i="32"/>
  <c r="BK122" i="32"/>
  <c r="BK123" i="32"/>
  <c r="BK125" i="32"/>
  <c r="BK127" i="32"/>
  <c r="BK128" i="32"/>
  <c r="BK129" i="32"/>
  <c r="BK130" i="32"/>
  <c r="G130" i="32" s="1"/>
  <c r="BF54" i="32"/>
  <c r="BD54" i="32"/>
  <c r="AX54" i="32"/>
  <c r="AT54" i="32"/>
  <c r="AP54" i="32"/>
  <c r="AN54" i="32"/>
  <c r="AL54" i="32"/>
  <c r="AH54" i="32"/>
  <c r="AD54" i="32"/>
  <c r="AF54" i="32"/>
  <c r="AJ54" i="32"/>
  <c r="AR54" i="32"/>
  <c r="AV54" i="32"/>
  <c r="BB54" i="32"/>
  <c r="BH54" i="32"/>
  <c r="BJ54" i="32"/>
  <c r="AB54" i="32"/>
  <c r="BJ16" i="32"/>
  <c r="BJ17" i="32"/>
  <c r="BJ23" i="32"/>
  <c r="BJ24" i="32"/>
  <c r="BJ25" i="32"/>
  <c r="BJ26" i="32"/>
  <c r="BJ27" i="32"/>
  <c r="BJ28" i="32"/>
  <c r="BJ29" i="32"/>
  <c r="BJ30" i="32"/>
  <c r="BJ31" i="32"/>
  <c r="BJ34" i="32"/>
  <c r="BJ35" i="32"/>
  <c r="BJ36" i="32"/>
  <c r="BJ37" i="32"/>
  <c r="BJ39" i="32"/>
  <c r="BJ40" i="32"/>
  <c r="BJ41" i="32"/>
  <c r="BJ43" i="32"/>
  <c r="BJ44" i="32"/>
  <c r="BJ46" i="32"/>
  <c r="BJ47" i="32"/>
  <c r="BJ48" i="32"/>
  <c r="BJ49" i="32"/>
  <c r="BJ50" i="32"/>
  <c r="BJ51" i="32"/>
  <c r="BJ52" i="32"/>
  <c r="BJ53" i="32"/>
  <c r="BJ55" i="32"/>
  <c r="BJ56" i="32"/>
  <c r="BJ57" i="32"/>
  <c r="BJ58" i="32"/>
  <c r="BJ59" i="32"/>
  <c r="BJ60" i="32"/>
  <c r="BJ61" i="32"/>
  <c r="BJ64" i="32"/>
  <c r="BJ65" i="32"/>
  <c r="BJ66" i="32"/>
  <c r="BJ67" i="32"/>
  <c r="BJ68" i="32"/>
  <c r="BJ69" i="32"/>
  <c r="BJ70" i="32"/>
  <c r="BJ71" i="32"/>
  <c r="BJ72" i="32"/>
  <c r="BJ73" i="32"/>
  <c r="BJ74" i="32"/>
  <c r="BJ75" i="32"/>
  <c r="BJ76" i="32"/>
  <c r="BJ78" i="32"/>
  <c r="BJ79" i="32"/>
  <c r="BJ81" i="32"/>
  <c r="BJ82" i="32"/>
  <c r="BJ86" i="32"/>
  <c r="BJ88" i="32"/>
  <c r="BJ89" i="32"/>
  <c r="BJ90" i="32"/>
  <c r="BJ91" i="32"/>
  <c r="BJ92" i="32"/>
  <c r="BJ93" i="32"/>
  <c r="BJ94" i="32"/>
  <c r="BJ95" i="32"/>
  <c r="BJ96" i="32"/>
  <c r="BJ99" i="32"/>
  <c r="BJ100" i="32"/>
  <c r="BJ101" i="32"/>
  <c r="BJ102" i="32"/>
  <c r="BJ103" i="32"/>
  <c r="BJ104" i="32"/>
  <c r="BJ105" i="32"/>
  <c r="BJ106" i="32"/>
  <c r="BJ107" i="32"/>
  <c r="BJ108" i="32"/>
  <c r="BJ110" i="32"/>
  <c r="BJ111" i="32"/>
  <c r="BJ112" i="32"/>
  <c r="BJ113" i="32"/>
  <c r="BJ114" i="32"/>
  <c r="BJ116" i="32"/>
  <c r="BJ117" i="32"/>
  <c r="BJ118" i="32"/>
  <c r="BJ119" i="32"/>
  <c r="BJ121" i="32"/>
  <c r="BJ122" i="32"/>
  <c r="BJ123" i="32"/>
  <c r="BJ125" i="32"/>
  <c r="BJ127" i="32"/>
  <c r="BJ128" i="32"/>
  <c r="BJ129" i="32"/>
  <c r="BJ130" i="32"/>
  <c r="BH16" i="32"/>
  <c r="BH17" i="32"/>
  <c r="BH23" i="32"/>
  <c r="BH24" i="32"/>
  <c r="BH25" i="32"/>
  <c r="BH26" i="32"/>
  <c r="BH27" i="32"/>
  <c r="BH28" i="32"/>
  <c r="BH29" i="32"/>
  <c r="BH30" i="32"/>
  <c r="BH31" i="32"/>
  <c r="BH34" i="32"/>
  <c r="BH35" i="32"/>
  <c r="BH36" i="32"/>
  <c r="BH37" i="32"/>
  <c r="BH39" i="32"/>
  <c r="BH40" i="32"/>
  <c r="BH41" i="32"/>
  <c r="BH43" i="32"/>
  <c r="BH44" i="32"/>
  <c r="BH46" i="32"/>
  <c r="BH47" i="32"/>
  <c r="BH48" i="32"/>
  <c r="BH49" i="32"/>
  <c r="BH50" i="32"/>
  <c r="BH51" i="32"/>
  <c r="BH52" i="32"/>
  <c r="BH53" i="32"/>
  <c r="BH55" i="32"/>
  <c r="BH56" i="32"/>
  <c r="BH57" i="32"/>
  <c r="BH58" i="32"/>
  <c r="BH59" i="32"/>
  <c r="BH60" i="32"/>
  <c r="BH61" i="32"/>
  <c r="BH63" i="32"/>
  <c r="BH64" i="32"/>
  <c r="BH65" i="32"/>
  <c r="BH66" i="32"/>
  <c r="BH67" i="32"/>
  <c r="BH68" i="32"/>
  <c r="BH69" i="32"/>
  <c r="BH70" i="32"/>
  <c r="BH71" i="32"/>
  <c r="BH72" i="32"/>
  <c r="BH73" i="32"/>
  <c r="BH74" i="32"/>
  <c r="BH75" i="32"/>
  <c r="BH76" i="32"/>
  <c r="BH78" i="32"/>
  <c r="BH79" i="32"/>
  <c r="BH81" i="32"/>
  <c r="BH82" i="32"/>
  <c r="BH86" i="32"/>
  <c r="BH88" i="32"/>
  <c r="BH89" i="32"/>
  <c r="BH90" i="32"/>
  <c r="BH91" i="32"/>
  <c r="BH92" i="32"/>
  <c r="BH93" i="32"/>
  <c r="BH94" i="32"/>
  <c r="BH95" i="32"/>
  <c r="BH96" i="32"/>
  <c r="BH99" i="32"/>
  <c r="BH100" i="32"/>
  <c r="BH101" i="32"/>
  <c r="BH102" i="32"/>
  <c r="BH103" i="32"/>
  <c r="BH104" i="32"/>
  <c r="BH105" i="32"/>
  <c r="BH106" i="32"/>
  <c r="BH107" i="32"/>
  <c r="BH108" i="32"/>
  <c r="BH110" i="32"/>
  <c r="BH111" i="32"/>
  <c r="BH112" i="32"/>
  <c r="BH113" i="32"/>
  <c r="BH114" i="32"/>
  <c r="BH116" i="32"/>
  <c r="BH117" i="32"/>
  <c r="BH118" i="32"/>
  <c r="BH119" i="32"/>
  <c r="BH121" i="32"/>
  <c r="BH122" i="32"/>
  <c r="BH123" i="32"/>
  <c r="BH125" i="32"/>
  <c r="BH127" i="32"/>
  <c r="BH128" i="32"/>
  <c r="BH129" i="32"/>
  <c r="BH130" i="32"/>
  <c r="BF16" i="32"/>
  <c r="BF17" i="32"/>
  <c r="BF23" i="32"/>
  <c r="BF24" i="32"/>
  <c r="BF25" i="32"/>
  <c r="BF26" i="32"/>
  <c r="BF27" i="32"/>
  <c r="BF28" i="32"/>
  <c r="BF29" i="32"/>
  <c r="BF30" i="32"/>
  <c r="BF31" i="32"/>
  <c r="BF34" i="32"/>
  <c r="BF35" i="32"/>
  <c r="BF36" i="32"/>
  <c r="BF37" i="32"/>
  <c r="BF39" i="32"/>
  <c r="BF40" i="32"/>
  <c r="BF41" i="32"/>
  <c r="BF43" i="32"/>
  <c r="BF44" i="32"/>
  <c r="BF46" i="32"/>
  <c r="BF47" i="32"/>
  <c r="BF48" i="32"/>
  <c r="BF49" i="32"/>
  <c r="BF50" i="32"/>
  <c r="BF51" i="32"/>
  <c r="BF52" i="32"/>
  <c r="BF53" i="32"/>
  <c r="BF55" i="32"/>
  <c r="BF56" i="32"/>
  <c r="BF57" i="32"/>
  <c r="BF58" i="32"/>
  <c r="BF59" i="32"/>
  <c r="BF60" i="32"/>
  <c r="BF61" i="32"/>
  <c r="BF63" i="32"/>
  <c r="BF64" i="32"/>
  <c r="BF65" i="32"/>
  <c r="BF66" i="32"/>
  <c r="BF67" i="32"/>
  <c r="BF68" i="32"/>
  <c r="BF69" i="32"/>
  <c r="BF70" i="32"/>
  <c r="BF71" i="32"/>
  <c r="BF72" i="32"/>
  <c r="BF73" i="32"/>
  <c r="BF74" i="32"/>
  <c r="BF75" i="32"/>
  <c r="BF76" i="32"/>
  <c r="BF78" i="32"/>
  <c r="BF79" i="32"/>
  <c r="BF81" i="32"/>
  <c r="BF82" i="32"/>
  <c r="BF86" i="32"/>
  <c r="BF88" i="32"/>
  <c r="BF89" i="32"/>
  <c r="BF90" i="32"/>
  <c r="BF91" i="32"/>
  <c r="BF92" i="32"/>
  <c r="BF93" i="32"/>
  <c r="BF94" i="32"/>
  <c r="BF95" i="32"/>
  <c r="BF96" i="32"/>
  <c r="BF99" i="32"/>
  <c r="BF100" i="32"/>
  <c r="BF101" i="32"/>
  <c r="BF102" i="32"/>
  <c r="BF103" i="32"/>
  <c r="BF104" i="32"/>
  <c r="BF105" i="32"/>
  <c r="BF106" i="32"/>
  <c r="BF107" i="32"/>
  <c r="BF108" i="32"/>
  <c r="BF110" i="32"/>
  <c r="BF111" i="32"/>
  <c r="BF112" i="32"/>
  <c r="BF113" i="32"/>
  <c r="BF114" i="32"/>
  <c r="BF116" i="32"/>
  <c r="BF117" i="32"/>
  <c r="BF118" i="32"/>
  <c r="BF119" i="32"/>
  <c r="BF121" i="32"/>
  <c r="BF122" i="32"/>
  <c r="BF123" i="32"/>
  <c r="BF125" i="32"/>
  <c r="BF127" i="32"/>
  <c r="BF128" i="32"/>
  <c r="BF129" i="32"/>
  <c r="BF130" i="32"/>
  <c r="BD16" i="32"/>
  <c r="BD17" i="32"/>
  <c r="BD19" i="32"/>
  <c r="BD23" i="32"/>
  <c r="BD24" i="32"/>
  <c r="BD25" i="32"/>
  <c r="BD26" i="32"/>
  <c r="BD27" i="32"/>
  <c r="BD28" i="32"/>
  <c r="BD29" i="32"/>
  <c r="BD30" i="32"/>
  <c r="BD31" i="32"/>
  <c r="BD34" i="32"/>
  <c r="BD35" i="32"/>
  <c r="BD36" i="32"/>
  <c r="BD37" i="32"/>
  <c r="BD39" i="32"/>
  <c r="BD40" i="32"/>
  <c r="BD41" i="32"/>
  <c r="BD43" i="32"/>
  <c r="BD44" i="32"/>
  <c r="BD46" i="32"/>
  <c r="BD47" i="32"/>
  <c r="BD48" i="32"/>
  <c r="BD49" i="32"/>
  <c r="BD50" i="32"/>
  <c r="BD51" i="32"/>
  <c r="BD52" i="32"/>
  <c r="BD53" i="32"/>
  <c r="BD55" i="32"/>
  <c r="BD56" i="32"/>
  <c r="BD57" i="32"/>
  <c r="BD58" i="32"/>
  <c r="BD59" i="32"/>
  <c r="BD60" i="32"/>
  <c r="BD61" i="32"/>
  <c r="BD63" i="32"/>
  <c r="BD64" i="32"/>
  <c r="BD65" i="32"/>
  <c r="BD66" i="32"/>
  <c r="BD67" i="32"/>
  <c r="BD68" i="32"/>
  <c r="BD69" i="32"/>
  <c r="BD70" i="32"/>
  <c r="BD71" i="32"/>
  <c r="BD72" i="32"/>
  <c r="BD73" i="32"/>
  <c r="BD74" i="32"/>
  <c r="BD75" i="32"/>
  <c r="BD76" i="32"/>
  <c r="BD78" i="32"/>
  <c r="BD79" i="32"/>
  <c r="BD81" i="32"/>
  <c r="BD82" i="32"/>
  <c r="BD86" i="32"/>
  <c r="BD88" i="32"/>
  <c r="BD89" i="32"/>
  <c r="BD90" i="32"/>
  <c r="BD91" i="32"/>
  <c r="BD92" i="32"/>
  <c r="BD93" i="32"/>
  <c r="BD94" i="32"/>
  <c r="BD95" i="32"/>
  <c r="BD96" i="32"/>
  <c r="BD99" i="32"/>
  <c r="BD100" i="32"/>
  <c r="BD101" i="32"/>
  <c r="BD102" i="32"/>
  <c r="BD103" i="32"/>
  <c r="BD104" i="32"/>
  <c r="BD105" i="32"/>
  <c r="BD106" i="32"/>
  <c r="BD107" i="32"/>
  <c r="BD108" i="32"/>
  <c r="BD110" i="32"/>
  <c r="BD111" i="32"/>
  <c r="BD112" i="32"/>
  <c r="BD113" i="32"/>
  <c r="BD114" i="32"/>
  <c r="BD116" i="32"/>
  <c r="BD117" i="32"/>
  <c r="BD118" i="32"/>
  <c r="BD119" i="32"/>
  <c r="BD121" i="32"/>
  <c r="BD122" i="32"/>
  <c r="BD123" i="32"/>
  <c r="BD125" i="32"/>
  <c r="BD127" i="32"/>
  <c r="BD128" i="32"/>
  <c r="BD129" i="32"/>
  <c r="BD130" i="32"/>
  <c r="BB16" i="32"/>
  <c r="BB17" i="32"/>
  <c r="BB23" i="32"/>
  <c r="BB24" i="32"/>
  <c r="BB25" i="32"/>
  <c r="BB26" i="32"/>
  <c r="BB27" i="32"/>
  <c r="BB28" i="32"/>
  <c r="BB29" i="32"/>
  <c r="BB30" i="32"/>
  <c r="BB31" i="32"/>
  <c r="BB34" i="32"/>
  <c r="BB35" i="32"/>
  <c r="BB36" i="32"/>
  <c r="BB37" i="32"/>
  <c r="BB39" i="32"/>
  <c r="BB40" i="32"/>
  <c r="BB41" i="32"/>
  <c r="BB43" i="32"/>
  <c r="BB44" i="32"/>
  <c r="BB46" i="32"/>
  <c r="BB47" i="32"/>
  <c r="BB48" i="32"/>
  <c r="BB49" i="32"/>
  <c r="BB50" i="32"/>
  <c r="BB51" i="32"/>
  <c r="BB52" i="32"/>
  <c r="BB53" i="32"/>
  <c r="BB55" i="32"/>
  <c r="BB56" i="32"/>
  <c r="BB57" i="32"/>
  <c r="BB58" i="32"/>
  <c r="BB59" i="32"/>
  <c r="BB60" i="32"/>
  <c r="BB61" i="32"/>
  <c r="BB63" i="32"/>
  <c r="BB64" i="32"/>
  <c r="BB65" i="32"/>
  <c r="BB66" i="32"/>
  <c r="BB67" i="32"/>
  <c r="BB68" i="32"/>
  <c r="BB69" i="32"/>
  <c r="BB70" i="32"/>
  <c r="BB71" i="32"/>
  <c r="BB72" i="32"/>
  <c r="BB73" i="32"/>
  <c r="BB74" i="32"/>
  <c r="BB75" i="32"/>
  <c r="BB76" i="32"/>
  <c r="BB78" i="32"/>
  <c r="BB79" i="32"/>
  <c r="BB81" i="32"/>
  <c r="BB82" i="32"/>
  <c r="BB86" i="32"/>
  <c r="BB88" i="32"/>
  <c r="BB89" i="32"/>
  <c r="BB90" i="32"/>
  <c r="BB91" i="32"/>
  <c r="BB92" i="32"/>
  <c r="BB93" i="32"/>
  <c r="BB94" i="32"/>
  <c r="BB95" i="32"/>
  <c r="BB96" i="32"/>
  <c r="BB99" i="32"/>
  <c r="BB100" i="32"/>
  <c r="BB101" i="32"/>
  <c r="BB102" i="32"/>
  <c r="BB103" i="32"/>
  <c r="BB104" i="32"/>
  <c r="BB105" i="32"/>
  <c r="BB106" i="32"/>
  <c r="BB107" i="32"/>
  <c r="BB108" i="32"/>
  <c r="BB110" i="32"/>
  <c r="BB111" i="32"/>
  <c r="BB112" i="32"/>
  <c r="BB113" i="32"/>
  <c r="BB114" i="32"/>
  <c r="BB116" i="32"/>
  <c r="BB117" i="32"/>
  <c r="BB118" i="32"/>
  <c r="BB119" i="32"/>
  <c r="BB121" i="32"/>
  <c r="BB122" i="32"/>
  <c r="BB123" i="32"/>
  <c r="BB125" i="32"/>
  <c r="BB128" i="32"/>
  <c r="BB129" i="32"/>
  <c r="BB130" i="32"/>
  <c r="AZ16" i="32"/>
  <c r="AZ17" i="32"/>
  <c r="AZ23" i="32"/>
  <c r="AZ24" i="32"/>
  <c r="AZ25" i="32"/>
  <c r="AZ26" i="32"/>
  <c r="AZ27" i="32"/>
  <c r="AZ28" i="32"/>
  <c r="AZ29" i="32"/>
  <c r="AZ30" i="32"/>
  <c r="AZ31" i="32"/>
  <c r="AZ34" i="32"/>
  <c r="AZ35" i="32"/>
  <c r="AZ36" i="32"/>
  <c r="AZ37" i="32"/>
  <c r="AZ39" i="32"/>
  <c r="AZ40" i="32"/>
  <c r="AZ41" i="32"/>
  <c r="AZ43" i="32"/>
  <c r="AZ44" i="32"/>
  <c r="AZ46" i="32"/>
  <c r="AZ47" i="32"/>
  <c r="AZ48" i="32"/>
  <c r="AZ49" i="32"/>
  <c r="AZ50" i="32"/>
  <c r="AZ51" i="32"/>
  <c r="AZ52" i="32"/>
  <c r="AZ53" i="32"/>
  <c r="AZ55" i="32"/>
  <c r="AZ56" i="32"/>
  <c r="AZ57" i="32"/>
  <c r="AZ58" i="32"/>
  <c r="AZ59" i="32"/>
  <c r="AZ60" i="32"/>
  <c r="AZ61" i="32"/>
  <c r="AZ63" i="32"/>
  <c r="AZ64" i="32"/>
  <c r="AZ65" i="32"/>
  <c r="AZ66" i="32"/>
  <c r="AZ67" i="32"/>
  <c r="AZ68" i="32"/>
  <c r="AZ69" i="32"/>
  <c r="AZ70" i="32"/>
  <c r="AZ71" i="32"/>
  <c r="AZ72" i="32"/>
  <c r="AZ73" i="32"/>
  <c r="AZ74" i="32"/>
  <c r="AZ75" i="32"/>
  <c r="AZ76" i="32"/>
  <c r="AZ78" i="32"/>
  <c r="AZ79" i="32"/>
  <c r="AZ81" i="32"/>
  <c r="AZ82" i="32"/>
  <c r="AZ86" i="32"/>
  <c r="AZ88" i="32"/>
  <c r="AZ89" i="32"/>
  <c r="AZ90" i="32"/>
  <c r="AZ91" i="32"/>
  <c r="AZ92" i="32"/>
  <c r="AZ93" i="32"/>
  <c r="AZ94" i="32"/>
  <c r="AZ95" i="32"/>
  <c r="AZ96" i="32"/>
  <c r="AZ99" i="32"/>
  <c r="AZ100" i="32"/>
  <c r="AZ101" i="32"/>
  <c r="AZ102" i="32"/>
  <c r="AZ103" i="32"/>
  <c r="AZ104" i="32"/>
  <c r="AZ105" i="32"/>
  <c r="AZ106" i="32"/>
  <c r="AZ107" i="32"/>
  <c r="AZ108" i="32"/>
  <c r="AZ110" i="32"/>
  <c r="AZ111" i="32"/>
  <c r="AZ112" i="32"/>
  <c r="AZ113" i="32"/>
  <c r="AZ114" i="32"/>
  <c r="AZ116" i="32"/>
  <c r="AZ117" i="32"/>
  <c r="AZ118" i="32"/>
  <c r="AZ119" i="32"/>
  <c r="AZ121" i="32"/>
  <c r="AZ122" i="32"/>
  <c r="AZ123" i="32"/>
  <c r="AZ125" i="32"/>
  <c r="AZ127" i="32"/>
  <c r="AZ128" i="32"/>
  <c r="AZ129" i="32"/>
  <c r="AZ130" i="32"/>
  <c r="AX16" i="32"/>
  <c r="AX17" i="32"/>
  <c r="AX23" i="32"/>
  <c r="AX24" i="32"/>
  <c r="AX25" i="32"/>
  <c r="AX26" i="32"/>
  <c r="AX27" i="32"/>
  <c r="AX28" i="32"/>
  <c r="AX29" i="32"/>
  <c r="AX30" i="32"/>
  <c r="AX31" i="32"/>
  <c r="AX34" i="32"/>
  <c r="AX35" i="32"/>
  <c r="AX36" i="32"/>
  <c r="AX37" i="32"/>
  <c r="AX39" i="32"/>
  <c r="AX40" i="32"/>
  <c r="AX41" i="32"/>
  <c r="AX43" i="32"/>
  <c r="AX44" i="32"/>
  <c r="AX46" i="32"/>
  <c r="AX47" i="32"/>
  <c r="AX48" i="32"/>
  <c r="AX49" i="32"/>
  <c r="AX50" i="32"/>
  <c r="AX51" i="32"/>
  <c r="AX52" i="32"/>
  <c r="AX53" i="32"/>
  <c r="AX55" i="32"/>
  <c r="AX56" i="32"/>
  <c r="AX57" i="32"/>
  <c r="AX58" i="32"/>
  <c r="AX59" i="32"/>
  <c r="AX60" i="32"/>
  <c r="AX61" i="32"/>
  <c r="AX63" i="32"/>
  <c r="AX64" i="32"/>
  <c r="AX65" i="32"/>
  <c r="AX66" i="32"/>
  <c r="AX67" i="32"/>
  <c r="AX68" i="32"/>
  <c r="AX69" i="32"/>
  <c r="AX70" i="32"/>
  <c r="AX71" i="32"/>
  <c r="AX72" i="32"/>
  <c r="AX73" i="32"/>
  <c r="AX74" i="32"/>
  <c r="AX75" i="32"/>
  <c r="AX76" i="32"/>
  <c r="AX78" i="32"/>
  <c r="AX79" i="32"/>
  <c r="AX81" i="32"/>
  <c r="AX82" i="32"/>
  <c r="AX86" i="32"/>
  <c r="AX88" i="32"/>
  <c r="AX89" i="32"/>
  <c r="AX90" i="32"/>
  <c r="AX91" i="32"/>
  <c r="AX92" i="32"/>
  <c r="AX93" i="32"/>
  <c r="AX94" i="32"/>
  <c r="AX95" i="32"/>
  <c r="AX96" i="32"/>
  <c r="AX99" i="32"/>
  <c r="AX100" i="32"/>
  <c r="AX101" i="32"/>
  <c r="AX102" i="32"/>
  <c r="AX103" i="32"/>
  <c r="AX104" i="32"/>
  <c r="AX105" i="32"/>
  <c r="AX106" i="32"/>
  <c r="AX107" i="32"/>
  <c r="AX108" i="32"/>
  <c r="AX110" i="32"/>
  <c r="AX111" i="32"/>
  <c r="AX112" i="32"/>
  <c r="AX113" i="32"/>
  <c r="AX114" i="32"/>
  <c r="AX116" i="32"/>
  <c r="AX117" i="32"/>
  <c r="AX118" i="32"/>
  <c r="AX119" i="32"/>
  <c r="AX121" i="32"/>
  <c r="AX122" i="32"/>
  <c r="AX123" i="32"/>
  <c r="AX125" i="32"/>
  <c r="AX127" i="32"/>
  <c r="AX128" i="32"/>
  <c r="AX129" i="32"/>
  <c r="AX130" i="32"/>
  <c r="AV16" i="32"/>
  <c r="AV17" i="32"/>
  <c r="AV23" i="32"/>
  <c r="AV24" i="32"/>
  <c r="AV25" i="32"/>
  <c r="AV26" i="32"/>
  <c r="AV27" i="32"/>
  <c r="AV28" i="32"/>
  <c r="AV29" i="32"/>
  <c r="AV30" i="32"/>
  <c r="AV31" i="32"/>
  <c r="AV34" i="32"/>
  <c r="AV35" i="32"/>
  <c r="AV36" i="32"/>
  <c r="AV37" i="32"/>
  <c r="AV39" i="32"/>
  <c r="AV40" i="32"/>
  <c r="AV41" i="32"/>
  <c r="AV43" i="32"/>
  <c r="AV44" i="32"/>
  <c r="AV46" i="32"/>
  <c r="AV47" i="32"/>
  <c r="AV48" i="32"/>
  <c r="AV49" i="32"/>
  <c r="AV50" i="32"/>
  <c r="AV51" i="32"/>
  <c r="AV52" i="32"/>
  <c r="AV53" i="32"/>
  <c r="AV55" i="32"/>
  <c r="AV56" i="32"/>
  <c r="AV57" i="32"/>
  <c r="AV58" i="32"/>
  <c r="AV59" i="32"/>
  <c r="AV60" i="32"/>
  <c r="AV61" i="32"/>
  <c r="AV63" i="32"/>
  <c r="AV64" i="32"/>
  <c r="AV65" i="32"/>
  <c r="AV66" i="32"/>
  <c r="AV67" i="32"/>
  <c r="AV68" i="32"/>
  <c r="AV69" i="32"/>
  <c r="AV70" i="32"/>
  <c r="AV71" i="32"/>
  <c r="AV72" i="32"/>
  <c r="AV73" i="32"/>
  <c r="AV74" i="32"/>
  <c r="AV75" i="32"/>
  <c r="AV76" i="32"/>
  <c r="AV78" i="32"/>
  <c r="AV79" i="32"/>
  <c r="AV81" i="32"/>
  <c r="AV82" i="32"/>
  <c r="AV86" i="32"/>
  <c r="AV88" i="32"/>
  <c r="AV89" i="32"/>
  <c r="AV90" i="32"/>
  <c r="AV91" i="32"/>
  <c r="AV92" i="32"/>
  <c r="AV93" i="32"/>
  <c r="AV94" i="32"/>
  <c r="AV95" i="32"/>
  <c r="AV96" i="32"/>
  <c r="AV99" i="32"/>
  <c r="AV100" i="32"/>
  <c r="AV101" i="32"/>
  <c r="AV102" i="32"/>
  <c r="AV103" i="32"/>
  <c r="AV104" i="32"/>
  <c r="AV105" i="32"/>
  <c r="AV106" i="32"/>
  <c r="AV107" i="32"/>
  <c r="AV108" i="32"/>
  <c r="AV110" i="32"/>
  <c r="AV111" i="32"/>
  <c r="AV112" i="32"/>
  <c r="AV113" i="32"/>
  <c r="AV114" i="32"/>
  <c r="AV116" i="32"/>
  <c r="AV117" i="32"/>
  <c r="AV118" i="32"/>
  <c r="AV119" i="32"/>
  <c r="AV121" i="32"/>
  <c r="AV122" i="32"/>
  <c r="AV123" i="32"/>
  <c r="AV125" i="32"/>
  <c r="AV127" i="32"/>
  <c r="AV128" i="32"/>
  <c r="AV129" i="32"/>
  <c r="AV130" i="32"/>
  <c r="AT16" i="32"/>
  <c r="AT17" i="32"/>
  <c r="AT23" i="32"/>
  <c r="AT24" i="32"/>
  <c r="AT25" i="32"/>
  <c r="AT26" i="32"/>
  <c r="AT27" i="32"/>
  <c r="AT28" i="32"/>
  <c r="AT29" i="32"/>
  <c r="AT30" i="32"/>
  <c r="AT31" i="32"/>
  <c r="AT34" i="32"/>
  <c r="AT35" i="32"/>
  <c r="AT36" i="32"/>
  <c r="AT37" i="32"/>
  <c r="AT39" i="32"/>
  <c r="AT40" i="32"/>
  <c r="AT41" i="32"/>
  <c r="AT43" i="32"/>
  <c r="AT44" i="32"/>
  <c r="AT46" i="32"/>
  <c r="AT47" i="32"/>
  <c r="AT48" i="32"/>
  <c r="AT49" i="32"/>
  <c r="AT50" i="32"/>
  <c r="AT51" i="32"/>
  <c r="AT52" i="32"/>
  <c r="AT53" i="32"/>
  <c r="AT55" i="32"/>
  <c r="AT56" i="32"/>
  <c r="AT57" i="32"/>
  <c r="AT58" i="32"/>
  <c r="AT59" i="32"/>
  <c r="AT60" i="32"/>
  <c r="AT61" i="32"/>
  <c r="AT63" i="32"/>
  <c r="AT64" i="32"/>
  <c r="AT65" i="32"/>
  <c r="AT66" i="32"/>
  <c r="AT67" i="32"/>
  <c r="AT68" i="32"/>
  <c r="AT69" i="32"/>
  <c r="AT70" i="32"/>
  <c r="AT71" i="32"/>
  <c r="AT72" i="32"/>
  <c r="AT73" i="32"/>
  <c r="AT74" i="32"/>
  <c r="AT75" i="32"/>
  <c r="AT76" i="32"/>
  <c r="AT78" i="32"/>
  <c r="AT79" i="32"/>
  <c r="AT81" i="32"/>
  <c r="AT82" i="32"/>
  <c r="AT86" i="32"/>
  <c r="AT88" i="32"/>
  <c r="AT89" i="32"/>
  <c r="AT90" i="32"/>
  <c r="AT91" i="32"/>
  <c r="AT92" i="32"/>
  <c r="AT93" i="32"/>
  <c r="AT94" i="32"/>
  <c r="AT95" i="32"/>
  <c r="AT96" i="32"/>
  <c r="AT99" i="32"/>
  <c r="AT100" i="32"/>
  <c r="AT101" i="32"/>
  <c r="AT102" i="32"/>
  <c r="AT103" i="32"/>
  <c r="AT104" i="32"/>
  <c r="AT105" i="32"/>
  <c r="AT106" i="32"/>
  <c r="AT107" i="32"/>
  <c r="AT108" i="32"/>
  <c r="AT110" i="32"/>
  <c r="AT111" i="32"/>
  <c r="AT112" i="32"/>
  <c r="AT113" i="32"/>
  <c r="AT114" i="32"/>
  <c r="AT116" i="32"/>
  <c r="AT117" i="32"/>
  <c r="AT118" i="32"/>
  <c r="AT119" i="32"/>
  <c r="AT121" i="32"/>
  <c r="AT122" i="32"/>
  <c r="AT123" i="32"/>
  <c r="AT125" i="32"/>
  <c r="AT127" i="32"/>
  <c r="AT128" i="32"/>
  <c r="AT129" i="32"/>
  <c r="AT130" i="32"/>
  <c r="AR16" i="32"/>
  <c r="AR17" i="32"/>
  <c r="AR23" i="32"/>
  <c r="AR24" i="32"/>
  <c r="AR25" i="32"/>
  <c r="AR26" i="32"/>
  <c r="AR27" i="32"/>
  <c r="AR28" i="32"/>
  <c r="AR29" i="32"/>
  <c r="AR30" i="32"/>
  <c r="AR31" i="32"/>
  <c r="AR34" i="32"/>
  <c r="AR35" i="32"/>
  <c r="AR36" i="32"/>
  <c r="AR37" i="32"/>
  <c r="AR39" i="32"/>
  <c r="AR40" i="32"/>
  <c r="AR41" i="32"/>
  <c r="AR43" i="32"/>
  <c r="AR44" i="32"/>
  <c r="AR46" i="32"/>
  <c r="AR47" i="32"/>
  <c r="AR48" i="32"/>
  <c r="AR49" i="32"/>
  <c r="AR50" i="32"/>
  <c r="AR51" i="32"/>
  <c r="AR52" i="32"/>
  <c r="AR53" i="32"/>
  <c r="AR55" i="32"/>
  <c r="AR56" i="32"/>
  <c r="AR57" i="32"/>
  <c r="AR58" i="32"/>
  <c r="AR59" i="32"/>
  <c r="AR60" i="32"/>
  <c r="AR61" i="32"/>
  <c r="AR63" i="32"/>
  <c r="AR64" i="32"/>
  <c r="AR65" i="32"/>
  <c r="AR66" i="32"/>
  <c r="AR67" i="32"/>
  <c r="AR68" i="32"/>
  <c r="AR69" i="32"/>
  <c r="AR70" i="32"/>
  <c r="AR71" i="32"/>
  <c r="AR72" i="32"/>
  <c r="AR73" i="32"/>
  <c r="AR74" i="32"/>
  <c r="AR75" i="32"/>
  <c r="AR76" i="32"/>
  <c r="AR78" i="32"/>
  <c r="AR79" i="32"/>
  <c r="AR81" i="32"/>
  <c r="AR82" i="32"/>
  <c r="AR86" i="32"/>
  <c r="AR88" i="32"/>
  <c r="AR89" i="32"/>
  <c r="AR90" i="32"/>
  <c r="AR91" i="32"/>
  <c r="AR92" i="32"/>
  <c r="AR93" i="32"/>
  <c r="AR94" i="32"/>
  <c r="AR95" i="32"/>
  <c r="AR96" i="32"/>
  <c r="AR99" i="32"/>
  <c r="AR100" i="32"/>
  <c r="AR101" i="32"/>
  <c r="AR102" i="32"/>
  <c r="AR103" i="32"/>
  <c r="AR104" i="32"/>
  <c r="AR105" i="32"/>
  <c r="AR106" i="32"/>
  <c r="AR107" i="32"/>
  <c r="AR108" i="32"/>
  <c r="AR110" i="32"/>
  <c r="AR111" i="32"/>
  <c r="AR112" i="32"/>
  <c r="AR113" i="32"/>
  <c r="AR114" i="32"/>
  <c r="AR116" i="32"/>
  <c r="AR117" i="32"/>
  <c r="AR118" i="32"/>
  <c r="AR119" i="32"/>
  <c r="AR121" i="32"/>
  <c r="AR122" i="32"/>
  <c r="AR123" i="32"/>
  <c r="AR125" i="32"/>
  <c r="AR127" i="32"/>
  <c r="AR128" i="32"/>
  <c r="AR129" i="32"/>
  <c r="AR130" i="32"/>
  <c r="AP16" i="32"/>
  <c r="AP17" i="32"/>
  <c r="AP23" i="32"/>
  <c r="AP24" i="32"/>
  <c r="AP25" i="32"/>
  <c r="AP26" i="32"/>
  <c r="AP27" i="32"/>
  <c r="AP28" i="32"/>
  <c r="AP29" i="32"/>
  <c r="AP30" i="32"/>
  <c r="AP31" i="32"/>
  <c r="AP34" i="32"/>
  <c r="AP35" i="32"/>
  <c r="AP36" i="32"/>
  <c r="AP37" i="32"/>
  <c r="AP39" i="32"/>
  <c r="AP40" i="32"/>
  <c r="AP41" i="32"/>
  <c r="AP43" i="32"/>
  <c r="AP44" i="32"/>
  <c r="AP46" i="32"/>
  <c r="AP47" i="32"/>
  <c r="AP48" i="32"/>
  <c r="AP49" i="32"/>
  <c r="AP50" i="32"/>
  <c r="AP51" i="32"/>
  <c r="AP52" i="32"/>
  <c r="AP53" i="32"/>
  <c r="AP55" i="32"/>
  <c r="AP56" i="32"/>
  <c r="AP57" i="32"/>
  <c r="AP58" i="32"/>
  <c r="AP59" i="32"/>
  <c r="AP60" i="32"/>
  <c r="AP61" i="32"/>
  <c r="AP63" i="32"/>
  <c r="AP64" i="32"/>
  <c r="AP65" i="32"/>
  <c r="AP66" i="32"/>
  <c r="AP67" i="32"/>
  <c r="AP68" i="32"/>
  <c r="AP69" i="32"/>
  <c r="AP70" i="32"/>
  <c r="AP71" i="32"/>
  <c r="AP72" i="32"/>
  <c r="AP73" i="32"/>
  <c r="AP74" i="32"/>
  <c r="AP75" i="32"/>
  <c r="AP76" i="32"/>
  <c r="AP78" i="32"/>
  <c r="AP79" i="32"/>
  <c r="AP81" i="32"/>
  <c r="AP82" i="32"/>
  <c r="AP86" i="32"/>
  <c r="AP88" i="32"/>
  <c r="AP89" i="32"/>
  <c r="AP90" i="32"/>
  <c r="AP91" i="32"/>
  <c r="AP92" i="32"/>
  <c r="AP93" i="32"/>
  <c r="AP94" i="32"/>
  <c r="AP95" i="32"/>
  <c r="AP96" i="32"/>
  <c r="AP99" i="32"/>
  <c r="AP100" i="32"/>
  <c r="AP101" i="32"/>
  <c r="AP102" i="32"/>
  <c r="AP103" i="32"/>
  <c r="AP104" i="32"/>
  <c r="AP105" i="32"/>
  <c r="AP106" i="32"/>
  <c r="AP107" i="32"/>
  <c r="AP108" i="32"/>
  <c r="AP110" i="32"/>
  <c r="AP111" i="32"/>
  <c r="AP112" i="32"/>
  <c r="AP113" i="32"/>
  <c r="AP114" i="32"/>
  <c r="AP116" i="32"/>
  <c r="AP117" i="32"/>
  <c r="AP118" i="32"/>
  <c r="AP119" i="32"/>
  <c r="AP121" i="32"/>
  <c r="AP122" i="32"/>
  <c r="AP123" i="32"/>
  <c r="AP125" i="32"/>
  <c r="AP127" i="32"/>
  <c r="AP128" i="32"/>
  <c r="AP129" i="32"/>
  <c r="AP130" i="32"/>
  <c r="AN16" i="32"/>
  <c r="AN17" i="32"/>
  <c r="AN23" i="32"/>
  <c r="AN24" i="32"/>
  <c r="AN25" i="32"/>
  <c r="AN26" i="32"/>
  <c r="AN27" i="32"/>
  <c r="AN28" i="32"/>
  <c r="AN29" i="32"/>
  <c r="AN30" i="32"/>
  <c r="AN31" i="32"/>
  <c r="AN34" i="32"/>
  <c r="AN35" i="32"/>
  <c r="AN36" i="32"/>
  <c r="AN37" i="32"/>
  <c r="AN39" i="32"/>
  <c r="AN40" i="32"/>
  <c r="AN41" i="32"/>
  <c r="AN43" i="32"/>
  <c r="AN44" i="32"/>
  <c r="AN46" i="32"/>
  <c r="AN47" i="32"/>
  <c r="AN48" i="32"/>
  <c r="AN49" i="32"/>
  <c r="AN50" i="32"/>
  <c r="AN51" i="32"/>
  <c r="AN52" i="32"/>
  <c r="AN53" i="32"/>
  <c r="AN55" i="32"/>
  <c r="AN56" i="32"/>
  <c r="AN57" i="32"/>
  <c r="AN58" i="32"/>
  <c r="AN59" i="32"/>
  <c r="AN60" i="32"/>
  <c r="AN61" i="32"/>
  <c r="AN63" i="32"/>
  <c r="AN64" i="32"/>
  <c r="AN65" i="32"/>
  <c r="AN66" i="32"/>
  <c r="AN67" i="32"/>
  <c r="AN68" i="32"/>
  <c r="AN69" i="32"/>
  <c r="AN70" i="32"/>
  <c r="AN71" i="32"/>
  <c r="AN72" i="32"/>
  <c r="AN73" i="32"/>
  <c r="AN74" i="32"/>
  <c r="AN75" i="32"/>
  <c r="AN76" i="32"/>
  <c r="AN78" i="32"/>
  <c r="AN79" i="32"/>
  <c r="AN81" i="32"/>
  <c r="AN82" i="32"/>
  <c r="AN86" i="32"/>
  <c r="AN88" i="32"/>
  <c r="AN89" i="32"/>
  <c r="AN90" i="32"/>
  <c r="AN91" i="32"/>
  <c r="AN92" i="32"/>
  <c r="AN93" i="32"/>
  <c r="AN94" i="32"/>
  <c r="AN95" i="32"/>
  <c r="AN96" i="32"/>
  <c r="AN99" i="32"/>
  <c r="AN100" i="32"/>
  <c r="AN101" i="32"/>
  <c r="AN102" i="32"/>
  <c r="AN103" i="32"/>
  <c r="AN104" i="32"/>
  <c r="AN105" i="32"/>
  <c r="AN106" i="32"/>
  <c r="AN107" i="32"/>
  <c r="AN108" i="32"/>
  <c r="AN110" i="32"/>
  <c r="AN111" i="32"/>
  <c r="AN112" i="32"/>
  <c r="AN113" i="32"/>
  <c r="AN114" i="32"/>
  <c r="AN116" i="32"/>
  <c r="AN117" i="32"/>
  <c r="AN118" i="32"/>
  <c r="AN119" i="32"/>
  <c r="AN121" i="32"/>
  <c r="AN122" i="32"/>
  <c r="AN123" i="32"/>
  <c r="AN125" i="32"/>
  <c r="AN127" i="32"/>
  <c r="AN128" i="32"/>
  <c r="AN129" i="32"/>
  <c r="AN130" i="32"/>
  <c r="AL16" i="32"/>
  <c r="AL17" i="32"/>
  <c r="AL23" i="32"/>
  <c r="AL24" i="32"/>
  <c r="AL25" i="32"/>
  <c r="AL26" i="32"/>
  <c r="AL27" i="32"/>
  <c r="AL28" i="32"/>
  <c r="AL29" i="32"/>
  <c r="AL30" i="32"/>
  <c r="AL31" i="32"/>
  <c r="AL34" i="32"/>
  <c r="AL35" i="32"/>
  <c r="AL36" i="32"/>
  <c r="AL37" i="32"/>
  <c r="AL39" i="32"/>
  <c r="AL40" i="32"/>
  <c r="AL41" i="32"/>
  <c r="AL43" i="32"/>
  <c r="AL44" i="32"/>
  <c r="AL46" i="32"/>
  <c r="AL47" i="32"/>
  <c r="AL48" i="32"/>
  <c r="AL49" i="32"/>
  <c r="AL50" i="32"/>
  <c r="AL51" i="32"/>
  <c r="AL52" i="32"/>
  <c r="AL53" i="32"/>
  <c r="AL55" i="32"/>
  <c r="AL56" i="32"/>
  <c r="AL57" i="32"/>
  <c r="AL58" i="32"/>
  <c r="AL59" i="32"/>
  <c r="AL60" i="32"/>
  <c r="AL61" i="32"/>
  <c r="AL63" i="32"/>
  <c r="AL64" i="32"/>
  <c r="AL65" i="32"/>
  <c r="AL66" i="32"/>
  <c r="AL67" i="32"/>
  <c r="AL68" i="32"/>
  <c r="AL69" i="32"/>
  <c r="AL70" i="32"/>
  <c r="AL71" i="32"/>
  <c r="AL72" i="32"/>
  <c r="AL73" i="32"/>
  <c r="AL74" i="32"/>
  <c r="AL75" i="32"/>
  <c r="AL76" i="32"/>
  <c r="AL78" i="32"/>
  <c r="AL79" i="32"/>
  <c r="AL81" i="32"/>
  <c r="AL82" i="32"/>
  <c r="AL86" i="32"/>
  <c r="AL88" i="32"/>
  <c r="AL89" i="32"/>
  <c r="AL90" i="32"/>
  <c r="AL91" i="32"/>
  <c r="AL92" i="32"/>
  <c r="AL93" i="32"/>
  <c r="AL94" i="32"/>
  <c r="AL95" i="32"/>
  <c r="AL96" i="32"/>
  <c r="AL99" i="32"/>
  <c r="AL100" i="32"/>
  <c r="AL101" i="32"/>
  <c r="AL102" i="32"/>
  <c r="AL103" i="32"/>
  <c r="AL104" i="32"/>
  <c r="AL105" i="32"/>
  <c r="AL106" i="32"/>
  <c r="AL107" i="32"/>
  <c r="AL108" i="32"/>
  <c r="AL110" i="32"/>
  <c r="AL111" i="32"/>
  <c r="AL112" i="32"/>
  <c r="AL113" i="32"/>
  <c r="AL114" i="32"/>
  <c r="AL116" i="32"/>
  <c r="AL117" i="32"/>
  <c r="AL118" i="32"/>
  <c r="AL119" i="32"/>
  <c r="AL121" i="32"/>
  <c r="AL122" i="32"/>
  <c r="AL123" i="32"/>
  <c r="AL125" i="32"/>
  <c r="AL127" i="32"/>
  <c r="AL128" i="32"/>
  <c r="AL129" i="32"/>
  <c r="AL130" i="32"/>
  <c r="AJ16" i="32"/>
  <c r="AJ17" i="32"/>
  <c r="AJ23" i="32"/>
  <c r="AJ24" i="32"/>
  <c r="AJ25" i="32"/>
  <c r="AJ26" i="32"/>
  <c r="AJ27" i="32"/>
  <c r="AJ28" i="32"/>
  <c r="AJ29" i="32"/>
  <c r="AJ30" i="32"/>
  <c r="AJ31" i="32"/>
  <c r="AJ35" i="32"/>
  <c r="AJ36" i="32"/>
  <c r="AJ37" i="32"/>
  <c r="AJ39" i="32"/>
  <c r="AJ40" i="32"/>
  <c r="AJ41" i="32"/>
  <c r="AJ43" i="32"/>
  <c r="AJ44" i="32"/>
  <c r="AJ46" i="32"/>
  <c r="AJ47" i="32"/>
  <c r="AJ48" i="32"/>
  <c r="AJ49" i="32"/>
  <c r="AJ50" i="32"/>
  <c r="AJ51" i="32"/>
  <c r="AJ52" i="32"/>
  <c r="AJ53" i="32"/>
  <c r="AJ55" i="32"/>
  <c r="AJ56" i="32"/>
  <c r="AJ57" i="32"/>
  <c r="AJ58" i="32"/>
  <c r="AJ59" i="32"/>
  <c r="AJ60" i="32"/>
  <c r="AJ61" i="32"/>
  <c r="AJ63" i="32"/>
  <c r="AJ64" i="32"/>
  <c r="AJ65" i="32"/>
  <c r="AJ66" i="32"/>
  <c r="AJ67" i="32"/>
  <c r="AJ68" i="32"/>
  <c r="AJ69" i="32"/>
  <c r="AJ70" i="32"/>
  <c r="AJ71" i="32"/>
  <c r="AJ72" i="32"/>
  <c r="AJ73" i="32"/>
  <c r="AJ74" i="32"/>
  <c r="AJ75" i="32"/>
  <c r="AJ76" i="32"/>
  <c r="AJ78" i="32"/>
  <c r="AJ79" i="32"/>
  <c r="AJ81" i="32"/>
  <c r="AJ82" i="32"/>
  <c r="AJ86" i="32"/>
  <c r="AJ88" i="32"/>
  <c r="AJ89" i="32"/>
  <c r="AJ90" i="32"/>
  <c r="AJ91" i="32"/>
  <c r="AJ92" i="32"/>
  <c r="AJ93" i="32"/>
  <c r="AJ94" i="32"/>
  <c r="AJ95" i="32"/>
  <c r="AJ96" i="32"/>
  <c r="AJ99" i="32"/>
  <c r="AJ100" i="32"/>
  <c r="AJ101" i="32"/>
  <c r="AJ102" i="32"/>
  <c r="AJ103" i="32"/>
  <c r="AJ104" i="32"/>
  <c r="AJ105" i="32"/>
  <c r="AJ106" i="32"/>
  <c r="AJ107" i="32"/>
  <c r="AJ108" i="32"/>
  <c r="AJ110" i="32"/>
  <c r="AJ111" i="32"/>
  <c r="AJ112" i="32"/>
  <c r="AJ113" i="32"/>
  <c r="AJ114" i="32"/>
  <c r="AJ116" i="32"/>
  <c r="AJ117" i="32"/>
  <c r="AJ118" i="32"/>
  <c r="AJ119" i="32"/>
  <c r="AJ121" i="32"/>
  <c r="AJ122" i="32"/>
  <c r="AJ123" i="32"/>
  <c r="AJ125" i="32"/>
  <c r="AJ127" i="32"/>
  <c r="AJ128" i="32"/>
  <c r="AJ129" i="32"/>
  <c r="AJ130" i="32"/>
  <c r="AH16" i="32"/>
  <c r="AH17" i="32"/>
  <c r="AH23" i="32"/>
  <c r="AH24" i="32"/>
  <c r="AH25" i="32"/>
  <c r="AH26" i="32"/>
  <c r="AH27" i="32"/>
  <c r="AH28" i="32"/>
  <c r="AH29" i="32"/>
  <c r="AH30" i="32"/>
  <c r="AH31" i="32"/>
  <c r="AH34" i="32"/>
  <c r="AH35" i="32"/>
  <c r="AH36" i="32"/>
  <c r="AH37" i="32"/>
  <c r="AH39" i="32"/>
  <c r="AH40" i="32"/>
  <c r="AH41" i="32"/>
  <c r="AH43" i="32"/>
  <c r="AH44" i="32"/>
  <c r="AH46" i="32"/>
  <c r="AH47" i="32"/>
  <c r="AH48" i="32"/>
  <c r="AH49" i="32"/>
  <c r="AH50" i="32"/>
  <c r="AH51" i="32"/>
  <c r="AH52" i="32"/>
  <c r="AH53" i="32"/>
  <c r="AH56" i="32"/>
  <c r="AH57" i="32"/>
  <c r="AH58" i="32"/>
  <c r="AH59" i="32"/>
  <c r="AH60" i="32"/>
  <c r="AH61" i="32"/>
  <c r="AH63" i="32"/>
  <c r="AH64" i="32"/>
  <c r="AH65" i="32"/>
  <c r="AH66" i="32"/>
  <c r="AH67" i="32"/>
  <c r="AH68" i="32"/>
  <c r="AH69" i="32"/>
  <c r="AH70" i="32"/>
  <c r="AH71" i="32"/>
  <c r="AH72" i="32"/>
  <c r="AH73" i="32"/>
  <c r="AH74" i="32"/>
  <c r="AH75" i="32"/>
  <c r="AH76" i="32"/>
  <c r="AH78" i="32"/>
  <c r="AH79" i="32"/>
  <c r="AH81" i="32"/>
  <c r="AH82" i="32"/>
  <c r="AH86" i="32"/>
  <c r="AH88" i="32"/>
  <c r="AH89" i="32"/>
  <c r="AH90" i="32"/>
  <c r="AH91" i="32"/>
  <c r="AH92" i="32"/>
  <c r="AH93" i="32"/>
  <c r="AH94" i="32"/>
  <c r="AH95" i="32"/>
  <c r="AH96" i="32"/>
  <c r="AH99" i="32"/>
  <c r="AH100" i="32"/>
  <c r="AH101" i="32"/>
  <c r="AH102" i="32"/>
  <c r="AH103" i="32"/>
  <c r="AH104" i="32"/>
  <c r="AH105" i="32"/>
  <c r="AH106" i="32"/>
  <c r="AH107" i="32"/>
  <c r="AH108" i="32"/>
  <c r="AH110" i="32"/>
  <c r="AH111" i="32"/>
  <c r="AH112" i="32"/>
  <c r="AH113" i="32"/>
  <c r="AH114" i="32"/>
  <c r="AH116" i="32"/>
  <c r="AH117" i="32"/>
  <c r="AH118" i="32"/>
  <c r="AH119" i="32"/>
  <c r="AH121" i="32"/>
  <c r="AH122" i="32"/>
  <c r="AH123" i="32"/>
  <c r="AH125" i="32"/>
  <c r="AH127" i="32"/>
  <c r="AH128" i="32"/>
  <c r="AH129" i="32"/>
  <c r="AH130" i="32"/>
  <c r="AF16" i="32"/>
  <c r="AF17" i="32"/>
  <c r="AF23" i="32"/>
  <c r="AF24" i="32"/>
  <c r="AF26" i="32"/>
  <c r="AF27" i="32"/>
  <c r="AF28" i="32"/>
  <c r="AF29" i="32"/>
  <c r="AF30" i="32"/>
  <c r="AF31" i="32"/>
  <c r="AF34" i="32"/>
  <c r="AF35" i="32"/>
  <c r="AF36" i="32"/>
  <c r="AF37" i="32"/>
  <c r="AF39" i="32"/>
  <c r="AF40" i="32"/>
  <c r="AF41" i="32"/>
  <c r="AF43" i="32"/>
  <c r="AF44" i="32"/>
  <c r="AF46" i="32"/>
  <c r="AF47" i="32"/>
  <c r="AF48" i="32"/>
  <c r="AF49" i="32"/>
  <c r="AF50" i="32"/>
  <c r="AF51" i="32"/>
  <c r="AF52" i="32"/>
  <c r="AF53" i="32"/>
  <c r="AF55" i="32"/>
  <c r="AF56" i="32"/>
  <c r="AF57" i="32"/>
  <c r="AF58" i="32"/>
  <c r="AF59" i="32"/>
  <c r="AF60" i="32"/>
  <c r="AF61" i="32"/>
  <c r="AF63" i="32"/>
  <c r="AF64" i="32"/>
  <c r="AF65" i="32"/>
  <c r="AF66" i="32"/>
  <c r="AF67" i="32"/>
  <c r="AF68" i="32"/>
  <c r="AF69" i="32"/>
  <c r="AF70" i="32"/>
  <c r="AF71" i="32"/>
  <c r="AF72" i="32"/>
  <c r="AF73" i="32"/>
  <c r="AF74" i="32"/>
  <c r="AF75" i="32"/>
  <c r="AF76" i="32"/>
  <c r="AF78" i="32"/>
  <c r="AF79" i="32"/>
  <c r="AF81" i="32"/>
  <c r="AF82" i="32"/>
  <c r="AF86" i="32"/>
  <c r="AF88" i="32"/>
  <c r="AF89" i="32"/>
  <c r="AF90" i="32"/>
  <c r="AF91" i="32"/>
  <c r="AF92" i="32"/>
  <c r="AF93" i="32"/>
  <c r="AF94" i="32"/>
  <c r="AF95" i="32"/>
  <c r="AF96" i="32"/>
  <c r="AF99" i="32"/>
  <c r="AF100" i="32"/>
  <c r="AF101" i="32"/>
  <c r="AF102" i="32"/>
  <c r="AF103" i="32"/>
  <c r="AF104" i="32"/>
  <c r="AF105" i="32"/>
  <c r="AF106" i="32"/>
  <c r="AF107" i="32"/>
  <c r="AF108" i="32"/>
  <c r="AF110" i="32"/>
  <c r="AF111" i="32"/>
  <c r="AF112" i="32"/>
  <c r="AF113" i="32"/>
  <c r="AF114" i="32"/>
  <c r="AF116" i="32"/>
  <c r="AF117" i="32"/>
  <c r="AF118" i="32"/>
  <c r="AF119" i="32"/>
  <c r="AF121" i="32"/>
  <c r="AF122" i="32"/>
  <c r="AF123" i="32"/>
  <c r="AF125" i="32"/>
  <c r="AF127" i="32"/>
  <c r="AF128" i="32"/>
  <c r="AF129" i="32"/>
  <c r="AF130" i="32"/>
  <c r="AD16" i="32"/>
  <c r="AD17" i="32"/>
  <c r="AD23" i="32"/>
  <c r="AD24" i="32"/>
  <c r="AD25" i="32"/>
  <c r="AD26" i="32"/>
  <c r="AD27" i="32"/>
  <c r="AB16" i="32"/>
  <c r="AB17" i="32"/>
  <c r="AB23" i="32"/>
  <c r="AB24" i="32"/>
  <c r="AB25" i="32"/>
  <c r="AD28" i="32"/>
  <c r="AD29" i="32"/>
  <c r="AD30" i="32"/>
  <c r="AD31" i="32"/>
  <c r="AD34" i="32"/>
  <c r="AD35" i="32"/>
  <c r="AD36" i="32"/>
  <c r="AD37" i="32"/>
  <c r="AD39" i="32"/>
  <c r="AD40" i="32"/>
  <c r="AD41" i="32"/>
  <c r="AD43" i="32"/>
  <c r="AD44" i="32"/>
  <c r="AD46" i="32"/>
  <c r="AD47" i="32"/>
  <c r="AD48" i="32"/>
  <c r="AD49" i="32"/>
  <c r="AD50" i="32"/>
  <c r="AD51" i="32"/>
  <c r="AD52" i="32"/>
  <c r="AD53" i="32"/>
  <c r="AD55" i="32"/>
  <c r="AD56" i="32"/>
  <c r="AD57" i="32"/>
  <c r="AD58" i="32"/>
  <c r="AD59" i="32"/>
  <c r="AD60" i="32"/>
  <c r="AD61" i="32"/>
  <c r="AD63" i="32"/>
  <c r="AD64" i="32"/>
  <c r="AD65" i="32"/>
  <c r="AD66" i="32"/>
  <c r="AD67" i="32"/>
  <c r="AD68" i="32"/>
  <c r="AD69" i="32"/>
  <c r="AD70" i="32"/>
  <c r="AD71" i="32"/>
  <c r="AD72" i="32"/>
  <c r="AD73" i="32"/>
  <c r="AD74" i="32"/>
  <c r="AD75" i="32"/>
  <c r="AD76" i="32"/>
  <c r="AD78" i="32"/>
  <c r="AD79" i="32"/>
  <c r="AD81" i="32"/>
  <c r="AD82" i="32"/>
  <c r="AD86" i="32"/>
  <c r="AD88" i="32"/>
  <c r="AD89" i="32"/>
  <c r="AD90" i="32"/>
  <c r="AD91" i="32"/>
  <c r="AD92" i="32"/>
  <c r="AD93" i="32"/>
  <c r="AD94" i="32"/>
  <c r="AD95" i="32"/>
  <c r="AD96" i="32"/>
  <c r="AD99" i="32"/>
  <c r="AD100" i="32"/>
  <c r="AD101" i="32"/>
  <c r="AD102" i="32"/>
  <c r="AD103" i="32"/>
  <c r="AD104" i="32"/>
  <c r="AD105" i="32"/>
  <c r="AD106" i="32"/>
  <c r="AD107" i="32"/>
  <c r="AD108" i="32"/>
  <c r="AD110" i="32"/>
  <c r="AD111" i="32"/>
  <c r="AD112" i="32"/>
  <c r="AD113" i="32"/>
  <c r="AD114" i="32"/>
  <c r="AD116" i="32"/>
  <c r="AD117" i="32"/>
  <c r="AD118" i="32"/>
  <c r="AD119" i="32"/>
  <c r="AD121" i="32"/>
  <c r="AD122" i="32"/>
  <c r="AD123" i="32"/>
  <c r="AD125" i="32"/>
  <c r="AD127" i="32"/>
  <c r="AD128" i="32"/>
  <c r="AD129" i="32"/>
  <c r="AD130" i="32"/>
  <c r="AB26" i="32"/>
  <c r="AB27" i="32"/>
  <c r="AB28" i="32"/>
  <c r="AB29" i="32"/>
  <c r="AB30" i="32"/>
  <c r="AB31" i="32"/>
  <c r="AB34" i="32"/>
  <c r="AB35" i="32"/>
  <c r="AB36" i="32"/>
  <c r="AB37" i="32"/>
  <c r="AB39" i="32"/>
  <c r="AB40" i="32"/>
  <c r="AB41" i="32"/>
  <c r="AB43" i="32"/>
  <c r="AB44" i="32"/>
  <c r="AB46" i="32"/>
  <c r="AB47" i="32"/>
  <c r="AB48" i="32"/>
  <c r="AB49" i="32"/>
  <c r="AB50" i="32"/>
  <c r="AB51" i="32"/>
  <c r="AB52" i="32"/>
  <c r="AB53" i="32"/>
  <c r="AB55" i="32"/>
  <c r="AB56" i="32"/>
  <c r="AB57" i="32"/>
  <c r="AB58" i="32"/>
  <c r="AB59" i="32"/>
  <c r="AB60" i="32"/>
  <c r="AB61" i="32"/>
  <c r="AB63" i="32"/>
  <c r="AB64" i="32"/>
  <c r="AB65" i="32"/>
  <c r="AB66" i="32"/>
  <c r="AB67" i="32"/>
  <c r="AB68" i="32"/>
  <c r="AB69" i="32"/>
  <c r="AB70" i="32"/>
  <c r="AB71" i="32"/>
  <c r="AB72" i="32"/>
  <c r="AB73" i="32"/>
  <c r="AB74" i="32"/>
  <c r="AB75" i="32"/>
  <c r="AB76" i="32"/>
  <c r="AB78" i="32"/>
  <c r="AB79" i="32"/>
  <c r="AB81" i="32"/>
  <c r="AB82" i="32"/>
  <c r="AB86" i="32"/>
  <c r="AB88" i="32"/>
  <c r="AB89" i="32"/>
  <c r="AB90" i="32"/>
  <c r="AB91" i="32"/>
  <c r="AB92" i="32"/>
  <c r="AB93" i="32"/>
  <c r="AB94" i="32"/>
  <c r="AB95" i="32"/>
  <c r="AB96" i="32"/>
  <c r="AB99" i="32"/>
  <c r="AB100" i="32"/>
  <c r="AB101" i="32"/>
  <c r="AB102" i="32"/>
  <c r="AB103" i="32"/>
  <c r="AB104" i="32"/>
  <c r="AB105" i="32"/>
  <c r="AB106" i="32"/>
  <c r="AB107" i="32"/>
  <c r="AB108" i="32"/>
  <c r="AB110" i="32"/>
  <c r="AB111" i="32"/>
  <c r="AB112" i="32"/>
  <c r="AB113" i="32"/>
  <c r="AB114" i="32"/>
  <c r="AB116" i="32"/>
  <c r="AB117" i="32"/>
  <c r="AB118" i="32"/>
  <c r="AB119" i="32"/>
  <c r="AB121" i="32"/>
  <c r="AB122" i="32"/>
  <c r="AB123" i="32"/>
  <c r="AB125" i="32"/>
  <c r="AB127" i="32"/>
  <c r="AB128" i="32"/>
  <c r="AB129" i="32"/>
  <c r="AB130" i="32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BG4" i="28"/>
  <c r="BF4" i="28"/>
  <c r="BE4" i="28"/>
  <c r="BD4" i="28"/>
  <c r="BC4" i="28"/>
  <c r="BB4" i="28"/>
  <c r="BA4" i="28"/>
  <c r="AZ4" i="28"/>
  <c r="AY4" i="28"/>
  <c r="AX4" i="28"/>
  <c r="AW4" i="28"/>
  <c r="AV4" i="28"/>
  <c r="AU4" i="28"/>
  <c r="AT4" i="28"/>
  <c r="AS4" i="28"/>
  <c r="AR4" i="28"/>
  <c r="AQ4" i="28"/>
  <c r="AP4" i="28"/>
  <c r="AO4" i="28"/>
  <c r="AN4" i="28"/>
  <c r="AM4" i="28"/>
  <c r="AL4" i="28"/>
  <c r="AK4" i="28"/>
  <c r="AJ4" i="28"/>
  <c r="AI4" i="28"/>
  <c r="AH4" i="28"/>
  <c r="AG4" i="28"/>
  <c r="AF4" i="28"/>
  <c r="AE4" i="28"/>
  <c r="AD4" i="28"/>
  <c r="AC4" i="28"/>
  <c r="AB4" i="28"/>
  <c r="AA4" i="28"/>
  <c r="BG5" i="37"/>
  <c r="BF5" i="37"/>
  <c r="BE5" i="37"/>
  <c r="BD5" i="37"/>
  <c r="BC5" i="37"/>
  <c r="BB5" i="37"/>
  <c r="BA5" i="37"/>
  <c r="AZ5" i="37"/>
  <c r="AY5" i="37"/>
  <c r="AX5" i="37"/>
  <c r="AW5" i="37"/>
  <c r="AV5" i="37"/>
  <c r="AU5" i="37"/>
  <c r="AT5" i="37"/>
  <c r="AS5" i="37"/>
  <c r="AR5" i="37"/>
  <c r="AQ5" i="37"/>
  <c r="AP5" i="37"/>
  <c r="AO5" i="37"/>
  <c r="AN5" i="37"/>
  <c r="AM5" i="37"/>
  <c r="AL5" i="37"/>
  <c r="AK5" i="37"/>
  <c r="AJ5" i="37"/>
  <c r="AI5" i="37"/>
  <c r="AH5" i="37"/>
  <c r="AG5" i="37"/>
  <c r="AF5" i="37"/>
  <c r="AE5" i="37"/>
  <c r="AD5" i="37"/>
  <c r="AC5" i="37"/>
  <c r="AB5" i="37"/>
  <c r="AA5" i="37"/>
  <c r="BH4" i="38"/>
  <c r="BG4" i="38"/>
  <c r="BF4" i="38"/>
  <c r="BE4" i="38"/>
  <c r="BD4" i="38"/>
  <c r="BC4" i="38"/>
  <c r="BB4" i="38"/>
  <c r="BA4" i="38"/>
  <c r="AZ4" i="38"/>
  <c r="AY4" i="38"/>
  <c r="AX4" i="38"/>
  <c r="AW4" i="38"/>
  <c r="AV4" i="38"/>
  <c r="AU4" i="38"/>
  <c r="AT4" i="38"/>
  <c r="AS4" i="38"/>
  <c r="AR4" i="38"/>
  <c r="AQ4" i="38"/>
  <c r="AP4" i="38"/>
  <c r="AO4" i="38"/>
  <c r="AN4" i="38"/>
  <c r="AM4" i="38"/>
  <c r="AL4" i="38"/>
  <c r="AK4" i="38"/>
  <c r="AJ4" i="38"/>
  <c r="AI4" i="38"/>
  <c r="AH4" i="38"/>
  <c r="AG4" i="38"/>
  <c r="AF4" i="38"/>
  <c r="AE4" i="38"/>
  <c r="AD4" i="38"/>
  <c r="AC4" i="38"/>
  <c r="AB4" i="38"/>
  <c r="BG4" i="34"/>
  <c r="BF4" i="34"/>
  <c r="BE4" i="34"/>
  <c r="BD4" i="34"/>
  <c r="BC4" i="34"/>
  <c r="BB4" i="34"/>
  <c r="BA4" i="34"/>
  <c r="AZ4" i="34"/>
  <c r="AY4" i="34"/>
  <c r="AX4" i="34"/>
  <c r="AW4" i="34"/>
  <c r="AV4" i="34"/>
  <c r="AU4" i="34"/>
  <c r="AT4" i="34"/>
  <c r="AS4" i="34"/>
  <c r="AR4" i="34"/>
  <c r="AQ4" i="34"/>
  <c r="AP4" i="34"/>
  <c r="AO4" i="34"/>
  <c r="AN4" i="34"/>
  <c r="AM4" i="34"/>
  <c r="AL4" i="34"/>
  <c r="AK4" i="34"/>
  <c r="AJ4" i="34"/>
  <c r="AI4" i="34"/>
  <c r="AH4" i="34"/>
  <c r="AG4" i="34"/>
  <c r="AF4" i="34"/>
  <c r="AE4" i="34"/>
  <c r="AD4" i="34"/>
  <c r="AC4" i="34"/>
  <c r="AB4" i="34"/>
  <c r="AA4" i="34"/>
  <c r="BG4" i="33"/>
  <c r="BF4" i="33"/>
  <c r="BE4" i="33"/>
  <c r="BD4" i="33"/>
  <c r="BC4" i="33"/>
  <c r="BB4" i="33"/>
  <c r="BA4" i="33"/>
  <c r="AZ4" i="33"/>
  <c r="AY4" i="33"/>
  <c r="AX4" i="33"/>
  <c r="AW4" i="33"/>
  <c r="AV4" i="33"/>
  <c r="AU4" i="33"/>
  <c r="AT4" i="33"/>
  <c r="AS4" i="33"/>
  <c r="AR4" i="33"/>
  <c r="AQ4" i="33"/>
  <c r="AP4" i="33"/>
  <c r="AO4" i="33"/>
  <c r="AN4" i="33"/>
  <c r="AM4" i="33"/>
  <c r="AL4" i="33"/>
  <c r="AK4" i="33"/>
  <c r="AJ4" i="33"/>
  <c r="AI4" i="33"/>
  <c r="AH4" i="33"/>
  <c r="AG4" i="33"/>
  <c r="AF4" i="33"/>
  <c r="AE4" i="33"/>
  <c r="AD4" i="33"/>
  <c r="AC4" i="33"/>
  <c r="AB4" i="33"/>
  <c r="AA4" i="33"/>
  <c r="AC5" i="32"/>
  <c r="AD5" i="32"/>
  <c r="AE5" i="32"/>
  <c r="AF5" i="32"/>
  <c r="AG5" i="32"/>
  <c r="AH5" i="32"/>
  <c r="AI5" i="32"/>
  <c r="AJ5" i="32"/>
  <c r="AK5" i="32"/>
  <c r="AL5" i="32"/>
  <c r="AM5" i="32"/>
  <c r="AN5" i="32"/>
  <c r="AO5" i="32"/>
  <c r="AP5" i="32"/>
  <c r="AQ5" i="32"/>
  <c r="AR5" i="32"/>
  <c r="AS5" i="32"/>
  <c r="AT5" i="32"/>
  <c r="AU5" i="32"/>
  <c r="AV5" i="32"/>
  <c r="AW5" i="32"/>
  <c r="AX5" i="32"/>
  <c r="AY5" i="32"/>
  <c r="AZ5" i="32"/>
  <c r="BA5" i="32"/>
  <c r="BB5" i="32"/>
  <c r="BC5" i="32"/>
  <c r="BD5" i="32"/>
  <c r="BE5" i="32"/>
  <c r="BF5" i="32"/>
  <c r="BG5" i="32"/>
  <c r="BH5" i="32"/>
  <c r="AB5" i="32"/>
  <c r="BK15" i="32" l="1"/>
  <c r="R115" i="32"/>
  <c r="V76" i="32"/>
  <c r="Z76" i="32" s="1"/>
  <c r="T76" i="32"/>
  <c r="U76" i="32"/>
  <c r="S76" i="32"/>
  <c r="W76" i="32" s="1"/>
  <c r="H108" i="32"/>
  <c r="BQ108" i="32" s="1"/>
  <c r="BS108" i="32" s="1"/>
  <c r="BW108" i="32" s="1"/>
  <c r="V108" i="32"/>
  <c r="Z108" i="32" s="1"/>
  <c r="U108" i="32"/>
  <c r="Y108" i="32" s="1"/>
  <c r="S108" i="32"/>
  <c r="W108" i="32" s="1"/>
  <c r="T108" i="32"/>
  <c r="X108" i="32" s="1"/>
  <c r="T75" i="32"/>
  <c r="X75" i="32" s="1"/>
  <c r="U75" i="32"/>
  <c r="Y75" i="32" s="1"/>
  <c r="S75" i="32"/>
  <c r="W75" i="32" s="1"/>
  <c r="V75" i="32"/>
  <c r="Z75" i="32" s="1"/>
  <c r="H105" i="32"/>
  <c r="BQ105" i="32" s="1"/>
  <c r="BS105" i="32" s="1"/>
  <c r="BW105" i="32" s="1"/>
  <c r="V105" i="32"/>
  <c r="Z105" i="32" s="1"/>
  <c r="U105" i="32"/>
  <c r="Y105" i="32" s="1"/>
  <c r="T105" i="32"/>
  <c r="X105" i="32" s="1"/>
  <c r="S105" i="32"/>
  <c r="W105" i="32" s="1"/>
  <c r="H130" i="32"/>
  <c r="S130" i="32"/>
  <c r="W130" i="32" s="1"/>
  <c r="T130" i="32"/>
  <c r="U130" i="32"/>
  <c r="V130" i="32"/>
  <c r="Z130" i="32" s="1"/>
  <c r="H107" i="32"/>
  <c r="BQ107" i="32" s="1"/>
  <c r="BS107" i="32" s="1"/>
  <c r="BW107" i="32" s="1"/>
  <c r="T107" i="32"/>
  <c r="X107" i="32" s="1"/>
  <c r="U107" i="32"/>
  <c r="Y107" i="32" s="1"/>
  <c r="S107" i="32"/>
  <c r="W107" i="32" s="1"/>
  <c r="V107" i="32"/>
  <c r="Z107" i="32" s="1"/>
  <c r="H106" i="32"/>
  <c r="BQ106" i="32" s="1"/>
  <c r="BS106" i="32" s="1"/>
  <c r="BW106" i="32" s="1"/>
  <c r="S106" i="32"/>
  <c r="W106" i="32" s="1"/>
  <c r="V106" i="32"/>
  <c r="Z106" i="32" s="1"/>
  <c r="T106" i="32"/>
  <c r="X106" i="32" s="1"/>
  <c r="U106" i="32"/>
  <c r="Y106" i="32" s="1"/>
  <c r="BK77" i="32"/>
  <c r="BJ49" i="34"/>
  <c r="BJ26" i="33"/>
  <c r="AC15" i="34"/>
  <c r="AG15" i="34"/>
  <c r="AM15" i="34"/>
  <c r="AS15" i="34"/>
  <c r="AY15" i="34"/>
  <c r="BF59" i="34"/>
  <c r="BN112" i="32"/>
  <c r="BN73" i="32"/>
  <c r="AJ33" i="32"/>
  <c r="BN129" i="32"/>
  <c r="BN121" i="32"/>
  <c r="BN113" i="32"/>
  <c r="BN106" i="32"/>
  <c r="BN100" i="32"/>
  <c r="BN92" i="32"/>
  <c r="BN82" i="32"/>
  <c r="BN74" i="32"/>
  <c r="BN68" i="32"/>
  <c r="BN60" i="32"/>
  <c r="BN53" i="32"/>
  <c r="BN47" i="32"/>
  <c r="BN39" i="32"/>
  <c r="BN30" i="32"/>
  <c r="BN24" i="32"/>
  <c r="AK15" i="34"/>
  <c r="AQ15" i="34"/>
  <c r="AW15" i="34"/>
  <c r="BC15" i="34"/>
  <c r="BN119" i="32"/>
  <c r="BN81" i="32"/>
  <c r="BN46" i="32"/>
  <c r="BN52" i="32"/>
  <c r="BN50" i="32"/>
  <c r="BN127" i="32"/>
  <c r="BN118" i="32"/>
  <c r="BN111" i="32"/>
  <c r="BN104" i="32"/>
  <c r="BN96" i="32"/>
  <c r="BN90" i="32"/>
  <c r="BN79" i="32"/>
  <c r="BN72" i="32"/>
  <c r="BN66" i="32"/>
  <c r="BN58" i="32"/>
  <c r="BN44" i="32"/>
  <c r="BN36" i="32"/>
  <c r="BN17" i="32"/>
  <c r="BI11" i="34"/>
  <c r="BH15" i="34"/>
  <c r="BH59" i="34" s="1"/>
  <c r="BE15" i="34"/>
  <c r="BN99" i="32"/>
  <c r="BN59" i="32"/>
  <c r="BN23" i="32"/>
  <c r="BN125" i="32"/>
  <c r="BN117" i="32"/>
  <c r="BN110" i="32"/>
  <c r="BN103" i="32"/>
  <c r="BN95" i="32"/>
  <c r="BN89" i="32"/>
  <c r="BN78" i="32"/>
  <c r="BN71" i="32"/>
  <c r="BN57" i="32"/>
  <c r="BN43" i="32"/>
  <c r="BN35" i="32"/>
  <c r="AA15" i="34"/>
  <c r="BN65" i="32"/>
  <c r="BN105" i="32"/>
  <c r="BN67" i="32"/>
  <c r="BN29" i="32"/>
  <c r="BN63" i="32"/>
  <c r="BN123" i="32"/>
  <c r="BN116" i="32"/>
  <c r="BN108" i="32"/>
  <c r="BN102" i="32"/>
  <c r="BN94" i="32"/>
  <c r="BN88" i="32"/>
  <c r="BN76" i="32"/>
  <c r="BN70" i="32"/>
  <c r="BN64" i="32"/>
  <c r="BN56" i="32"/>
  <c r="BN49" i="32"/>
  <c r="BN41" i="32"/>
  <c r="BN34" i="32"/>
  <c r="BN26" i="32"/>
  <c r="BN42" i="32"/>
  <c r="AI15" i="34"/>
  <c r="AO15" i="34"/>
  <c r="AU15" i="34"/>
  <c r="BA15" i="34"/>
  <c r="BG15" i="34"/>
  <c r="BN51" i="32"/>
  <c r="BN128" i="32"/>
  <c r="BN91" i="32"/>
  <c r="BN37" i="32"/>
  <c r="BN130" i="32"/>
  <c r="BN122" i="32"/>
  <c r="BN114" i="32"/>
  <c r="BN107" i="32"/>
  <c r="BN101" i="32"/>
  <c r="BN93" i="32"/>
  <c r="BN86" i="32"/>
  <c r="BN75" i="32"/>
  <c r="BN69" i="32"/>
  <c r="BN61" i="32"/>
  <c r="BN55" i="32"/>
  <c r="BN48" i="32"/>
  <c r="BN40" i="32"/>
  <c r="BN31" i="32"/>
  <c r="AV33" i="32"/>
  <c r="BN28" i="32"/>
  <c r="BN54" i="32"/>
  <c r="BN27" i="32"/>
  <c r="BH33" i="32"/>
  <c r="AN33" i="32"/>
  <c r="AZ33" i="32"/>
  <c r="BJ33" i="32"/>
  <c r="AP33" i="32"/>
  <c r="BB33" i="32"/>
  <c r="AL33" i="32"/>
  <c r="AB33" i="32"/>
  <c r="AR33" i="32"/>
  <c r="BD33" i="32"/>
  <c r="AX33" i="32"/>
  <c r="AE25" i="32"/>
  <c r="AD33" i="32"/>
  <c r="AH33" i="32"/>
  <c r="AT33" i="32"/>
  <c r="BF33" i="32"/>
  <c r="R21" i="33"/>
  <c r="S21" i="33"/>
  <c r="T21" i="33"/>
  <c r="AP109" i="32"/>
  <c r="AX109" i="32"/>
  <c r="BF109" i="32"/>
  <c r="AD109" i="32"/>
  <c r="AF109" i="32"/>
  <c r="AJ109" i="32"/>
  <c r="AR109" i="32"/>
  <c r="AZ109" i="32"/>
  <c r="BH109" i="32"/>
  <c r="AB109" i="32"/>
  <c r="AL109" i="32"/>
  <c r="AT109" i="32"/>
  <c r="BB109" i="32"/>
  <c r="BJ109" i="32"/>
  <c r="AH109" i="32"/>
  <c r="AN109" i="32"/>
  <c r="AV109" i="32"/>
  <c r="BD109" i="32"/>
  <c r="BL100" i="32"/>
  <c r="BL94" i="32"/>
  <c r="BL90" i="32"/>
  <c r="BL82" i="32"/>
  <c r="BL76" i="32"/>
  <c r="BL72" i="32"/>
  <c r="BL68" i="32"/>
  <c r="BL65" i="32"/>
  <c r="BL60" i="32"/>
  <c r="BL56" i="32"/>
  <c r="BL51" i="32"/>
  <c r="BL47" i="32"/>
  <c r="BL41" i="32"/>
  <c r="BL36" i="32"/>
  <c r="BL30" i="32"/>
  <c r="F13" i="33"/>
  <c r="F18" i="33" s="1"/>
  <c r="BJ22" i="33"/>
  <c r="BQ98" i="32"/>
  <c r="BS98" i="32" s="1"/>
  <c r="BW98" i="32" s="1"/>
  <c r="F25" i="33"/>
  <c r="BK19" i="33"/>
  <c r="AD62" i="32"/>
  <c r="AH62" i="32"/>
  <c r="AJ62" i="32"/>
  <c r="AL62" i="32"/>
  <c r="AN62" i="32"/>
  <c r="AP62" i="32"/>
  <c r="AR62" i="32"/>
  <c r="AT62" i="32"/>
  <c r="AV62" i="32"/>
  <c r="AX62" i="32"/>
  <c r="AZ62" i="32"/>
  <c r="BB62" i="32"/>
  <c r="BD62" i="32"/>
  <c r="BF62" i="32"/>
  <c r="BH62" i="32"/>
  <c r="BJ62" i="32"/>
  <c r="R84" i="32"/>
  <c r="AB62" i="32"/>
  <c r="AD45" i="32"/>
  <c r="BQ97" i="32"/>
  <c r="BS97" i="32" s="1"/>
  <c r="BW97" i="32" s="1"/>
  <c r="AF62" i="32"/>
  <c r="T26" i="34"/>
  <c r="S26" i="34"/>
  <c r="S21" i="34"/>
  <c r="T21" i="34"/>
  <c r="T18" i="34"/>
  <c r="S18" i="34"/>
  <c r="T24" i="34"/>
  <c r="S24" i="34"/>
  <c r="S19" i="34"/>
  <c r="T19" i="34"/>
  <c r="S25" i="34"/>
  <c r="T25" i="34"/>
  <c r="T20" i="34"/>
  <c r="S20" i="34"/>
  <c r="AF45" i="32"/>
  <c r="I108" i="32"/>
  <c r="H75" i="32"/>
  <c r="N75" i="32" s="1"/>
  <c r="S59" i="32"/>
  <c r="W59" i="32" s="1"/>
  <c r="T59" i="32"/>
  <c r="X59" i="32" s="1"/>
  <c r="U59" i="32"/>
  <c r="Y59" i="32" s="1"/>
  <c r="H59" i="32"/>
  <c r="V59" i="32"/>
  <c r="Z59" i="32" s="1"/>
  <c r="BK10" i="33"/>
  <c r="BK27" i="33"/>
  <c r="AB45" i="32"/>
  <c r="S44" i="32"/>
  <c r="W44" i="32" s="1"/>
  <c r="T44" i="32"/>
  <c r="X44" i="32" s="1"/>
  <c r="U44" i="32"/>
  <c r="Y44" i="32" s="1"/>
  <c r="V44" i="32"/>
  <c r="Z44" i="32" s="1"/>
  <c r="H44" i="32"/>
  <c r="BO44" i="32" s="1"/>
  <c r="BS44" i="32" s="1"/>
  <c r="S54" i="32"/>
  <c r="W54" i="32" s="1"/>
  <c r="T54" i="32"/>
  <c r="X54" i="32" s="1"/>
  <c r="U54" i="32"/>
  <c r="Y54" i="32" s="1"/>
  <c r="V54" i="32"/>
  <c r="Z54" i="32" s="1"/>
  <c r="H54" i="32"/>
  <c r="BO54" i="32" s="1"/>
  <c r="S42" i="32"/>
  <c r="W42" i="32" s="1"/>
  <c r="T42" i="32"/>
  <c r="X42" i="32" s="1"/>
  <c r="U42" i="32"/>
  <c r="Y42" i="32" s="1"/>
  <c r="V42" i="32"/>
  <c r="Z42" i="32" s="1"/>
  <c r="H42" i="32"/>
  <c r="BO42" i="32" s="1"/>
  <c r="BS42" i="32" s="1"/>
  <c r="AH45" i="32"/>
  <c r="AJ45" i="32"/>
  <c r="AL45" i="32"/>
  <c r="AN45" i="32"/>
  <c r="AP45" i="32"/>
  <c r="AR45" i="32"/>
  <c r="AT45" i="32"/>
  <c r="AV45" i="32"/>
  <c r="AX45" i="32"/>
  <c r="AZ45" i="32"/>
  <c r="BB45" i="32"/>
  <c r="BD45" i="32"/>
  <c r="BF45" i="32"/>
  <c r="BH45" i="32"/>
  <c r="BJ45" i="32"/>
  <c r="Q106" i="32"/>
  <c r="S61" i="32"/>
  <c r="W61" i="32" s="1"/>
  <c r="T61" i="32"/>
  <c r="X61" i="32" s="1"/>
  <c r="U61" i="32"/>
  <c r="Y61" i="32" s="1"/>
  <c r="V61" i="32"/>
  <c r="Z61" i="32" s="1"/>
  <c r="H61" i="32"/>
  <c r="V39" i="32"/>
  <c r="Z39" i="32" s="1"/>
  <c r="U39" i="32"/>
  <c r="Y39" i="32" s="1"/>
  <c r="T39" i="32"/>
  <c r="X39" i="32" s="1"/>
  <c r="S39" i="32"/>
  <c r="W39" i="32" s="1"/>
  <c r="H39" i="32"/>
  <c r="Q105" i="32"/>
  <c r="S60" i="32"/>
  <c r="W60" i="32" s="1"/>
  <c r="T60" i="32"/>
  <c r="X60" i="32" s="1"/>
  <c r="U60" i="32"/>
  <c r="Y60" i="32" s="1"/>
  <c r="V60" i="32"/>
  <c r="Z60" i="32" s="1"/>
  <c r="H60" i="32"/>
  <c r="V34" i="32"/>
  <c r="Z34" i="32" s="1"/>
  <c r="U34" i="32"/>
  <c r="Y34" i="32" s="1"/>
  <c r="T34" i="32"/>
  <c r="X34" i="32" s="1"/>
  <c r="S34" i="32"/>
  <c r="W34" i="32" s="1"/>
  <c r="X76" i="32"/>
  <c r="Y76" i="32"/>
  <c r="H76" i="32"/>
  <c r="N76" i="32" s="1"/>
  <c r="R83" i="32"/>
  <c r="BK23" i="33"/>
  <c r="BK11" i="33"/>
  <c r="BK15" i="33"/>
  <c r="BL16" i="32"/>
  <c r="BL121" i="32"/>
  <c r="BL116" i="32"/>
  <c r="BL111" i="32"/>
  <c r="BL106" i="32"/>
  <c r="BK44" i="34"/>
  <c r="BK33" i="33"/>
  <c r="BK34" i="33" s="1"/>
  <c r="BK16" i="34"/>
  <c r="J98" i="32"/>
  <c r="Q98" i="32"/>
  <c r="Q80" i="32"/>
  <c r="I98" i="32"/>
  <c r="I80" i="32"/>
  <c r="J80" i="32"/>
  <c r="AZ38" i="32"/>
  <c r="BQ80" i="32"/>
  <c r="BS80" i="32" s="1"/>
  <c r="BW80" i="32" s="1"/>
  <c r="J97" i="32"/>
  <c r="BL112" i="32"/>
  <c r="BL107" i="32"/>
  <c r="BL95" i="32"/>
  <c r="BL78" i="32"/>
  <c r="BL52" i="32"/>
  <c r="BL37" i="32"/>
  <c r="BL54" i="32"/>
  <c r="Q97" i="32"/>
  <c r="BL128" i="32"/>
  <c r="BL117" i="32"/>
  <c r="BL103" i="32"/>
  <c r="BL91" i="32"/>
  <c r="BL73" i="32"/>
  <c r="BL61" i="32"/>
  <c r="BL48" i="32"/>
  <c r="BL27" i="32"/>
  <c r="BL129" i="32"/>
  <c r="BL123" i="32"/>
  <c r="BL118" i="32"/>
  <c r="BL113" i="32"/>
  <c r="BL108" i="32"/>
  <c r="BL104" i="32"/>
  <c r="BL101" i="32"/>
  <c r="BL96" i="32"/>
  <c r="BL92" i="32"/>
  <c r="BL70" i="32"/>
  <c r="BL66" i="32"/>
  <c r="BL58" i="32"/>
  <c r="BL49" i="32"/>
  <c r="BL44" i="32"/>
  <c r="BL28" i="32"/>
  <c r="BL23" i="32"/>
  <c r="AL38" i="32"/>
  <c r="BB38" i="32"/>
  <c r="I97" i="32"/>
  <c r="BL122" i="32"/>
  <c r="BL86" i="32"/>
  <c r="BL69" i="32"/>
  <c r="BL57" i="32"/>
  <c r="BL43" i="32"/>
  <c r="BL130" i="32"/>
  <c r="BL125" i="32"/>
  <c r="BL119" i="32"/>
  <c r="BL114" i="32"/>
  <c r="BL110" i="32"/>
  <c r="BL105" i="32"/>
  <c r="BL102" i="32"/>
  <c r="BL99" i="32"/>
  <c r="BL93" i="32"/>
  <c r="BL81" i="32"/>
  <c r="BL75" i="32"/>
  <c r="BL71" i="32"/>
  <c r="BL67" i="32"/>
  <c r="BL64" i="32"/>
  <c r="BL59" i="32"/>
  <c r="BL55" i="32"/>
  <c r="BL50" i="32"/>
  <c r="BL46" i="32"/>
  <c r="BL29" i="32"/>
  <c r="BH38" i="32"/>
  <c r="AT38" i="32"/>
  <c r="BJ38" i="32"/>
  <c r="AV38" i="32"/>
  <c r="AP38" i="32"/>
  <c r="AX38" i="32"/>
  <c r="BL74" i="32"/>
  <c r="BK23" i="34"/>
  <c r="BK37" i="34"/>
  <c r="BJ22" i="34"/>
  <c r="F17" i="34"/>
  <c r="AE13" i="34"/>
  <c r="BK13" i="34" s="1"/>
  <c r="BJ13" i="34"/>
  <c r="BJ12" i="34"/>
  <c r="BI12" i="34"/>
  <c r="F31" i="33"/>
  <c r="BL42" i="32"/>
  <c r="BL24" i="32"/>
  <c r="AH87" i="32"/>
  <c r="AJ126" i="32"/>
  <c r="AN77" i="32"/>
  <c r="AN38" i="32"/>
  <c r="AP87" i="32"/>
  <c r="AR126" i="32"/>
  <c r="AV77" i="32"/>
  <c r="AX87" i="32"/>
  <c r="AZ126" i="32"/>
  <c r="BD77" i="32"/>
  <c r="BF87" i="32"/>
  <c r="BH126" i="32"/>
  <c r="AD126" i="32"/>
  <c r="AF126" i="32"/>
  <c r="AH77" i="32"/>
  <c r="AJ87" i="32"/>
  <c r="AL126" i="32"/>
  <c r="AP77" i="32"/>
  <c r="AR87" i="32"/>
  <c r="AT126" i="32"/>
  <c r="AX77" i="32"/>
  <c r="AZ87" i="32"/>
  <c r="BB126" i="32"/>
  <c r="BF77" i="32"/>
  <c r="BF38" i="32"/>
  <c r="BH87" i="32"/>
  <c r="BJ126" i="32"/>
  <c r="AB87" i="32"/>
  <c r="AD87" i="32"/>
  <c r="AF87" i="32"/>
  <c r="AJ77" i="32"/>
  <c r="AL87" i="32"/>
  <c r="AN126" i="32"/>
  <c r="AR77" i="32"/>
  <c r="AR38" i="32"/>
  <c r="AT87" i="32"/>
  <c r="AV126" i="32"/>
  <c r="AZ77" i="32"/>
  <c r="BB87" i="32"/>
  <c r="BD126" i="32"/>
  <c r="BH77" i="32"/>
  <c r="BJ87" i="32"/>
  <c r="BI136" i="32"/>
  <c r="AB38" i="32"/>
  <c r="AD77" i="32"/>
  <c r="AD38" i="32"/>
  <c r="AF77" i="32"/>
  <c r="AF38" i="32"/>
  <c r="AH126" i="32"/>
  <c r="AL77" i="32"/>
  <c r="AN87" i="32"/>
  <c r="AP126" i="32"/>
  <c r="AT77" i="32"/>
  <c r="AV87" i="32"/>
  <c r="AX126" i="32"/>
  <c r="BB77" i="32"/>
  <c r="BD87" i="32"/>
  <c r="BF126" i="32"/>
  <c r="BJ77" i="32"/>
  <c r="AH38" i="32"/>
  <c r="BL89" i="32"/>
  <c r="BL39" i="32"/>
  <c r="BA136" i="32"/>
  <c r="AQ136" i="32"/>
  <c r="AW136" i="32"/>
  <c r="AO136" i="32"/>
  <c r="AB77" i="32"/>
  <c r="AB126" i="32"/>
  <c r="BL127" i="32"/>
  <c r="AG136" i="32"/>
  <c r="AY136" i="32"/>
  <c r="BL40" i="32"/>
  <c r="BL31" i="32"/>
  <c r="BL79" i="32"/>
  <c r="BD38" i="32"/>
  <c r="BG136" i="32"/>
  <c r="AU136" i="32"/>
  <c r="AM136" i="32"/>
  <c r="BL35" i="32"/>
  <c r="AJ38" i="32"/>
  <c r="AI136" i="32"/>
  <c r="BE136" i="32"/>
  <c r="BC136" i="32"/>
  <c r="AS136" i="32"/>
  <c r="AK136" i="32"/>
  <c r="AC136" i="32"/>
  <c r="BL26" i="32"/>
  <c r="BL53" i="32"/>
  <c r="BL17" i="32"/>
  <c r="E16" i="25"/>
  <c r="F16" i="25"/>
  <c r="E15" i="25"/>
  <c r="F15" i="25"/>
  <c r="AC41" i="28"/>
  <c r="AM15" i="28"/>
  <c r="BG15" i="28"/>
  <c r="BE15" i="28"/>
  <c r="BC15" i="28"/>
  <c r="BA15" i="28"/>
  <c r="AY15" i="28"/>
  <c r="AW15" i="28"/>
  <c r="AU15" i="28"/>
  <c r="AS15" i="28"/>
  <c r="AQ15" i="28"/>
  <c r="AO15" i="28"/>
  <c r="AK15" i="28"/>
  <c r="AI15" i="28"/>
  <c r="AG15" i="28"/>
  <c r="AE15" i="28"/>
  <c r="AC15" i="28"/>
  <c r="AA15" i="28"/>
  <c r="BL135" i="32" l="1"/>
  <c r="I107" i="32"/>
  <c r="BL87" i="32"/>
  <c r="J107" i="32"/>
  <c r="I105" i="32"/>
  <c r="I106" i="32"/>
  <c r="BL45" i="32"/>
  <c r="J108" i="32"/>
  <c r="Q107" i="32"/>
  <c r="BL38" i="32"/>
  <c r="J105" i="32"/>
  <c r="J106" i="32"/>
  <c r="Q108" i="32"/>
  <c r="BL62" i="32"/>
  <c r="BL126" i="32"/>
  <c r="BL77" i="32"/>
  <c r="BL109" i="32"/>
  <c r="BN87" i="32"/>
  <c r="BN126" i="32"/>
  <c r="BN38" i="32"/>
  <c r="BN77" i="32"/>
  <c r="BN135" i="32"/>
  <c r="BN109" i="32"/>
  <c r="AE15" i="34"/>
  <c r="BI15" i="34"/>
  <c r="BN45" i="32"/>
  <c r="R54" i="32"/>
  <c r="BN62" i="32"/>
  <c r="AF25" i="32"/>
  <c r="BN25" i="32" s="1"/>
  <c r="AE33" i="32"/>
  <c r="BK25" i="32"/>
  <c r="N42" i="32"/>
  <c r="BC15" i="25"/>
  <c r="BE15" i="25"/>
  <c r="AW15" i="25"/>
  <c r="BG15" i="25"/>
  <c r="AY15" i="25"/>
  <c r="BI15" i="25"/>
  <c r="BA15" i="25"/>
  <c r="AS15" i="25"/>
  <c r="AQ15" i="25"/>
  <c r="AI15" i="25"/>
  <c r="AA15" i="25"/>
  <c r="AK15" i="25"/>
  <c r="AC15" i="25"/>
  <c r="AU15" i="25"/>
  <c r="AM15" i="25"/>
  <c r="AE15" i="25"/>
  <c r="AO15" i="25"/>
  <c r="AG15" i="25"/>
  <c r="BE16" i="25"/>
  <c r="AW16" i="25"/>
  <c r="BG16" i="25"/>
  <c r="AY16" i="25"/>
  <c r="BI16" i="25"/>
  <c r="BA16" i="25"/>
  <c r="AS16" i="25"/>
  <c r="BC16" i="25"/>
  <c r="AU16" i="25"/>
  <c r="AK16" i="25"/>
  <c r="AC16" i="25"/>
  <c r="AM16" i="25"/>
  <c r="AE16" i="25"/>
  <c r="AO16" i="25"/>
  <c r="AG16" i="25"/>
  <c r="AQ16" i="25"/>
  <c r="AI16" i="25"/>
  <c r="AA16" i="25"/>
  <c r="BO59" i="32"/>
  <c r="BS59" i="32" s="1"/>
  <c r="BW59" i="32" s="1"/>
  <c r="N59" i="32"/>
  <c r="BO61" i="32"/>
  <c r="BS61" i="32" s="1"/>
  <c r="BW61" i="32" s="1"/>
  <c r="N61" i="32"/>
  <c r="BO60" i="32"/>
  <c r="BS60" i="32" s="1"/>
  <c r="BW60" i="32" s="1"/>
  <c r="N60" i="32"/>
  <c r="S17" i="34"/>
  <c r="T17" i="34"/>
  <c r="Q75" i="32"/>
  <c r="J75" i="32"/>
  <c r="I75" i="32"/>
  <c r="I76" i="32"/>
  <c r="Q76" i="32"/>
  <c r="J76" i="32"/>
  <c r="BS54" i="32"/>
  <c r="BW54" i="32" s="1"/>
  <c r="BK12" i="34"/>
  <c r="BW42" i="32"/>
  <c r="BI39" i="7"/>
  <c r="BK39" i="7" s="1"/>
  <c r="BI14" i="7"/>
  <c r="AE10" i="7"/>
  <c r="AA10" i="7"/>
  <c r="AE136" i="32" l="1"/>
  <c r="BK33" i="32"/>
  <c r="G33" i="32" s="1"/>
  <c r="AF33" i="32"/>
  <c r="BL25" i="32"/>
  <c r="F14" i="7"/>
  <c r="G67" i="7"/>
  <c r="G39" i="7"/>
  <c r="BI46" i="24"/>
  <c r="BI45" i="24"/>
  <c r="E93" i="24"/>
  <c r="G59" i="24"/>
  <c r="BN33" i="32" l="1"/>
  <c r="BL33" i="32"/>
  <c r="BS67" i="7"/>
  <c r="BV67" i="7" s="1"/>
  <c r="BZ67" i="7" s="1"/>
  <c r="Q67" i="7"/>
  <c r="M67" i="7"/>
  <c r="O67" i="7"/>
  <c r="H67" i="7"/>
  <c r="N67" i="7"/>
  <c r="L67" i="7"/>
  <c r="P67" i="7"/>
  <c r="X93" i="24"/>
  <c r="W93" i="24"/>
  <c r="BI93" i="24"/>
  <c r="BE93" i="24"/>
  <c r="BA93" i="24"/>
  <c r="AW93" i="24"/>
  <c r="AS93" i="24"/>
  <c r="AO93" i="24"/>
  <c r="AK93" i="24"/>
  <c r="V93" i="24"/>
  <c r="Y93" i="24"/>
  <c r="BG93" i="24"/>
  <c r="BC93" i="24"/>
  <c r="AY93" i="24"/>
  <c r="AU93" i="24"/>
  <c r="AQ93" i="24"/>
  <c r="AM93" i="24"/>
  <c r="AI93" i="24"/>
  <c r="AE93" i="24"/>
  <c r="AA93" i="24"/>
  <c r="AG93" i="24"/>
  <c r="AC93" i="24"/>
  <c r="H39" i="7"/>
  <c r="BS39" i="7"/>
  <c r="BV39" i="7" s="1"/>
  <c r="BZ39" i="7" s="1"/>
  <c r="I39" i="7"/>
  <c r="I67" i="7"/>
  <c r="BJ21" i="24"/>
  <c r="F21" i="24" s="1"/>
  <c r="G21" i="24" s="1"/>
  <c r="BK21" i="24"/>
  <c r="BD66" i="7"/>
  <c r="BE66" i="7" s="1"/>
  <c r="BD65" i="7"/>
  <c r="BE65" i="7" s="1"/>
  <c r="BB62" i="7"/>
  <c r="BD62" i="7"/>
  <c r="BE62" i="7" s="1"/>
  <c r="BB66" i="7"/>
  <c r="BC66" i="7" s="1"/>
  <c r="BB65" i="7"/>
  <c r="BC65" i="7" s="1"/>
  <c r="AX62" i="7"/>
  <c r="BO126" i="32"/>
  <c r="BP109" i="32"/>
  <c r="BR109" i="32"/>
  <c r="BT109" i="32"/>
  <c r="BU109" i="32"/>
  <c r="BM87" i="32"/>
  <c r="BP87" i="32"/>
  <c r="BR87" i="32"/>
  <c r="BT87" i="32"/>
  <c r="BU87" i="32"/>
  <c r="BV87" i="32"/>
  <c r="BO77" i="32"/>
  <c r="BP77" i="32"/>
  <c r="BR77" i="32"/>
  <c r="BT77" i="32"/>
  <c r="BU77" i="32"/>
  <c r="BV77" i="32"/>
  <c r="BT62" i="32"/>
  <c r="BU62" i="32"/>
  <c r="BV62" i="32"/>
  <c r="BP45" i="32"/>
  <c r="BQ45" i="32"/>
  <c r="BR45" i="32"/>
  <c r="BT45" i="32"/>
  <c r="BU45" i="32"/>
  <c r="BV45" i="32"/>
  <c r="BP38" i="32"/>
  <c r="BQ38" i="32"/>
  <c r="BR38" i="32"/>
  <c r="BT38" i="32"/>
  <c r="BU38" i="32"/>
  <c r="BV38" i="32"/>
  <c r="BL47" i="37"/>
  <c r="BL38" i="37"/>
  <c r="BO38" i="37"/>
  <c r="BQ38" i="37"/>
  <c r="BS38" i="37"/>
  <c r="BT38" i="37"/>
  <c r="BP49" i="38"/>
  <c r="BQ49" i="38"/>
  <c r="BR49" i="38"/>
  <c r="BT49" i="38"/>
  <c r="BU49" i="38"/>
  <c r="BV48" i="38"/>
  <c r="BP42" i="38"/>
  <c r="BQ42" i="38"/>
  <c r="BR42" i="38"/>
  <c r="BT42" i="38"/>
  <c r="BU42" i="38"/>
  <c r="BM37" i="38"/>
  <c r="BP37" i="38"/>
  <c r="BR37" i="38"/>
  <c r="BT37" i="38"/>
  <c r="BU37" i="38"/>
  <c r="BV31" i="38"/>
  <c r="BV32" i="38"/>
  <c r="BV33" i="38"/>
  <c r="BV34" i="38"/>
  <c r="BV35" i="38"/>
  <c r="BV36" i="38"/>
  <c r="BJ22" i="26"/>
  <c r="F22" i="26" s="1"/>
  <c r="BG45" i="28"/>
  <c r="BE45" i="28"/>
  <c r="AO45" i="28"/>
  <c r="BL62" i="28"/>
  <c r="BL31" i="28"/>
  <c r="BF65" i="7"/>
  <c r="BG65" i="7" s="1"/>
  <c r="AZ65" i="7"/>
  <c r="BA65" i="7" s="1"/>
  <c r="AX65" i="7"/>
  <c r="AY65" i="7" s="1"/>
  <c r="AV65" i="7"/>
  <c r="AW65" i="7" s="1"/>
  <c r="AT65" i="7"/>
  <c r="AU65" i="7" s="1"/>
  <c r="AR65" i="7"/>
  <c r="AS65" i="7" s="1"/>
  <c r="AP65" i="7"/>
  <c r="AQ65" i="7" s="1"/>
  <c r="AO65" i="7"/>
  <c r="AL65" i="7"/>
  <c r="AM65" i="7" s="1"/>
  <c r="AJ65" i="7"/>
  <c r="AK65" i="7" s="1"/>
  <c r="AH65" i="7"/>
  <c r="AI65" i="7" s="1"/>
  <c r="AF65" i="7"/>
  <c r="AG65" i="7" s="1"/>
  <c r="AD65" i="7"/>
  <c r="AE65" i="7" s="1"/>
  <c r="AB65" i="7"/>
  <c r="AC65" i="7" s="1"/>
  <c r="Z65" i="7"/>
  <c r="BJ73" i="7"/>
  <c r="BL57" i="7"/>
  <c r="BM57" i="7"/>
  <c r="BN57" i="7"/>
  <c r="BO57" i="7"/>
  <c r="BP57" i="7"/>
  <c r="BZ49" i="7"/>
  <c r="BT44" i="7"/>
  <c r="BU44" i="7"/>
  <c r="BW44" i="7"/>
  <c r="BX44" i="7"/>
  <c r="E97" i="25"/>
  <c r="E108" i="25"/>
  <c r="E109" i="25"/>
  <c r="BJ86" i="25"/>
  <c r="F86" i="25" s="1"/>
  <c r="S86" i="25" s="1"/>
  <c r="BJ33" i="25"/>
  <c r="E96" i="24"/>
  <c r="BS46" i="7"/>
  <c r="BV46" i="7" s="1"/>
  <c r="BZ46" i="7" s="1"/>
  <c r="BO87" i="32"/>
  <c r="BG63" i="7"/>
  <c r="AA81" i="7"/>
  <c r="AB81" i="7"/>
  <c r="AC81" i="7"/>
  <c r="AD81" i="7"/>
  <c r="AE81" i="7"/>
  <c r="AF81" i="7"/>
  <c r="AG81" i="7"/>
  <c r="AH81" i="7"/>
  <c r="AI81" i="7"/>
  <c r="AJ81" i="7"/>
  <c r="AK81" i="7"/>
  <c r="AL81" i="7"/>
  <c r="AM81" i="7"/>
  <c r="AN81" i="7"/>
  <c r="AO81" i="7"/>
  <c r="AP81" i="7"/>
  <c r="AQ81" i="7"/>
  <c r="AR81" i="7"/>
  <c r="AS81" i="7"/>
  <c r="AT81" i="7"/>
  <c r="AU81" i="7"/>
  <c r="AV81" i="7"/>
  <c r="AW81" i="7"/>
  <c r="AX81" i="7"/>
  <c r="AY81" i="7"/>
  <c r="AZ81" i="7"/>
  <c r="BA81" i="7"/>
  <c r="BB81" i="7"/>
  <c r="BC81" i="7"/>
  <c r="BD81" i="7"/>
  <c r="BE81" i="7"/>
  <c r="BF81" i="7"/>
  <c r="Z81" i="7"/>
  <c r="BG75" i="7"/>
  <c r="BG74" i="7"/>
  <c r="BG77" i="7"/>
  <c r="I38" i="32"/>
  <c r="K77" i="32"/>
  <c r="L77" i="32"/>
  <c r="M77" i="32"/>
  <c r="O77" i="32"/>
  <c r="P77" i="32"/>
  <c r="K87" i="32"/>
  <c r="L87" i="32"/>
  <c r="M87" i="32"/>
  <c r="N87" i="32"/>
  <c r="O87" i="32"/>
  <c r="P87" i="32"/>
  <c r="K126" i="32"/>
  <c r="L126" i="32"/>
  <c r="M126" i="32"/>
  <c r="N126" i="32"/>
  <c r="O126" i="32"/>
  <c r="P126" i="32"/>
  <c r="F18" i="7"/>
  <c r="F22" i="7"/>
  <c r="F23" i="7"/>
  <c r="AI70" i="7"/>
  <c r="AI71" i="7" s="1"/>
  <c r="G62" i="24"/>
  <c r="Q62" i="24" s="1"/>
  <c r="BJ25" i="24"/>
  <c r="F25" i="24" s="1"/>
  <c r="G25" i="24" s="1"/>
  <c r="BJ28" i="24"/>
  <c r="F28" i="24" s="1"/>
  <c r="S28" i="24" s="1"/>
  <c r="BG31" i="7"/>
  <c r="BE31" i="7"/>
  <c r="BC31" i="7"/>
  <c r="BA31" i="7"/>
  <c r="AY31" i="7"/>
  <c r="AW31" i="7"/>
  <c r="AU31" i="7"/>
  <c r="AS31" i="7"/>
  <c r="AQ31" i="7"/>
  <c r="AO31" i="7"/>
  <c r="AM31" i="7"/>
  <c r="AK31" i="7"/>
  <c r="AI31" i="7"/>
  <c r="AG31" i="7"/>
  <c r="AE31" i="7"/>
  <c r="AC31" i="7"/>
  <c r="AA31" i="7"/>
  <c r="E46" i="34"/>
  <c r="BJ68" i="28"/>
  <c r="F68" i="28" s="1"/>
  <c r="AO68" i="28"/>
  <c r="AQ68" i="28"/>
  <c r="AS68" i="28"/>
  <c r="AU68" i="28"/>
  <c r="AY68" i="28"/>
  <c r="BA68" i="28"/>
  <c r="BC68" i="28"/>
  <c r="BE68" i="28"/>
  <c r="BG68" i="28"/>
  <c r="AM68" i="28"/>
  <c r="AK68" i="28"/>
  <c r="AI68" i="28"/>
  <c r="AG68" i="28"/>
  <c r="AE68" i="28"/>
  <c r="AC68" i="28"/>
  <c r="AA68" i="28"/>
  <c r="E37" i="24"/>
  <c r="E26" i="34"/>
  <c r="E31" i="7"/>
  <c r="G33" i="25"/>
  <c r="J33" i="25" s="1"/>
  <c r="H46" i="7"/>
  <c r="I46" i="7"/>
  <c r="BK48" i="38"/>
  <c r="G48" i="38" s="1"/>
  <c r="H48" i="38" s="1"/>
  <c r="AA49" i="38"/>
  <c r="V89" i="25"/>
  <c r="W89" i="25"/>
  <c r="X89" i="25"/>
  <c r="Y89" i="25"/>
  <c r="R79" i="25"/>
  <c r="V79" i="25" s="1"/>
  <c r="S79" i="25"/>
  <c r="W79" i="25" s="1"/>
  <c r="T79" i="25"/>
  <c r="X79" i="25" s="1"/>
  <c r="U79" i="25"/>
  <c r="Y79" i="25" s="1"/>
  <c r="R89" i="25"/>
  <c r="S89" i="25"/>
  <c r="T89" i="25"/>
  <c r="U89" i="25"/>
  <c r="R104" i="25"/>
  <c r="V104" i="25" s="1"/>
  <c r="S104" i="25"/>
  <c r="W104" i="25" s="1"/>
  <c r="T104" i="25"/>
  <c r="X104" i="25" s="1"/>
  <c r="U104" i="25"/>
  <c r="Y104" i="25" s="1"/>
  <c r="R14" i="25"/>
  <c r="V14" i="25" s="1"/>
  <c r="S14" i="25"/>
  <c r="W14" i="25" s="1"/>
  <c r="T14" i="25"/>
  <c r="X14" i="25" s="1"/>
  <c r="U14" i="25"/>
  <c r="Y14" i="25" s="1"/>
  <c r="U33" i="33"/>
  <c r="T33" i="33"/>
  <c r="S33" i="33"/>
  <c r="S34" i="33" s="1"/>
  <c r="S31" i="33"/>
  <c r="T25" i="33"/>
  <c r="S25" i="33"/>
  <c r="S26" i="33" s="1"/>
  <c r="S15" i="33"/>
  <c r="W15" i="33" s="1"/>
  <c r="S14" i="33"/>
  <c r="S13" i="33"/>
  <c r="V13" i="33"/>
  <c r="X13" i="33"/>
  <c r="Y13" i="33"/>
  <c r="V14" i="33"/>
  <c r="X14" i="33"/>
  <c r="Y14" i="33"/>
  <c r="V15" i="33"/>
  <c r="X15" i="33"/>
  <c r="Y15" i="33"/>
  <c r="V20" i="33"/>
  <c r="X20" i="33"/>
  <c r="Y20" i="33"/>
  <c r="Y21" i="33"/>
  <c r="Y130" i="32"/>
  <c r="X130" i="32"/>
  <c r="BQ130" i="32"/>
  <c r="BS130" i="32" s="1"/>
  <c r="BW130" i="32" s="1"/>
  <c r="T52" i="24"/>
  <c r="X52" i="24" s="1"/>
  <c r="S38" i="24"/>
  <c r="W38" i="24" s="1"/>
  <c r="U39" i="37"/>
  <c r="U48" i="37"/>
  <c r="T39" i="37"/>
  <c r="T48" i="37"/>
  <c r="S39" i="37"/>
  <c r="S48" i="37"/>
  <c r="Z21" i="38"/>
  <c r="Z26" i="38"/>
  <c r="Z38" i="38"/>
  <c r="Z43" i="38"/>
  <c r="Z50" i="38"/>
  <c r="Y21" i="38"/>
  <c r="Y26" i="38"/>
  <c r="Y38" i="38"/>
  <c r="Y43" i="38"/>
  <c r="Y50" i="38"/>
  <c r="X21" i="38"/>
  <c r="X26" i="38"/>
  <c r="X38" i="38"/>
  <c r="X43" i="38"/>
  <c r="X50" i="38"/>
  <c r="V21" i="38"/>
  <c r="V26" i="38"/>
  <c r="V38" i="38"/>
  <c r="V43" i="38"/>
  <c r="V50" i="38"/>
  <c r="U21" i="38"/>
  <c r="U26" i="38"/>
  <c r="U38" i="38"/>
  <c r="U43" i="38"/>
  <c r="U50" i="38"/>
  <c r="T21" i="38"/>
  <c r="T26" i="38"/>
  <c r="T38" i="38"/>
  <c r="T43" i="38"/>
  <c r="T50" i="38"/>
  <c r="BJ43" i="37"/>
  <c r="R51" i="37"/>
  <c r="U16" i="28"/>
  <c r="V16" i="28"/>
  <c r="Y16" i="28"/>
  <c r="S14" i="28"/>
  <c r="T14" i="28"/>
  <c r="U14" i="28"/>
  <c r="R14" i="28"/>
  <c r="R17" i="28" s="1"/>
  <c r="T16" i="28"/>
  <c r="S16" i="28"/>
  <c r="V10" i="7"/>
  <c r="BJ31" i="25"/>
  <c r="F31" i="25" s="1"/>
  <c r="G31" i="25" s="1"/>
  <c r="BJ14" i="37"/>
  <c r="F14" i="37" s="1"/>
  <c r="G14" i="37" s="1"/>
  <c r="BN14" i="37" s="1"/>
  <c r="BR14" i="37" s="1"/>
  <c r="BV14" i="37" s="1"/>
  <c r="BJ15" i="37"/>
  <c r="F15" i="37" s="1"/>
  <c r="G15" i="37" s="1"/>
  <c r="BJ16" i="37"/>
  <c r="F16" i="37" s="1"/>
  <c r="G16" i="37" s="1"/>
  <c r="I16" i="37" s="1"/>
  <c r="BJ17" i="37"/>
  <c r="F17" i="37" s="1"/>
  <c r="G17" i="37" s="1"/>
  <c r="H17" i="37" s="1"/>
  <c r="BJ18" i="37"/>
  <c r="F18" i="37" s="1"/>
  <c r="G18" i="37" s="1"/>
  <c r="I18" i="37" s="1"/>
  <c r="BJ19" i="37"/>
  <c r="F19" i="37" s="1"/>
  <c r="G19" i="37" s="1"/>
  <c r="I19" i="37" s="1"/>
  <c r="BJ20" i="37"/>
  <c r="F20" i="37" s="1"/>
  <c r="G20" i="37" s="1"/>
  <c r="BJ21" i="37"/>
  <c r="F21" i="37" s="1"/>
  <c r="G21" i="37" s="1"/>
  <c r="BJ22" i="37"/>
  <c r="F22" i="37" s="1"/>
  <c r="G22" i="37" s="1"/>
  <c r="P22" i="37" s="1"/>
  <c r="BJ23" i="37"/>
  <c r="F23" i="37" s="1"/>
  <c r="G23" i="37" s="1"/>
  <c r="BJ24" i="37"/>
  <c r="F24" i="37" s="1"/>
  <c r="G24" i="37" s="1"/>
  <c r="BJ25" i="37"/>
  <c r="F25" i="37" s="1"/>
  <c r="G25" i="37" s="1"/>
  <c r="BJ26" i="37"/>
  <c r="F26" i="37" s="1"/>
  <c r="G26" i="37" s="1"/>
  <c r="BJ27" i="37"/>
  <c r="F27" i="37" s="1"/>
  <c r="G27" i="37" s="1"/>
  <c r="BN27" i="37" s="1"/>
  <c r="BR27" i="37" s="1"/>
  <c r="BV27" i="37" s="1"/>
  <c r="BJ28" i="37"/>
  <c r="F28" i="37" s="1"/>
  <c r="G28" i="37" s="1"/>
  <c r="BN28" i="37" s="1"/>
  <c r="BR28" i="37" s="1"/>
  <c r="BV28" i="37" s="1"/>
  <c r="BJ29" i="37"/>
  <c r="F29" i="37" s="1"/>
  <c r="G29" i="37" s="1"/>
  <c r="P29" i="37" s="1"/>
  <c r="BJ30" i="37"/>
  <c r="F30" i="37" s="1"/>
  <c r="G30" i="37" s="1"/>
  <c r="BN30" i="37" s="1"/>
  <c r="BR30" i="37" s="1"/>
  <c r="BV30" i="37" s="1"/>
  <c r="BJ31" i="37"/>
  <c r="F31" i="37" s="1"/>
  <c r="G31" i="37" s="1"/>
  <c r="I31" i="37" s="1"/>
  <c r="BJ32" i="37"/>
  <c r="F32" i="37" s="1"/>
  <c r="G32" i="37" s="1"/>
  <c r="BJ33" i="37"/>
  <c r="F33" i="37" s="1"/>
  <c r="BJ34" i="37"/>
  <c r="F34" i="37" s="1"/>
  <c r="G34" i="37" s="1"/>
  <c r="I34" i="37" s="1"/>
  <c r="BJ35" i="37"/>
  <c r="F35" i="37" s="1"/>
  <c r="G35" i="37" s="1"/>
  <c r="BK35" i="37"/>
  <c r="BK39" i="37"/>
  <c r="BK48" i="37"/>
  <c r="S37" i="38"/>
  <c r="AA37" i="38"/>
  <c r="BL33" i="38"/>
  <c r="BK45" i="38"/>
  <c r="G45" i="38" s="1"/>
  <c r="BK46" i="38"/>
  <c r="G46" i="38" s="1"/>
  <c r="BK47" i="38"/>
  <c r="G47" i="38" s="1"/>
  <c r="BK40" i="38"/>
  <c r="G40" i="38" s="1"/>
  <c r="H40" i="38" s="1"/>
  <c r="BK30" i="38"/>
  <c r="G30" i="38" s="1"/>
  <c r="H30" i="38" s="1"/>
  <c r="BK31" i="38"/>
  <c r="G31" i="38" s="1"/>
  <c r="H31" i="38" s="1"/>
  <c r="BK32" i="38"/>
  <c r="BK33" i="38"/>
  <c r="G33" i="38" s="1"/>
  <c r="H33" i="38" s="1"/>
  <c r="BK34" i="38"/>
  <c r="G34" i="38" s="1"/>
  <c r="H34" i="38" s="1"/>
  <c r="N34" i="38" s="1"/>
  <c r="BK35" i="38"/>
  <c r="G35" i="38" s="1"/>
  <c r="H35" i="38" s="1"/>
  <c r="BK36" i="38"/>
  <c r="G36" i="38" s="1"/>
  <c r="H36" i="38" s="1"/>
  <c r="BK28" i="38"/>
  <c r="G28" i="38" s="1"/>
  <c r="H28" i="38" s="1"/>
  <c r="BO28" i="38" s="1"/>
  <c r="BS28" i="38" s="1"/>
  <c r="BK29" i="38"/>
  <c r="G29" i="38" s="1"/>
  <c r="BK23" i="38"/>
  <c r="BK24" i="38"/>
  <c r="G24" i="38" s="1"/>
  <c r="H24" i="38" s="1"/>
  <c r="BK16" i="38"/>
  <c r="G16" i="38" s="1"/>
  <c r="U16" i="38" s="1"/>
  <c r="BK17" i="38"/>
  <c r="G17" i="38" s="1"/>
  <c r="BK19" i="38"/>
  <c r="G19" i="38" s="1"/>
  <c r="F30" i="34"/>
  <c r="F33" i="34"/>
  <c r="E30" i="34"/>
  <c r="AA126" i="32"/>
  <c r="BK126" i="32" s="1"/>
  <c r="AA87" i="32"/>
  <c r="BK87" i="32" s="1"/>
  <c r="J38" i="32"/>
  <c r="L38" i="32"/>
  <c r="M38" i="32"/>
  <c r="O38" i="32"/>
  <c r="P38" i="32"/>
  <c r="Q38" i="32"/>
  <c r="R38" i="32"/>
  <c r="AA38" i="32"/>
  <c r="BK38" i="32" s="1"/>
  <c r="BO88" i="32"/>
  <c r="BO109" i="32" s="1"/>
  <c r="R72" i="28"/>
  <c r="V72" i="28"/>
  <c r="Z72" i="28"/>
  <c r="AB72" i="28"/>
  <c r="AD72" i="28"/>
  <c r="AF72" i="28"/>
  <c r="AF73" i="28" s="1"/>
  <c r="AH72" i="28"/>
  <c r="AJ72" i="28"/>
  <c r="AL72" i="28"/>
  <c r="AN72" i="28"/>
  <c r="AP72" i="28"/>
  <c r="AR72" i="28"/>
  <c r="AT72" i="28"/>
  <c r="AV72" i="28"/>
  <c r="AV73" i="28" s="1"/>
  <c r="AX72" i="28"/>
  <c r="AZ72" i="28"/>
  <c r="BB72" i="28"/>
  <c r="BB73" i="28" s="1"/>
  <c r="BD72" i="28"/>
  <c r="BF72" i="28"/>
  <c r="BH72" i="28"/>
  <c r="R61" i="28"/>
  <c r="S61" i="28"/>
  <c r="T61" i="28"/>
  <c r="U61" i="28"/>
  <c r="Z61" i="28"/>
  <c r="AB61" i="28"/>
  <c r="AD61" i="28"/>
  <c r="AF61" i="28"/>
  <c r="AH61" i="28"/>
  <c r="AJ61" i="28"/>
  <c r="AL61" i="28"/>
  <c r="AN61" i="28"/>
  <c r="AP61" i="28"/>
  <c r="AR61" i="28"/>
  <c r="AT61" i="28"/>
  <c r="AV61" i="28"/>
  <c r="AX61" i="28"/>
  <c r="AZ61" i="28"/>
  <c r="BB61" i="28"/>
  <c r="BD61" i="28"/>
  <c r="BF61" i="28"/>
  <c r="BH61" i="28"/>
  <c r="Z43" i="28"/>
  <c r="AB43" i="28"/>
  <c r="AD43" i="28"/>
  <c r="AF43" i="28"/>
  <c r="AH43" i="28"/>
  <c r="AJ43" i="28"/>
  <c r="AL43" i="28"/>
  <c r="AN43" i="28"/>
  <c r="AP43" i="28"/>
  <c r="AR43" i="28"/>
  <c r="AR62" i="28" s="1"/>
  <c r="AT43" i="28"/>
  <c r="AV43" i="28"/>
  <c r="AX43" i="28"/>
  <c r="AZ43" i="28"/>
  <c r="BB43" i="28"/>
  <c r="BD43" i="28"/>
  <c r="BF43" i="28"/>
  <c r="BH43" i="28"/>
  <c r="Z30" i="28"/>
  <c r="AB30" i="28"/>
  <c r="AD30" i="28"/>
  <c r="AF30" i="28"/>
  <c r="AH30" i="28"/>
  <c r="AJ30" i="28"/>
  <c r="AL30" i="28"/>
  <c r="AN30" i="28"/>
  <c r="AP30" i="28"/>
  <c r="AR30" i="28"/>
  <c r="AT30" i="28"/>
  <c r="AV30" i="28"/>
  <c r="AX30" i="28"/>
  <c r="AZ30" i="28"/>
  <c r="BB30" i="28"/>
  <c r="BD30" i="28"/>
  <c r="BF30" i="28"/>
  <c r="BH30" i="28"/>
  <c r="Z25" i="28"/>
  <c r="AB25" i="28"/>
  <c r="AD25" i="28"/>
  <c r="AD31" i="28" s="1"/>
  <c r="AF25" i="28"/>
  <c r="AH25" i="28"/>
  <c r="AJ25" i="28"/>
  <c r="AL25" i="28"/>
  <c r="AL31" i="28" s="1"/>
  <c r="AN25" i="28"/>
  <c r="AP25" i="28"/>
  <c r="AR25" i="28"/>
  <c r="AT25" i="28"/>
  <c r="AV25" i="28"/>
  <c r="AX25" i="28"/>
  <c r="AZ25" i="28"/>
  <c r="BB25" i="28"/>
  <c r="BB31" i="28" s="1"/>
  <c r="BD25" i="28"/>
  <c r="BF25" i="28"/>
  <c r="BH25" i="28"/>
  <c r="R56" i="7"/>
  <c r="V56" i="7"/>
  <c r="R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Q29" i="7"/>
  <c r="AR29" i="7"/>
  <c r="AS29" i="7"/>
  <c r="AT29" i="7"/>
  <c r="AU29" i="7"/>
  <c r="AV29" i="7"/>
  <c r="AW29" i="7"/>
  <c r="AX29" i="7"/>
  <c r="AY29" i="7"/>
  <c r="AZ29" i="7"/>
  <c r="BA29" i="7"/>
  <c r="BB29" i="7"/>
  <c r="BC29" i="7"/>
  <c r="BD29" i="7"/>
  <c r="BE29" i="7"/>
  <c r="BF29" i="7"/>
  <c r="BG29" i="7"/>
  <c r="BH29" i="7"/>
  <c r="BK22" i="7"/>
  <c r="BK23" i="7"/>
  <c r="BK24" i="7"/>
  <c r="BK25" i="7"/>
  <c r="BK26" i="7"/>
  <c r="BK27" i="7"/>
  <c r="BK28" i="7"/>
  <c r="BK18" i="7"/>
  <c r="G89" i="32"/>
  <c r="G13" i="32"/>
  <c r="G14" i="32"/>
  <c r="G16" i="32"/>
  <c r="G17" i="32"/>
  <c r="H17" i="32" s="1"/>
  <c r="G18" i="32"/>
  <c r="G20" i="32"/>
  <c r="G21" i="32"/>
  <c r="G23" i="32"/>
  <c r="G25" i="32"/>
  <c r="G26" i="32"/>
  <c r="G27" i="32"/>
  <c r="G28" i="32"/>
  <c r="G30" i="32"/>
  <c r="G31" i="32"/>
  <c r="G35" i="32"/>
  <c r="G36" i="32"/>
  <c r="G40" i="32"/>
  <c r="G41" i="32"/>
  <c r="G47" i="32"/>
  <c r="G49" i="32"/>
  <c r="G50" i="32"/>
  <c r="G51" i="32"/>
  <c r="G53" i="32"/>
  <c r="G55" i="32"/>
  <c r="H55" i="32" s="1"/>
  <c r="G56" i="32"/>
  <c r="G57" i="32"/>
  <c r="G58" i="32"/>
  <c r="G43" i="32"/>
  <c r="G64" i="32"/>
  <c r="G65" i="32"/>
  <c r="G66" i="32"/>
  <c r="G67" i="32"/>
  <c r="G68" i="32"/>
  <c r="G69" i="32"/>
  <c r="G70" i="32"/>
  <c r="G71" i="32"/>
  <c r="G72" i="32"/>
  <c r="G73" i="32"/>
  <c r="G74" i="32"/>
  <c r="G111" i="32"/>
  <c r="G79" i="32"/>
  <c r="G81" i="32"/>
  <c r="G82" i="32"/>
  <c r="G90" i="32"/>
  <c r="G92" i="32"/>
  <c r="G94" i="32"/>
  <c r="G95" i="32"/>
  <c r="G100" i="32"/>
  <c r="G129" i="32"/>
  <c r="G116" i="32"/>
  <c r="G121" i="32"/>
  <c r="G127" i="32"/>
  <c r="G128" i="32"/>
  <c r="BG21" i="28"/>
  <c r="BE21" i="28"/>
  <c r="BC21" i="28"/>
  <c r="BA21" i="28"/>
  <c r="AY21" i="28"/>
  <c r="AW21" i="28"/>
  <c r="AU21" i="28"/>
  <c r="AS21" i="28"/>
  <c r="AQ21" i="28"/>
  <c r="AO21" i="28"/>
  <c r="AM21" i="28"/>
  <c r="AK21" i="28"/>
  <c r="AI21" i="28"/>
  <c r="AG21" i="28"/>
  <c r="AE21" i="28"/>
  <c r="AC21" i="28"/>
  <c r="AA21" i="28"/>
  <c r="BJ28" i="28"/>
  <c r="F28" i="28" s="1"/>
  <c r="BI28" i="28"/>
  <c r="BH80" i="7"/>
  <c r="F56" i="7"/>
  <c r="BI54" i="7"/>
  <c r="BI56" i="7" s="1"/>
  <c r="BG54" i="7"/>
  <c r="BG56" i="7" s="1"/>
  <c r="BE54" i="7"/>
  <c r="BE56" i="7" s="1"/>
  <c r="BC54" i="7"/>
  <c r="BA54" i="7"/>
  <c r="BA56" i="7" s="1"/>
  <c r="AY54" i="7"/>
  <c r="AY56" i="7" s="1"/>
  <c r="AW54" i="7"/>
  <c r="AW56" i="7" s="1"/>
  <c r="AU54" i="7"/>
  <c r="AU56" i="7" s="1"/>
  <c r="AS54" i="7"/>
  <c r="AQ54" i="7"/>
  <c r="AQ56" i="7" s="1"/>
  <c r="AO54" i="7"/>
  <c r="AM54" i="7"/>
  <c r="AK54" i="7"/>
  <c r="AK56" i="7" s="1"/>
  <c r="AI54" i="7"/>
  <c r="AI56" i="7" s="1"/>
  <c r="AG54" i="7"/>
  <c r="AG56" i="7" s="1"/>
  <c r="AE54" i="7"/>
  <c r="AE56" i="7" s="1"/>
  <c r="AC54" i="7"/>
  <c r="AA54" i="7"/>
  <c r="E54" i="7"/>
  <c r="W56" i="7" s="1"/>
  <c r="E47" i="7"/>
  <c r="G47" i="7" s="1"/>
  <c r="G48" i="7" s="1"/>
  <c r="BS48" i="7" s="1"/>
  <c r="Z44" i="7"/>
  <c r="AB44" i="7"/>
  <c r="AD44" i="7"/>
  <c r="AF44" i="7"/>
  <c r="AH44" i="7"/>
  <c r="AJ44" i="7"/>
  <c r="AL44" i="7"/>
  <c r="AN44" i="7"/>
  <c r="AP44" i="7"/>
  <c r="AR44" i="7"/>
  <c r="AT44" i="7"/>
  <c r="AV44" i="7"/>
  <c r="AX44" i="7"/>
  <c r="AZ44" i="7"/>
  <c r="BB44" i="7"/>
  <c r="BD44" i="7"/>
  <c r="BF44" i="7"/>
  <c r="BH44" i="7"/>
  <c r="BF66" i="7"/>
  <c r="BG66" i="7" s="1"/>
  <c r="AZ66" i="7"/>
  <c r="BA66" i="7" s="1"/>
  <c r="AX66" i="7"/>
  <c r="AY66" i="7" s="1"/>
  <c r="AV66" i="7"/>
  <c r="AW66" i="7" s="1"/>
  <c r="AT66" i="7"/>
  <c r="AU66" i="7" s="1"/>
  <c r="AR66" i="7"/>
  <c r="AS66" i="7" s="1"/>
  <c r="AP66" i="7"/>
  <c r="AQ66" i="7" s="1"/>
  <c r="AO66" i="7"/>
  <c r="AL66" i="7"/>
  <c r="AM66" i="7" s="1"/>
  <c r="AJ66" i="7"/>
  <c r="AK66" i="7" s="1"/>
  <c r="AH66" i="7"/>
  <c r="AI66" i="7" s="1"/>
  <c r="AF66" i="7"/>
  <c r="AD66" i="7"/>
  <c r="AE66" i="7" s="1"/>
  <c r="AB66" i="7"/>
  <c r="AC66" i="7" s="1"/>
  <c r="Z66" i="7"/>
  <c r="AD62" i="28"/>
  <c r="AL62" i="7"/>
  <c r="AL69" i="7" s="1"/>
  <c r="BI43" i="7"/>
  <c r="BG43" i="7"/>
  <c r="BE43" i="7"/>
  <c r="BC43" i="7"/>
  <c r="BA43" i="7"/>
  <c r="AY43" i="7"/>
  <c r="AW43" i="7"/>
  <c r="AU43" i="7"/>
  <c r="AS43" i="7"/>
  <c r="AQ43" i="7"/>
  <c r="AO43" i="7"/>
  <c r="AM43" i="7"/>
  <c r="AK43" i="7"/>
  <c r="AI43" i="7"/>
  <c r="AG43" i="7"/>
  <c r="AE43" i="7"/>
  <c r="AC43" i="7"/>
  <c r="AA43" i="7"/>
  <c r="BI42" i="7"/>
  <c r="BG42" i="7"/>
  <c r="BE42" i="7"/>
  <c r="BC42" i="7"/>
  <c r="BA42" i="7"/>
  <c r="AY42" i="7"/>
  <c r="AW42" i="7"/>
  <c r="AU42" i="7"/>
  <c r="AS42" i="7"/>
  <c r="AQ42" i="7"/>
  <c r="AO42" i="7"/>
  <c r="AM42" i="7"/>
  <c r="AK42" i="7"/>
  <c r="AI42" i="7"/>
  <c r="AG42" i="7"/>
  <c r="AE42" i="7"/>
  <c r="AC42" i="7"/>
  <c r="AA42" i="7"/>
  <c r="BI41" i="7"/>
  <c r="BG41" i="7"/>
  <c r="BE41" i="7"/>
  <c r="BC41" i="7"/>
  <c r="BA41" i="7"/>
  <c r="AY41" i="7"/>
  <c r="AW41" i="7"/>
  <c r="AU41" i="7"/>
  <c r="AS41" i="7"/>
  <c r="AQ41" i="7"/>
  <c r="AO41" i="7"/>
  <c r="AM41" i="7"/>
  <c r="AK41" i="7"/>
  <c r="AI41" i="7"/>
  <c r="AG41" i="7"/>
  <c r="AE41" i="7"/>
  <c r="AC41" i="7"/>
  <c r="AA41" i="7"/>
  <c r="AA40" i="7"/>
  <c r="BI40" i="7"/>
  <c r="BG40" i="7"/>
  <c r="BE40" i="7"/>
  <c r="AO40" i="7"/>
  <c r="E37" i="7"/>
  <c r="G37" i="7" s="1"/>
  <c r="E38" i="7"/>
  <c r="E60" i="25"/>
  <c r="F12" i="34"/>
  <c r="G12" i="34" s="1"/>
  <c r="BJ11" i="34"/>
  <c r="BK33" i="37"/>
  <c r="BC45" i="28"/>
  <c r="BA45" i="28"/>
  <c r="AS45" i="28"/>
  <c r="AK45" i="28"/>
  <c r="AZ62" i="7"/>
  <c r="BC40" i="7"/>
  <c r="BA40" i="7"/>
  <c r="AY40" i="7"/>
  <c r="AW40" i="7"/>
  <c r="AU40" i="7"/>
  <c r="AS40" i="7"/>
  <c r="AK40" i="7"/>
  <c r="BK32" i="37"/>
  <c r="BL40" i="38"/>
  <c r="BL35" i="38"/>
  <c r="BL34" i="38"/>
  <c r="BL18" i="38"/>
  <c r="AE45" i="28"/>
  <c r="AQ45" i="28"/>
  <c r="AC45" i="28"/>
  <c r="AA45" i="28"/>
  <c r="AQ40" i="7"/>
  <c r="AE40" i="7"/>
  <c r="AC40" i="7"/>
  <c r="G28" i="7"/>
  <c r="AY15" i="37"/>
  <c r="BK28" i="37"/>
  <c r="AW14" i="37"/>
  <c r="BK14" i="37" s="1"/>
  <c r="AW15" i="37"/>
  <c r="BK18" i="37"/>
  <c r="BK19" i="37"/>
  <c r="BK21" i="37"/>
  <c r="BK25" i="37"/>
  <c r="BK27" i="37"/>
  <c r="BK29" i="37"/>
  <c r="BK31" i="37"/>
  <c r="AY45" i="28"/>
  <c r="AW45" i="28"/>
  <c r="AU45" i="28"/>
  <c r="E40" i="37"/>
  <c r="BK16" i="37"/>
  <c r="F16" i="38"/>
  <c r="BK20" i="37"/>
  <c r="BK34" i="37"/>
  <c r="BK17" i="37"/>
  <c r="BL31" i="38"/>
  <c r="AM45" i="28"/>
  <c r="AI45" i="28"/>
  <c r="AG45" i="28"/>
  <c r="AM40" i="7"/>
  <c r="AI40" i="7"/>
  <c r="AG40" i="7"/>
  <c r="G18" i="7"/>
  <c r="M18" i="7" s="1"/>
  <c r="G19" i="7"/>
  <c r="G21" i="7"/>
  <c r="G23" i="7"/>
  <c r="G24" i="7"/>
  <c r="G25" i="7"/>
  <c r="G26" i="7"/>
  <c r="K26" i="7" s="1"/>
  <c r="G27" i="7"/>
  <c r="AC10" i="7"/>
  <c r="AA11" i="7"/>
  <c r="AA12" i="7" s="1"/>
  <c r="AC11" i="7"/>
  <c r="AE11" i="7"/>
  <c r="AE12" i="7" s="1"/>
  <c r="Z12" i="7"/>
  <c r="AB12" i="7"/>
  <c r="AD12" i="7"/>
  <c r="AA32" i="7"/>
  <c r="AC32" i="7"/>
  <c r="AE32" i="7"/>
  <c r="AA33" i="7"/>
  <c r="AC33" i="7"/>
  <c r="AE33" i="7"/>
  <c r="Z34" i="7"/>
  <c r="AB34" i="7"/>
  <c r="AD34" i="7"/>
  <c r="AA36" i="7"/>
  <c r="AC36" i="7"/>
  <c r="AE36" i="7"/>
  <c r="AA37" i="7"/>
  <c r="AC37" i="7"/>
  <c r="AE37" i="7"/>
  <c r="AA38" i="7"/>
  <c r="AC38" i="7"/>
  <c r="AE38" i="7"/>
  <c r="AA50" i="7"/>
  <c r="AA52" i="7" s="1"/>
  <c r="AC50" i="7"/>
  <c r="AC52" i="7" s="1"/>
  <c r="AE50" i="7"/>
  <c r="AE52" i="7" s="1"/>
  <c r="Z52" i="7"/>
  <c r="AB52" i="7"/>
  <c r="AD52" i="7"/>
  <c r="Z56" i="7"/>
  <c r="AB56" i="7"/>
  <c r="AD56" i="7"/>
  <c r="Z62" i="7"/>
  <c r="AB62" i="7"/>
  <c r="AE64" i="7"/>
  <c r="AA70" i="7"/>
  <c r="AA71" i="7" s="1"/>
  <c r="AC70" i="7"/>
  <c r="AC71" i="7" s="1"/>
  <c r="AE70" i="7"/>
  <c r="AE71" i="7" s="1"/>
  <c r="Z71" i="7"/>
  <c r="AB71" i="7"/>
  <c r="AD71" i="7"/>
  <c r="AC56" i="7"/>
  <c r="AA64" i="7"/>
  <c r="AC64" i="7"/>
  <c r="E108" i="24"/>
  <c r="BU40" i="26"/>
  <c r="BU41" i="26" s="1"/>
  <c r="BU38" i="26"/>
  <c r="BU37" i="26"/>
  <c r="BU36" i="26"/>
  <c r="BU35" i="26"/>
  <c r="BU34" i="26"/>
  <c r="BV34" i="26" s="1"/>
  <c r="BU32" i="26"/>
  <c r="BU31" i="26"/>
  <c r="BU30" i="26"/>
  <c r="BU29" i="26"/>
  <c r="BU28" i="26"/>
  <c r="BU27" i="26"/>
  <c r="BU26" i="26"/>
  <c r="BU25" i="26"/>
  <c r="BU24" i="26"/>
  <c r="BU22" i="26"/>
  <c r="BU21" i="26"/>
  <c r="BU20" i="26"/>
  <c r="BU19" i="26"/>
  <c r="BU17" i="26"/>
  <c r="BU16" i="26"/>
  <c r="BU15" i="26"/>
  <c r="BU14" i="26"/>
  <c r="BU13" i="26"/>
  <c r="BU12" i="26"/>
  <c r="BU11" i="26"/>
  <c r="BU10" i="26"/>
  <c r="BR38" i="26"/>
  <c r="BR32" i="26"/>
  <c r="BR28" i="26"/>
  <c r="BR24" i="26"/>
  <c r="BR19" i="26"/>
  <c r="BR15" i="26"/>
  <c r="BR14" i="26"/>
  <c r="BR13" i="26"/>
  <c r="BR12" i="26"/>
  <c r="BR11" i="26"/>
  <c r="BR10" i="26"/>
  <c r="BV11" i="25"/>
  <c r="BV19" i="25"/>
  <c r="BV47" i="25"/>
  <c r="BV48" i="25"/>
  <c r="BV49" i="25"/>
  <c r="BV56" i="25"/>
  <c r="BV57" i="25"/>
  <c r="BV67" i="25"/>
  <c r="BV72" i="25"/>
  <c r="BV79" i="25"/>
  <c r="BV89" i="25"/>
  <c r="BV107" i="25"/>
  <c r="BV10" i="25"/>
  <c r="BV11" i="24"/>
  <c r="BV18" i="24"/>
  <c r="BV45" i="24"/>
  <c r="BV46" i="24"/>
  <c r="BV54" i="24"/>
  <c r="BV61" i="24"/>
  <c r="BV67" i="24"/>
  <c r="BV68" i="24"/>
  <c r="BV88" i="24"/>
  <c r="BV99" i="24"/>
  <c r="BV10" i="24"/>
  <c r="BV39" i="37"/>
  <c r="BV48" i="37"/>
  <c r="BV11" i="37"/>
  <c r="BW21" i="38"/>
  <c r="BW26" i="38"/>
  <c r="BW38" i="38"/>
  <c r="BW43" i="38"/>
  <c r="BW50" i="38"/>
  <c r="BV16" i="34"/>
  <c r="BV23" i="34"/>
  <c r="BV28" i="34"/>
  <c r="BV37" i="34"/>
  <c r="BV44" i="34"/>
  <c r="BV10" i="34"/>
  <c r="BV19" i="33"/>
  <c r="BV23" i="33"/>
  <c r="BV27" i="33"/>
  <c r="BV28" i="33"/>
  <c r="BV9" i="33"/>
  <c r="BW11" i="32"/>
  <c r="BW16" i="32"/>
  <c r="BW23" i="32"/>
  <c r="BW10" i="32"/>
  <c r="BV35" i="28"/>
  <c r="BV44" i="28"/>
  <c r="BV51" i="28"/>
  <c r="BV63" i="28"/>
  <c r="BV70" i="28"/>
  <c r="BV18" i="28"/>
  <c r="BV19" i="28"/>
  <c r="BV26" i="28"/>
  <c r="BV32" i="28"/>
  <c r="BV33" i="28"/>
  <c r="BV9" i="28"/>
  <c r="BZ13" i="7"/>
  <c r="BZ30" i="7"/>
  <c r="BZ35" i="7"/>
  <c r="BZ45" i="7"/>
  <c r="BZ53" i="7"/>
  <c r="BZ61" i="7"/>
  <c r="BZ9" i="7"/>
  <c r="BT41" i="26"/>
  <c r="BS41" i="26"/>
  <c r="BQ41" i="26"/>
  <c r="BO41" i="26"/>
  <c r="BN41" i="26"/>
  <c r="BT39" i="26"/>
  <c r="BS39" i="26"/>
  <c r="BQ39" i="26"/>
  <c r="BO39" i="26"/>
  <c r="BN39" i="26"/>
  <c r="BT33" i="26"/>
  <c r="BS33" i="26"/>
  <c r="BQ33" i="26"/>
  <c r="BP33" i="26"/>
  <c r="BN33" i="26"/>
  <c r="BT23" i="26"/>
  <c r="BS23" i="26"/>
  <c r="BQ23" i="26"/>
  <c r="BP23" i="26"/>
  <c r="BN23" i="26"/>
  <c r="BT18" i="26"/>
  <c r="BS18" i="26"/>
  <c r="BQ18" i="26"/>
  <c r="BP18" i="26"/>
  <c r="BN18" i="26"/>
  <c r="BT111" i="25"/>
  <c r="BS111" i="25"/>
  <c r="BQ111" i="25"/>
  <c r="BP111" i="25"/>
  <c r="BO111" i="25"/>
  <c r="BU110" i="25"/>
  <c r="BU109" i="25"/>
  <c r="BU108" i="25"/>
  <c r="BS106" i="25"/>
  <c r="BQ106" i="25"/>
  <c r="BP106" i="25"/>
  <c r="BO106" i="25"/>
  <c r="BN106" i="25"/>
  <c r="BR105" i="25"/>
  <c r="BR104" i="25"/>
  <c r="BR103" i="25"/>
  <c r="BR102" i="25"/>
  <c r="BR101" i="25"/>
  <c r="BR100" i="25"/>
  <c r="BR99" i="25"/>
  <c r="BR98" i="25"/>
  <c r="BR97" i="25"/>
  <c r="BR96" i="25"/>
  <c r="BR95" i="25"/>
  <c r="BR94" i="25"/>
  <c r="BR93" i="25"/>
  <c r="BR92" i="25"/>
  <c r="BR91" i="25"/>
  <c r="BR90" i="25"/>
  <c r="BT87" i="25"/>
  <c r="BQ87" i="25"/>
  <c r="BP87" i="25"/>
  <c r="BO87" i="25"/>
  <c r="BN87" i="25"/>
  <c r="BR86" i="25"/>
  <c r="BR85" i="25"/>
  <c r="BR84" i="25"/>
  <c r="BR83" i="25"/>
  <c r="BR82" i="25"/>
  <c r="BR81" i="25"/>
  <c r="BR80" i="25"/>
  <c r="BT78" i="25"/>
  <c r="BQ78" i="25"/>
  <c r="BP78" i="25"/>
  <c r="BO78" i="25"/>
  <c r="BN78" i="25"/>
  <c r="BR77" i="25"/>
  <c r="BR76" i="25"/>
  <c r="BR75" i="25"/>
  <c r="BR74" i="25"/>
  <c r="BR73" i="25"/>
  <c r="BT71" i="25"/>
  <c r="BS71" i="25"/>
  <c r="BQ71" i="25"/>
  <c r="BP71" i="25"/>
  <c r="BO71" i="25"/>
  <c r="BN71" i="25"/>
  <c r="BU70" i="25"/>
  <c r="BR70" i="25"/>
  <c r="BU69" i="25"/>
  <c r="BR69" i="25"/>
  <c r="BU68" i="25"/>
  <c r="BR68" i="25"/>
  <c r="BT66" i="25"/>
  <c r="BS66" i="25"/>
  <c r="BQ66" i="25"/>
  <c r="BP66" i="25"/>
  <c r="BO66" i="25"/>
  <c r="BN66" i="25"/>
  <c r="BU65" i="25"/>
  <c r="BR65" i="25"/>
  <c r="BU64" i="25"/>
  <c r="BR64" i="25"/>
  <c r="BU63" i="25"/>
  <c r="BR63" i="25"/>
  <c r="BU62" i="25"/>
  <c r="BR62" i="25"/>
  <c r="BU61" i="25"/>
  <c r="BR61" i="25"/>
  <c r="BU60" i="25"/>
  <c r="BR60" i="25"/>
  <c r="BU59" i="25"/>
  <c r="BR59" i="25"/>
  <c r="BU58" i="25"/>
  <c r="BR58" i="25"/>
  <c r="BU54" i="25"/>
  <c r="BT54" i="25"/>
  <c r="BS54" i="25"/>
  <c r="BQ54" i="25"/>
  <c r="BO54" i="25"/>
  <c r="BN54" i="25"/>
  <c r="BT52" i="25"/>
  <c r="BS52" i="25"/>
  <c r="BQ52" i="25"/>
  <c r="BO52" i="25"/>
  <c r="BN52" i="25"/>
  <c r="BU51" i="25"/>
  <c r="BU50" i="25"/>
  <c r="BT46" i="25"/>
  <c r="BS46" i="25"/>
  <c r="BQ46" i="25"/>
  <c r="BO46" i="25"/>
  <c r="BN46" i="25"/>
  <c r="BU45" i="25"/>
  <c r="BU44" i="25"/>
  <c r="BU43" i="25"/>
  <c r="BU42" i="25"/>
  <c r="BU41" i="25"/>
  <c r="BU40" i="25"/>
  <c r="BU39" i="25"/>
  <c r="BU38" i="25"/>
  <c r="BU37" i="25"/>
  <c r="BU36" i="25"/>
  <c r="BU35" i="25"/>
  <c r="BU34" i="25"/>
  <c r="BU32" i="25"/>
  <c r="BU30" i="25"/>
  <c r="BU29" i="25"/>
  <c r="BU28" i="25"/>
  <c r="BU27" i="25"/>
  <c r="BU26" i="25"/>
  <c r="BU25" i="25"/>
  <c r="BU24" i="25"/>
  <c r="BU23" i="25"/>
  <c r="BU22" i="25"/>
  <c r="BU21" i="25"/>
  <c r="BU20" i="25"/>
  <c r="BS18" i="25"/>
  <c r="BQ18" i="25"/>
  <c r="BP18" i="25"/>
  <c r="BO18" i="25"/>
  <c r="BN18" i="25"/>
  <c r="BR17" i="25"/>
  <c r="BR16" i="25"/>
  <c r="BR15" i="25"/>
  <c r="BR14" i="25"/>
  <c r="BR13" i="25"/>
  <c r="BR12" i="25"/>
  <c r="BS116" i="24"/>
  <c r="BQ116" i="24"/>
  <c r="BP116" i="24"/>
  <c r="BO116" i="24"/>
  <c r="BN116" i="24"/>
  <c r="BR115" i="24"/>
  <c r="BR114" i="24"/>
  <c r="BR113" i="24"/>
  <c r="BR112" i="24"/>
  <c r="BR111" i="24"/>
  <c r="BR110" i="24"/>
  <c r="BR109" i="24"/>
  <c r="BR108" i="24"/>
  <c r="BR107" i="24"/>
  <c r="BR106" i="24"/>
  <c r="BR105" i="24"/>
  <c r="BR104" i="24"/>
  <c r="BR103" i="24"/>
  <c r="BR102" i="24"/>
  <c r="BR101" i="24"/>
  <c r="BR100" i="24"/>
  <c r="BT97" i="24"/>
  <c r="BQ97" i="24"/>
  <c r="BP97" i="24"/>
  <c r="BO97" i="24"/>
  <c r="BN97" i="24"/>
  <c r="BR96" i="24"/>
  <c r="BR95" i="24"/>
  <c r="BR94" i="24"/>
  <c r="BR93" i="24"/>
  <c r="BR92" i="24"/>
  <c r="BR91" i="24"/>
  <c r="BR90" i="24"/>
  <c r="BR89" i="24"/>
  <c r="BT87" i="24"/>
  <c r="BQ87" i="24"/>
  <c r="BP87" i="24"/>
  <c r="BP98" i="24" s="1"/>
  <c r="BO87" i="24"/>
  <c r="BN87" i="24"/>
  <c r="BR86" i="24"/>
  <c r="BR85" i="24"/>
  <c r="BR84" i="24"/>
  <c r="BR83" i="24"/>
  <c r="BR82" i="24"/>
  <c r="BR81" i="24"/>
  <c r="BR80" i="24"/>
  <c r="BR79" i="24"/>
  <c r="BR78" i="24"/>
  <c r="BR77" i="24"/>
  <c r="BR76" i="24"/>
  <c r="BR75" i="24"/>
  <c r="BR74" i="24"/>
  <c r="BR73" i="24"/>
  <c r="BR72" i="24"/>
  <c r="BR71" i="24"/>
  <c r="BR70" i="24"/>
  <c r="BR69" i="24"/>
  <c r="BT65" i="24"/>
  <c r="BS65" i="24"/>
  <c r="BQ65" i="24"/>
  <c r="BO65" i="24"/>
  <c r="BN65" i="24"/>
  <c r="BU64" i="24"/>
  <c r="BU63" i="24"/>
  <c r="BU62" i="24"/>
  <c r="BT60" i="24"/>
  <c r="BS60" i="24"/>
  <c r="BQ60" i="24"/>
  <c r="BO60" i="24"/>
  <c r="BN60" i="24"/>
  <c r="BU59" i="24"/>
  <c r="BU58" i="24"/>
  <c r="BU56" i="24"/>
  <c r="BU55" i="24"/>
  <c r="BT53" i="24"/>
  <c r="BS53" i="24"/>
  <c r="BQ53" i="24"/>
  <c r="BO53" i="24"/>
  <c r="BN53" i="24"/>
  <c r="BU52" i="24"/>
  <c r="BU51" i="24"/>
  <c r="BU50" i="24"/>
  <c r="BU49" i="24"/>
  <c r="BU48" i="24"/>
  <c r="BU47" i="24"/>
  <c r="BT44" i="24"/>
  <c r="BS44" i="24"/>
  <c r="BQ44" i="24"/>
  <c r="BO44" i="24"/>
  <c r="BN44" i="24"/>
  <c r="BU43" i="24"/>
  <c r="BU42" i="24"/>
  <c r="BU41" i="24"/>
  <c r="BU40" i="24"/>
  <c r="BU39" i="24"/>
  <c r="BU38" i="24"/>
  <c r="BU37" i="24"/>
  <c r="BU36" i="24"/>
  <c r="BU35" i="24"/>
  <c r="BU34" i="24"/>
  <c r="BU33" i="24"/>
  <c r="BU32" i="24"/>
  <c r="BU31" i="24"/>
  <c r="BU30" i="24"/>
  <c r="BU29" i="24"/>
  <c r="BU28" i="24"/>
  <c r="BU27" i="24"/>
  <c r="BU26" i="24"/>
  <c r="BU25" i="24"/>
  <c r="BU24" i="24"/>
  <c r="BU23" i="24"/>
  <c r="BU22" i="24"/>
  <c r="BU20" i="24"/>
  <c r="BU19" i="24"/>
  <c r="BS17" i="24"/>
  <c r="BQ17" i="24"/>
  <c r="BP17" i="24"/>
  <c r="BO17" i="24"/>
  <c r="BN17" i="24"/>
  <c r="BU16" i="24"/>
  <c r="BR16" i="24"/>
  <c r="BV16" i="24" s="1"/>
  <c r="BU15" i="24"/>
  <c r="BR15" i="24"/>
  <c r="BU14" i="24"/>
  <c r="BR14" i="24"/>
  <c r="BV14" i="24" s="1"/>
  <c r="BR13" i="24"/>
  <c r="BU12" i="24"/>
  <c r="BR12" i="24"/>
  <c r="BT51" i="37"/>
  <c r="BS51" i="37"/>
  <c r="BQ51" i="37"/>
  <c r="BO51" i="37"/>
  <c r="BN51" i="37"/>
  <c r="BU50" i="37"/>
  <c r="BU49" i="37"/>
  <c r="BU44" i="37"/>
  <c r="BU42" i="37"/>
  <c r="BU41" i="37"/>
  <c r="BU40" i="37"/>
  <c r="BU13" i="37"/>
  <c r="BU12" i="37"/>
  <c r="BU52" i="38"/>
  <c r="BT52" i="38"/>
  <c r="BR52" i="38"/>
  <c r="BP52" i="38"/>
  <c r="BV51" i="38"/>
  <c r="BV52" i="38" s="1"/>
  <c r="BV47" i="38"/>
  <c r="BV46" i="38"/>
  <c r="BV45" i="38"/>
  <c r="BV44" i="38"/>
  <c r="BV39" i="38"/>
  <c r="BV42" i="38" s="1"/>
  <c r="BV30" i="38"/>
  <c r="BV29" i="38"/>
  <c r="BV28" i="38"/>
  <c r="BV27" i="38"/>
  <c r="BU25" i="38"/>
  <c r="BT25" i="38"/>
  <c r="BR25" i="38"/>
  <c r="BQ25" i="38"/>
  <c r="BP25" i="38"/>
  <c r="BV24" i="38"/>
  <c r="BV23" i="38"/>
  <c r="BV22" i="38"/>
  <c r="BU20" i="38"/>
  <c r="BT20" i="38"/>
  <c r="BR20" i="38"/>
  <c r="BQ20" i="38"/>
  <c r="BP20" i="38"/>
  <c r="BV19" i="38"/>
  <c r="BV17" i="38"/>
  <c r="BV16" i="38"/>
  <c r="BV15" i="38"/>
  <c r="BV14" i="38"/>
  <c r="BS14" i="38"/>
  <c r="BV13" i="38"/>
  <c r="BS13" i="38"/>
  <c r="BV12" i="38"/>
  <c r="BS12" i="38"/>
  <c r="BV11" i="38"/>
  <c r="BS11" i="38"/>
  <c r="BT49" i="34"/>
  <c r="BS49" i="34"/>
  <c r="BQ49" i="34"/>
  <c r="BP49" i="34"/>
  <c r="BN49" i="34"/>
  <c r="BU48" i="34"/>
  <c r="BU49" i="34" s="1"/>
  <c r="BT47" i="34"/>
  <c r="BS47" i="34"/>
  <c r="BQ47" i="34"/>
  <c r="BO47" i="34"/>
  <c r="BU46" i="34"/>
  <c r="BU45" i="34"/>
  <c r="BT43" i="34"/>
  <c r="BS43" i="34"/>
  <c r="BQ43" i="34"/>
  <c r="BO43" i="34"/>
  <c r="BN43" i="34"/>
  <c r="BU42" i="34"/>
  <c r="BU41" i="34"/>
  <c r="BU40" i="34"/>
  <c r="BU39" i="34"/>
  <c r="BU38" i="34"/>
  <c r="BT36" i="34"/>
  <c r="BS36" i="34"/>
  <c r="BQ36" i="34"/>
  <c r="BO36" i="34"/>
  <c r="BN36" i="34"/>
  <c r="BU33" i="34"/>
  <c r="BU30" i="34"/>
  <c r="BU29" i="34"/>
  <c r="BT27" i="34"/>
  <c r="BS27" i="34"/>
  <c r="BQ27" i="34"/>
  <c r="BO27" i="34"/>
  <c r="BN27" i="34"/>
  <c r="BU26" i="34"/>
  <c r="BU25" i="34"/>
  <c r="BU24" i="34"/>
  <c r="BT22" i="34"/>
  <c r="BS22" i="34"/>
  <c r="BQ22" i="34"/>
  <c r="BO22" i="34"/>
  <c r="BN22" i="34"/>
  <c r="BU21" i="34"/>
  <c r="BU20" i="34"/>
  <c r="BU19" i="34"/>
  <c r="BU18" i="34"/>
  <c r="BU17" i="34"/>
  <c r="BT15" i="34"/>
  <c r="BS15" i="34"/>
  <c r="BQ15" i="34"/>
  <c r="BN15" i="34"/>
  <c r="BU13" i="34"/>
  <c r="BU12" i="34"/>
  <c r="BU11" i="34"/>
  <c r="BT34" i="33"/>
  <c r="BS34" i="33"/>
  <c r="BQ34" i="33"/>
  <c r="BO34" i="33"/>
  <c r="BN34" i="33"/>
  <c r="BU33" i="33"/>
  <c r="BU34" i="33" s="1"/>
  <c r="BT32" i="33"/>
  <c r="BS32" i="33"/>
  <c r="BQ32" i="33"/>
  <c r="BO32" i="33"/>
  <c r="BN32" i="33"/>
  <c r="BU31" i="33"/>
  <c r="BU30" i="33"/>
  <c r="BR30" i="33"/>
  <c r="BU29" i="33"/>
  <c r="BR29" i="33"/>
  <c r="BT26" i="33"/>
  <c r="BS26" i="33"/>
  <c r="BQ26" i="33"/>
  <c r="BP26" i="33"/>
  <c r="BN26" i="33"/>
  <c r="BU25" i="33"/>
  <c r="BU24" i="33"/>
  <c r="BR24" i="33"/>
  <c r="BT22" i="33"/>
  <c r="BS22" i="33"/>
  <c r="BQ22" i="33"/>
  <c r="BP22" i="33"/>
  <c r="BN22" i="33"/>
  <c r="BU21" i="33"/>
  <c r="BU20" i="33"/>
  <c r="BT18" i="33"/>
  <c r="BS18" i="33"/>
  <c r="BQ18" i="33"/>
  <c r="BU15" i="33"/>
  <c r="BU14" i="33"/>
  <c r="BU13" i="33"/>
  <c r="BU12" i="33"/>
  <c r="BR12" i="33"/>
  <c r="BU11" i="33"/>
  <c r="BR11" i="33"/>
  <c r="BU10" i="33"/>
  <c r="BR10" i="33"/>
  <c r="BV88" i="32"/>
  <c r="BV109" i="32" s="1"/>
  <c r="BV78" i="32"/>
  <c r="BV63" i="32"/>
  <c r="BV46" i="32"/>
  <c r="BV24" i="32"/>
  <c r="BU22" i="32"/>
  <c r="BT22" i="32"/>
  <c r="BR22" i="32"/>
  <c r="BO22" i="32"/>
  <c r="BV21" i="32"/>
  <c r="BV20" i="32"/>
  <c r="BV18" i="32"/>
  <c r="BU15" i="32"/>
  <c r="BT15" i="32"/>
  <c r="BR15" i="32"/>
  <c r="BQ15" i="32"/>
  <c r="BO15" i="32"/>
  <c r="BV14" i="32"/>
  <c r="BV13" i="32"/>
  <c r="BV12" i="32"/>
  <c r="BT72" i="28"/>
  <c r="BS72" i="28"/>
  <c r="BP72" i="28"/>
  <c r="BO72" i="28"/>
  <c r="BN72" i="28"/>
  <c r="BU71" i="28"/>
  <c r="BT69" i="28"/>
  <c r="BS69" i="28"/>
  <c r="BS73" i="28" s="1"/>
  <c r="BQ69" i="28"/>
  <c r="BN69" i="28"/>
  <c r="BU67" i="28"/>
  <c r="BU66" i="28"/>
  <c r="BU65" i="28"/>
  <c r="BU64" i="28"/>
  <c r="BR64" i="28"/>
  <c r="BT61" i="28"/>
  <c r="BS61" i="28"/>
  <c r="BQ61" i="28"/>
  <c r="BP61" i="28"/>
  <c r="BN61" i="28"/>
  <c r="BU60" i="28"/>
  <c r="BR60" i="28"/>
  <c r="BU59" i="28"/>
  <c r="BR59" i="28"/>
  <c r="BU58" i="28"/>
  <c r="BR58" i="28"/>
  <c r="BV58" i="28" s="1"/>
  <c r="BU57" i="28"/>
  <c r="BR57" i="28"/>
  <c r="BV57" i="28" s="1"/>
  <c r="BU56" i="28"/>
  <c r="BR56" i="28"/>
  <c r="BV56" i="28" s="1"/>
  <c r="BU55" i="28"/>
  <c r="BR55" i="28"/>
  <c r="BV55" i="28" s="1"/>
  <c r="BU54" i="28"/>
  <c r="BR54" i="28"/>
  <c r="BV54" i="28" s="1"/>
  <c r="BU53" i="28"/>
  <c r="BR53" i="28"/>
  <c r="BV53" i="28" s="1"/>
  <c r="BU52" i="28"/>
  <c r="BU48" i="28"/>
  <c r="BU47" i="28"/>
  <c r="BU46" i="28"/>
  <c r="BU45" i="28"/>
  <c r="BU43" i="28"/>
  <c r="BT43" i="28"/>
  <c r="BS43" i="28"/>
  <c r="BQ43" i="28"/>
  <c r="BN43" i="28"/>
  <c r="BT30" i="28"/>
  <c r="BS30" i="28"/>
  <c r="BQ30" i="28"/>
  <c r="BP30" i="28"/>
  <c r="BN30" i="28"/>
  <c r="BU29" i="28"/>
  <c r="BU28" i="28"/>
  <c r="BU27" i="28"/>
  <c r="BT25" i="28"/>
  <c r="BT31" i="28" s="1"/>
  <c r="BS25" i="28"/>
  <c r="BQ25" i="28"/>
  <c r="BP25" i="28"/>
  <c r="BN25" i="28"/>
  <c r="BN31" i="28" s="1"/>
  <c r="BU24" i="28"/>
  <c r="BU23" i="28"/>
  <c r="BU22" i="28"/>
  <c r="BU21" i="28"/>
  <c r="BR20" i="28"/>
  <c r="BV20" i="28" s="1"/>
  <c r="BU16" i="28"/>
  <c r="BT16" i="28"/>
  <c r="BS16" i="28"/>
  <c r="BQ16" i="28"/>
  <c r="BO16" i="28"/>
  <c r="BN16" i="28"/>
  <c r="BT14" i="28"/>
  <c r="BS14" i="28"/>
  <c r="BQ14" i="28"/>
  <c r="BP14" i="28"/>
  <c r="BN14" i="28"/>
  <c r="BU13" i="28"/>
  <c r="BU12" i="28"/>
  <c r="BR12" i="28"/>
  <c r="BU11" i="28"/>
  <c r="BR11" i="28"/>
  <c r="BU10" i="28"/>
  <c r="BR10" i="28"/>
  <c r="BV10" i="28" s="1"/>
  <c r="BX71" i="7"/>
  <c r="BW71" i="7"/>
  <c r="BU71" i="7"/>
  <c r="BT71" i="7"/>
  <c r="BS71" i="7"/>
  <c r="BY70" i="7"/>
  <c r="BY71" i="7" s="1"/>
  <c r="BW69" i="7"/>
  <c r="BR69" i="7"/>
  <c r="BY66" i="7"/>
  <c r="BY65" i="7"/>
  <c r="BY64" i="7"/>
  <c r="BY63" i="7"/>
  <c r="BX56" i="7"/>
  <c r="BW56" i="7"/>
  <c r="BU56" i="7"/>
  <c r="BT56" i="7"/>
  <c r="BR56" i="7"/>
  <c r="BY55" i="7"/>
  <c r="BY54" i="7"/>
  <c r="BX52" i="7"/>
  <c r="BW52" i="7"/>
  <c r="BU52" i="7"/>
  <c r="BU57" i="7" s="1"/>
  <c r="BT52" i="7"/>
  <c r="BR52" i="7"/>
  <c r="BY51" i="7"/>
  <c r="BY50" i="7"/>
  <c r="BR44" i="7"/>
  <c r="BY38" i="7"/>
  <c r="BY37" i="7"/>
  <c r="BY36" i="7"/>
  <c r="BX34" i="7"/>
  <c r="BW34" i="7"/>
  <c r="BU34" i="7"/>
  <c r="BT34" i="7"/>
  <c r="BR34" i="7"/>
  <c r="BY33" i="7"/>
  <c r="BY32" i="7"/>
  <c r="BY31" i="7"/>
  <c r="BX29" i="7"/>
  <c r="BW29" i="7"/>
  <c r="BU29" i="7"/>
  <c r="BT29" i="7"/>
  <c r="BR29" i="7"/>
  <c r="BY17" i="7"/>
  <c r="BY16" i="7"/>
  <c r="BY15" i="7"/>
  <c r="BY14" i="7"/>
  <c r="BX12" i="7"/>
  <c r="BW12" i="7"/>
  <c r="BU12" i="7"/>
  <c r="BS12" i="7"/>
  <c r="BR12" i="7"/>
  <c r="BY11" i="7"/>
  <c r="BY10" i="7"/>
  <c r="BF62" i="7"/>
  <c r="AV62" i="7"/>
  <c r="AV69" i="7" s="1"/>
  <c r="AT62" i="7"/>
  <c r="AR62" i="7"/>
  <c r="AR69" i="7" s="1"/>
  <c r="AP62" i="7"/>
  <c r="AN69" i="7"/>
  <c r="AJ62" i="7"/>
  <c r="AJ69" i="7" s="1"/>
  <c r="AH62" i="7"/>
  <c r="AI62" i="7" s="1"/>
  <c r="AF62" i="7"/>
  <c r="S22" i="32"/>
  <c r="T22" i="32"/>
  <c r="U22" i="32"/>
  <c r="V22" i="32"/>
  <c r="F21" i="32"/>
  <c r="F20" i="32"/>
  <c r="BJ34" i="28"/>
  <c r="F34" i="28" s="1"/>
  <c r="E34" i="28"/>
  <c r="BG70" i="7"/>
  <c r="BG71" i="7" s="1"/>
  <c r="BE70" i="7"/>
  <c r="BC70" i="7"/>
  <c r="BC71" i="7" s="1"/>
  <c r="BA70" i="7"/>
  <c r="AY70" i="7"/>
  <c r="AY71" i="7" s="1"/>
  <c r="AW70" i="7"/>
  <c r="AW71" i="7" s="1"/>
  <c r="AU70" i="7"/>
  <c r="AU71" i="7" s="1"/>
  <c r="AS70" i="7"/>
  <c r="AO70" i="7"/>
  <c r="AM70" i="7"/>
  <c r="AK70" i="7"/>
  <c r="AK71" i="7" s="1"/>
  <c r="AG70" i="7"/>
  <c r="AG71" i="7" s="1"/>
  <c r="BV10" i="33"/>
  <c r="BU61" i="28"/>
  <c r="BK34" i="28"/>
  <c r="BU72" i="28"/>
  <c r="BZ11" i="7"/>
  <c r="L52" i="25"/>
  <c r="B22" i="20"/>
  <c r="B21" i="20"/>
  <c r="C22" i="20"/>
  <c r="C21" i="20"/>
  <c r="AA52" i="38"/>
  <c r="W52" i="38"/>
  <c r="S52" i="38"/>
  <c r="BK51" i="38"/>
  <c r="F47" i="38"/>
  <c r="F46" i="38"/>
  <c r="AZ46" i="38" s="1"/>
  <c r="F45" i="38"/>
  <c r="BK44" i="38"/>
  <c r="BK39" i="38"/>
  <c r="BK42" i="38" s="1"/>
  <c r="F29" i="38"/>
  <c r="BK27" i="38"/>
  <c r="G27" i="38" s="1"/>
  <c r="H27" i="38" s="1"/>
  <c r="R27" i="38" s="1"/>
  <c r="BL27" i="38"/>
  <c r="AA25" i="38"/>
  <c r="S25" i="38"/>
  <c r="F23" i="38"/>
  <c r="BK22" i="38"/>
  <c r="F22" i="38"/>
  <c r="AA20" i="38"/>
  <c r="F19" i="38"/>
  <c r="AF19" i="38" s="1"/>
  <c r="BK15" i="38"/>
  <c r="AA13" i="38"/>
  <c r="V13" i="38"/>
  <c r="U13" i="38"/>
  <c r="T13" i="38"/>
  <c r="S13" i="38"/>
  <c r="BK12" i="38"/>
  <c r="F12" i="38"/>
  <c r="BK11" i="38"/>
  <c r="G11" i="38" s="1"/>
  <c r="F11" i="38"/>
  <c r="BJ50" i="37"/>
  <c r="F50" i="37" s="1"/>
  <c r="BE50" i="37"/>
  <c r="E50" i="37"/>
  <c r="BJ49" i="37"/>
  <c r="BE49" i="37"/>
  <c r="E49" i="37"/>
  <c r="BJ44" i="37"/>
  <c r="F44" i="37" s="1"/>
  <c r="S47" i="37" s="1"/>
  <c r="E44" i="37"/>
  <c r="BJ42" i="37"/>
  <c r="F42" i="37" s="1"/>
  <c r="BJ41" i="37"/>
  <c r="F41" i="37" s="1"/>
  <c r="E41" i="37"/>
  <c r="BJ40" i="37"/>
  <c r="E13" i="37"/>
  <c r="AY13" i="37" s="1"/>
  <c r="AY38" i="37" s="1"/>
  <c r="BJ12" i="37"/>
  <c r="BO52" i="38"/>
  <c r="Y33" i="33"/>
  <c r="Y34" i="33" s="1"/>
  <c r="V33" i="33"/>
  <c r="X31" i="33"/>
  <c r="Y31" i="33"/>
  <c r="V31" i="33"/>
  <c r="V30" i="33"/>
  <c r="W30" i="33"/>
  <c r="X30" i="33"/>
  <c r="Y30" i="33"/>
  <c r="W29" i="33"/>
  <c r="X29" i="33"/>
  <c r="Y29" i="33"/>
  <c r="V29" i="33"/>
  <c r="Y25" i="33"/>
  <c r="V25" i="33"/>
  <c r="Y24" i="33"/>
  <c r="V24" i="33"/>
  <c r="C16" i="20"/>
  <c r="B17" i="20"/>
  <c r="B16" i="20"/>
  <c r="B15" i="20"/>
  <c r="R49" i="34"/>
  <c r="E48" i="34"/>
  <c r="V48" i="34" s="1"/>
  <c r="V49" i="34" s="1"/>
  <c r="S47" i="34"/>
  <c r="R47" i="34"/>
  <c r="F46" i="34"/>
  <c r="F45" i="34"/>
  <c r="E45" i="34"/>
  <c r="U43" i="34"/>
  <c r="T43" i="34"/>
  <c r="S43" i="34"/>
  <c r="R43" i="34"/>
  <c r="F43" i="34"/>
  <c r="E42" i="34"/>
  <c r="G42" i="34" s="1"/>
  <c r="E41" i="34"/>
  <c r="E40" i="34"/>
  <c r="E39" i="34"/>
  <c r="E38" i="34"/>
  <c r="E33" i="34"/>
  <c r="F29" i="34"/>
  <c r="S27" i="34"/>
  <c r="R27" i="34"/>
  <c r="E25" i="34"/>
  <c r="G25" i="34" s="1"/>
  <c r="E24" i="34"/>
  <c r="U22" i="34"/>
  <c r="R22" i="34"/>
  <c r="F22" i="34"/>
  <c r="E21" i="34"/>
  <c r="E20" i="34"/>
  <c r="E19" i="34"/>
  <c r="E18" i="34"/>
  <c r="G18" i="34" s="1"/>
  <c r="N18" i="34" s="1"/>
  <c r="E17" i="34"/>
  <c r="Z34" i="33"/>
  <c r="V34" i="33"/>
  <c r="U34" i="33"/>
  <c r="R34" i="33"/>
  <c r="F34" i="33"/>
  <c r="U32" i="33"/>
  <c r="T32" i="33"/>
  <c r="S32" i="33"/>
  <c r="R32" i="33"/>
  <c r="F32" i="33"/>
  <c r="G31" i="33"/>
  <c r="I31" i="33" s="1"/>
  <c r="E30" i="33"/>
  <c r="G30" i="33" s="1"/>
  <c r="P30" i="33" s="1"/>
  <c r="E29" i="33"/>
  <c r="G29" i="33" s="1"/>
  <c r="K29" i="33" s="1"/>
  <c r="Z26" i="33"/>
  <c r="U26" i="33"/>
  <c r="R26" i="33"/>
  <c r="F26" i="33"/>
  <c r="E25" i="33"/>
  <c r="G25" i="33" s="1"/>
  <c r="L25" i="33" s="1"/>
  <c r="E24" i="33"/>
  <c r="Z22" i="33"/>
  <c r="U22" i="33"/>
  <c r="T22" i="33"/>
  <c r="S22" i="33"/>
  <c r="R22" i="33"/>
  <c r="E14" i="33"/>
  <c r="E13" i="33"/>
  <c r="G13" i="33" s="1"/>
  <c r="E12" i="33"/>
  <c r="G12" i="33" s="1"/>
  <c r="F18" i="32"/>
  <c r="F14" i="32"/>
  <c r="F13" i="32"/>
  <c r="BK12" i="32"/>
  <c r="F12" i="32"/>
  <c r="G15" i="33"/>
  <c r="Q33" i="33"/>
  <c r="Q34" i="33" s="1"/>
  <c r="L33" i="33"/>
  <c r="L34" i="33" s="1"/>
  <c r="M33" i="33"/>
  <c r="M34" i="33" s="1"/>
  <c r="N33" i="33"/>
  <c r="N34" i="33" s="1"/>
  <c r="O33" i="33"/>
  <c r="O34" i="33" s="1"/>
  <c r="P33" i="33"/>
  <c r="P34" i="33" s="1"/>
  <c r="G34" i="33"/>
  <c r="H33" i="33"/>
  <c r="H34" i="33" s="1"/>
  <c r="K33" i="33"/>
  <c r="K34" i="33" s="1"/>
  <c r="J33" i="33"/>
  <c r="J34" i="33" s="1"/>
  <c r="I33" i="33"/>
  <c r="I34" i="33" s="1"/>
  <c r="BP33" i="33"/>
  <c r="BO63" i="32"/>
  <c r="BS63" i="32" s="1"/>
  <c r="BO78" i="32"/>
  <c r="BS78" i="32" s="1"/>
  <c r="BO24" i="32"/>
  <c r="BS24" i="32" s="1"/>
  <c r="BO46" i="32"/>
  <c r="BS46" i="32" s="1"/>
  <c r="C11" i="20"/>
  <c r="BJ71" i="28"/>
  <c r="BI71" i="28"/>
  <c r="BI72" i="28" s="1"/>
  <c r="BG71" i="28"/>
  <c r="BG72" i="28" s="1"/>
  <c r="BE71" i="28"/>
  <c r="BC71" i="28"/>
  <c r="BC72" i="28" s="1"/>
  <c r="BA71" i="28"/>
  <c r="BA72" i="28" s="1"/>
  <c r="AY71" i="28"/>
  <c r="AY72" i="28" s="1"/>
  <c r="AW71" i="28"/>
  <c r="AW72" i="28" s="1"/>
  <c r="AU71" i="28"/>
  <c r="AU72" i="28" s="1"/>
  <c r="AS71" i="28"/>
  <c r="AQ71" i="28"/>
  <c r="AQ72" i="28" s="1"/>
  <c r="AO71" i="28"/>
  <c r="AO72" i="28" s="1"/>
  <c r="AM71" i="28"/>
  <c r="AM72" i="28" s="1"/>
  <c r="AK71" i="28"/>
  <c r="AK72" i="28" s="1"/>
  <c r="AI71" i="28"/>
  <c r="AI72" i="28" s="1"/>
  <c r="AG71" i="28"/>
  <c r="AE71" i="28"/>
  <c r="AE72" i="28" s="1"/>
  <c r="AC71" i="28"/>
  <c r="AC72" i="28" s="1"/>
  <c r="AA71" i="28"/>
  <c r="AA72" i="28" s="1"/>
  <c r="E71" i="28"/>
  <c r="BJ67" i="28"/>
  <c r="F67" i="28" s="1"/>
  <c r="BI67" i="28"/>
  <c r="BG67" i="28"/>
  <c r="BE67" i="28"/>
  <c r="BC67" i="28"/>
  <c r="BA67" i="28"/>
  <c r="AY67" i="28"/>
  <c r="AW67" i="28"/>
  <c r="AU67" i="28"/>
  <c r="AS67" i="28"/>
  <c r="AQ67" i="28"/>
  <c r="AO67" i="28"/>
  <c r="AM67" i="28"/>
  <c r="AK67" i="28"/>
  <c r="AI67" i="28"/>
  <c r="AG67" i="28"/>
  <c r="AE67" i="28"/>
  <c r="AC67" i="28"/>
  <c r="AA67" i="28"/>
  <c r="E67" i="28"/>
  <c r="Y67" i="28" s="1"/>
  <c r="BJ66" i="28"/>
  <c r="F66" i="28" s="1"/>
  <c r="BI66" i="28"/>
  <c r="BG66" i="28"/>
  <c r="BE66" i="28"/>
  <c r="BC66" i="28"/>
  <c r="BA66" i="28"/>
  <c r="AY66" i="28"/>
  <c r="AW66" i="28"/>
  <c r="AU66" i="28"/>
  <c r="AS66" i="28"/>
  <c r="AQ66" i="28"/>
  <c r="AO66" i="28"/>
  <c r="AM66" i="28"/>
  <c r="AK66" i="28"/>
  <c r="AI66" i="28"/>
  <c r="AG66" i="28"/>
  <c r="AE66" i="28"/>
  <c r="AC66" i="28"/>
  <c r="AA66" i="28"/>
  <c r="E66" i="28"/>
  <c r="Y66" i="28" s="1"/>
  <c r="BJ65" i="28"/>
  <c r="BI65" i="28"/>
  <c r="BG65" i="28"/>
  <c r="BE65" i="28"/>
  <c r="BC65" i="28"/>
  <c r="BA65" i="28"/>
  <c r="AY65" i="28"/>
  <c r="AW65" i="28"/>
  <c r="AU65" i="28"/>
  <c r="AS65" i="28"/>
  <c r="AQ65" i="28"/>
  <c r="AQ69" i="28" s="1"/>
  <c r="AO65" i="28"/>
  <c r="AM65" i="28"/>
  <c r="AK65" i="28"/>
  <c r="AI65" i="28"/>
  <c r="AG65" i="28"/>
  <c r="AE65" i="28"/>
  <c r="AE69" i="28" s="1"/>
  <c r="AC65" i="28"/>
  <c r="AA65" i="28"/>
  <c r="E65" i="28"/>
  <c r="Y65" i="28" s="1"/>
  <c r="BJ60" i="28"/>
  <c r="F60" i="28" s="1"/>
  <c r="BI60" i="28"/>
  <c r="BG60" i="28"/>
  <c r="BE60" i="28"/>
  <c r="BC60" i="28"/>
  <c r="BA60" i="28"/>
  <c r="AY60" i="28"/>
  <c r="AW60" i="28"/>
  <c r="AU60" i="28"/>
  <c r="AS60" i="28"/>
  <c r="AQ60" i="28"/>
  <c r="AO60" i="28"/>
  <c r="AM60" i="28"/>
  <c r="AK60" i="28"/>
  <c r="AI60" i="28"/>
  <c r="AG60" i="28"/>
  <c r="AE60" i="28"/>
  <c r="AC60" i="28"/>
  <c r="AA60" i="28"/>
  <c r="E60" i="28"/>
  <c r="BJ59" i="28"/>
  <c r="F59" i="28" s="1"/>
  <c r="BI59" i="28"/>
  <c r="BG59" i="28"/>
  <c r="BE59" i="28"/>
  <c r="BC59" i="28"/>
  <c r="BA59" i="28"/>
  <c r="AY59" i="28"/>
  <c r="AW59" i="28"/>
  <c r="AU59" i="28"/>
  <c r="AS59" i="28"/>
  <c r="AQ59" i="28"/>
  <c r="AO59" i="28"/>
  <c r="AM59" i="28"/>
  <c r="AK59" i="28"/>
  <c r="AI59" i="28"/>
  <c r="AG59" i="28"/>
  <c r="AE59" i="28"/>
  <c r="AC59" i="28"/>
  <c r="AA59" i="28"/>
  <c r="E59" i="28"/>
  <c r="BJ58" i="28"/>
  <c r="F58" i="28" s="1"/>
  <c r="BI58" i="28"/>
  <c r="BG58" i="28"/>
  <c r="BE58" i="28"/>
  <c r="BC58" i="28"/>
  <c r="BA58" i="28"/>
  <c r="AY58" i="28"/>
  <c r="AW58" i="28"/>
  <c r="AU58" i="28"/>
  <c r="AS58" i="28"/>
  <c r="AQ58" i="28"/>
  <c r="AO58" i="28"/>
  <c r="AM58" i="28"/>
  <c r="AK58" i="28"/>
  <c r="AI58" i="28"/>
  <c r="AG58" i="28"/>
  <c r="AE58" i="28"/>
  <c r="AC58" i="28"/>
  <c r="AA58" i="28"/>
  <c r="E58" i="28"/>
  <c r="BJ57" i="28"/>
  <c r="F57" i="28" s="1"/>
  <c r="G57" i="28" s="1"/>
  <c r="O57" i="28" s="1"/>
  <c r="BI57" i="28"/>
  <c r="BG57" i="28"/>
  <c r="BE57" i="28"/>
  <c r="BC57" i="28"/>
  <c r="BA57" i="28"/>
  <c r="AY57" i="28"/>
  <c r="AW57" i="28"/>
  <c r="AU57" i="28"/>
  <c r="AS57" i="28"/>
  <c r="AQ57" i="28"/>
  <c r="AO57" i="28"/>
  <c r="AM57" i="28"/>
  <c r="AK57" i="28"/>
  <c r="AI57" i="28"/>
  <c r="AG57" i="28"/>
  <c r="AE57" i="28"/>
  <c r="AC57" i="28"/>
  <c r="AA57" i="28"/>
  <c r="E57" i="28"/>
  <c r="BJ56" i="28"/>
  <c r="F56" i="28" s="1"/>
  <c r="BI56" i="28"/>
  <c r="BG56" i="28"/>
  <c r="BE56" i="28"/>
  <c r="BC56" i="28"/>
  <c r="BA56" i="28"/>
  <c r="AY56" i="28"/>
  <c r="AW56" i="28"/>
  <c r="AU56" i="28"/>
  <c r="AS56" i="28"/>
  <c r="AQ56" i="28"/>
  <c r="AO56" i="28"/>
  <c r="AM56" i="28"/>
  <c r="AK56" i="28"/>
  <c r="AI56" i="28"/>
  <c r="AG56" i="28"/>
  <c r="AE56" i="28"/>
  <c r="AC56" i="28"/>
  <c r="AA56" i="28"/>
  <c r="E56" i="28"/>
  <c r="BJ55" i="28"/>
  <c r="F55" i="28" s="1"/>
  <c r="BI55" i="28"/>
  <c r="BG55" i="28"/>
  <c r="BE55" i="28"/>
  <c r="BC55" i="28"/>
  <c r="BA55" i="28"/>
  <c r="AY55" i="28"/>
  <c r="AW55" i="28"/>
  <c r="AU55" i="28"/>
  <c r="AS55" i="28"/>
  <c r="AQ55" i="28"/>
  <c r="AO55" i="28"/>
  <c r="AM55" i="28"/>
  <c r="AK55" i="28"/>
  <c r="AI55" i="28"/>
  <c r="AG55" i="28"/>
  <c r="AE55" i="28"/>
  <c r="AC55" i="28"/>
  <c r="AA55" i="28"/>
  <c r="E55" i="28"/>
  <c r="BJ54" i="28"/>
  <c r="F54" i="28" s="1"/>
  <c r="G54" i="28" s="1"/>
  <c r="N54" i="28" s="1"/>
  <c r="BI54" i="28"/>
  <c r="BG54" i="28"/>
  <c r="BE54" i="28"/>
  <c r="BC54" i="28"/>
  <c r="BA54" i="28"/>
  <c r="AY54" i="28"/>
  <c r="AW54" i="28"/>
  <c r="AU54" i="28"/>
  <c r="AS54" i="28"/>
  <c r="AQ54" i="28"/>
  <c r="AO54" i="28"/>
  <c r="AM54" i="28"/>
  <c r="AK54" i="28"/>
  <c r="AI54" i="28"/>
  <c r="AG54" i="28"/>
  <c r="AE54" i="28"/>
  <c r="AC54" i="28"/>
  <c r="AA54" i="28"/>
  <c r="E54" i="28"/>
  <c r="BJ53" i="28"/>
  <c r="F53" i="28" s="1"/>
  <c r="BI53" i="28"/>
  <c r="BG53" i="28"/>
  <c r="BE53" i="28"/>
  <c r="BC53" i="28"/>
  <c r="BA53" i="28"/>
  <c r="AY53" i="28"/>
  <c r="AW53" i="28"/>
  <c r="AU53" i="28"/>
  <c r="AS53" i="28"/>
  <c r="AQ53" i="28"/>
  <c r="AO53" i="28"/>
  <c r="AM53" i="28"/>
  <c r="AK53" i="28"/>
  <c r="AI53" i="28"/>
  <c r="AG53" i="28"/>
  <c r="AE53" i="28"/>
  <c r="AC53" i="28"/>
  <c r="AA53" i="28"/>
  <c r="E53" i="28"/>
  <c r="BJ52" i="28"/>
  <c r="BG52" i="28"/>
  <c r="BE52" i="28"/>
  <c r="BC52" i="28"/>
  <c r="BA52" i="28"/>
  <c r="AY52" i="28"/>
  <c r="AW52" i="28"/>
  <c r="AU52" i="28"/>
  <c r="AS52" i="28"/>
  <c r="AQ52" i="28"/>
  <c r="AO52" i="28"/>
  <c r="AM52" i="28"/>
  <c r="AK52" i="28"/>
  <c r="AI52" i="28"/>
  <c r="AG52" i="28"/>
  <c r="AE52" i="28"/>
  <c r="AC52" i="28"/>
  <c r="AA52" i="28"/>
  <c r="E52" i="28"/>
  <c r="BJ48" i="28"/>
  <c r="F48" i="28" s="1"/>
  <c r="BI48" i="28"/>
  <c r="BJ47" i="28"/>
  <c r="F47" i="28" s="1"/>
  <c r="BI47" i="28"/>
  <c r="BG47" i="28"/>
  <c r="BE47" i="28"/>
  <c r="BC47" i="28"/>
  <c r="BA47" i="28"/>
  <c r="AY47" i="28"/>
  <c r="AW47" i="28"/>
  <c r="AU47" i="28"/>
  <c r="AS47" i="28"/>
  <c r="AQ47" i="28"/>
  <c r="AO47" i="28"/>
  <c r="AM47" i="28"/>
  <c r="AK47" i="28"/>
  <c r="AI47" i="28"/>
  <c r="AG47" i="28"/>
  <c r="AE47" i="28"/>
  <c r="AC47" i="28"/>
  <c r="AA47" i="28"/>
  <c r="E47" i="28"/>
  <c r="BJ46" i="28"/>
  <c r="F46" i="28" s="1"/>
  <c r="BI46" i="28"/>
  <c r="BG46" i="28"/>
  <c r="BE46" i="28"/>
  <c r="BC46" i="28"/>
  <c r="BA46" i="28"/>
  <c r="AY46" i="28"/>
  <c r="AW46" i="28"/>
  <c r="AU46" i="28"/>
  <c r="AS46" i="28"/>
  <c r="AQ46" i="28"/>
  <c r="AO46" i="28"/>
  <c r="AM46" i="28"/>
  <c r="AK46" i="28"/>
  <c r="AI46" i="28"/>
  <c r="AG46" i="28"/>
  <c r="AE46" i="28"/>
  <c r="AC46" i="28"/>
  <c r="AA46" i="28"/>
  <c r="E46" i="28"/>
  <c r="BJ45" i="28"/>
  <c r="BI45" i="28"/>
  <c r="BJ42" i="28"/>
  <c r="F42" i="28" s="1"/>
  <c r="BI42" i="28"/>
  <c r="BG42" i="28"/>
  <c r="BE42" i="28"/>
  <c r="BC42" i="28"/>
  <c r="BA42" i="28"/>
  <c r="AY42" i="28"/>
  <c r="AW42" i="28"/>
  <c r="AU42" i="28"/>
  <c r="AS42" i="28"/>
  <c r="AQ42" i="28"/>
  <c r="AO42" i="28"/>
  <c r="AM42" i="28"/>
  <c r="AK42" i="28"/>
  <c r="AI42" i="28"/>
  <c r="AG42" i="28"/>
  <c r="AE42" i="28"/>
  <c r="AC42" i="28"/>
  <c r="AA42" i="28"/>
  <c r="E42" i="28"/>
  <c r="BJ41" i="28"/>
  <c r="F41" i="28" s="1"/>
  <c r="BI41" i="28"/>
  <c r="E41" i="28"/>
  <c r="BJ40" i="28"/>
  <c r="F40" i="28" s="1"/>
  <c r="BI40" i="28"/>
  <c r="BG40" i="28"/>
  <c r="BE40" i="28"/>
  <c r="BC40" i="28"/>
  <c r="BA40" i="28"/>
  <c r="AY40" i="28"/>
  <c r="AW40" i="28"/>
  <c r="AU40" i="28"/>
  <c r="AS40" i="28"/>
  <c r="AQ40" i="28"/>
  <c r="AO40" i="28"/>
  <c r="AM40" i="28"/>
  <c r="AK40" i="28"/>
  <c r="AI40" i="28"/>
  <c r="AG40" i="28"/>
  <c r="AE40" i="28"/>
  <c r="AC40" i="28"/>
  <c r="AA40" i="28"/>
  <c r="E40" i="28"/>
  <c r="V40" i="28" s="1"/>
  <c r="BJ39" i="28"/>
  <c r="F39" i="28" s="1"/>
  <c r="BI39" i="28"/>
  <c r="BG39" i="28"/>
  <c r="BE39" i="28"/>
  <c r="BC39" i="28"/>
  <c r="BA39" i="28"/>
  <c r="AY39" i="28"/>
  <c r="AW39" i="28"/>
  <c r="AU39" i="28"/>
  <c r="AS39" i="28"/>
  <c r="AQ39" i="28"/>
  <c r="AO39" i="28"/>
  <c r="AM39" i="28"/>
  <c r="AK39" i="28"/>
  <c r="AI39" i="28"/>
  <c r="AG39" i="28"/>
  <c r="AE39" i="28"/>
  <c r="AC39" i="28"/>
  <c r="AA39" i="28"/>
  <c r="E39" i="28"/>
  <c r="V39" i="28" s="1"/>
  <c r="BJ38" i="28"/>
  <c r="F38" i="28" s="1"/>
  <c r="BI38" i="28"/>
  <c r="BG38" i="28"/>
  <c r="BE38" i="28"/>
  <c r="BC38" i="28"/>
  <c r="BA38" i="28"/>
  <c r="AY38" i="28"/>
  <c r="AW38" i="28"/>
  <c r="AU38" i="28"/>
  <c r="AS38" i="28"/>
  <c r="AQ38" i="28"/>
  <c r="AO38" i="28"/>
  <c r="AM38" i="28"/>
  <c r="AK38" i="28"/>
  <c r="AI38" i="28"/>
  <c r="AG38" i="28"/>
  <c r="AE38" i="28"/>
  <c r="AC38" i="28"/>
  <c r="AA38" i="28"/>
  <c r="E38" i="28"/>
  <c r="G38" i="28" s="1"/>
  <c r="M38" i="28" s="1"/>
  <c r="BJ37" i="28"/>
  <c r="F37" i="28" s="1"/>
  <c r="BI37" i="28"/>
  <c r="BG37" i="28"/>
  <c r="BE37" i="28"/>
  <c r="BC37" i="28"/>
  <c r="BA37" i="28"/>
  <c r="AY37" i="28"/>
  <c r="AW37" i="28"/>
  <c r="AU37" i="28"/>
  <c r="AS37" i="28"/>
  <c r="AQ37" i="28"/>
  <c r="AO37" i="28"/>
  <c r="AM37" i="28"/>
  <c r="AK37" i="28"/>
  <c r="AI37" i="28"/>
  <c r="AG37" i="28"/>
  <c r="AE37" i="28"/>
  <c r="AC37" i="28"/>
  <c r="AA37" i="28"/>
  <c r="E37" i="28"/>
  <c r="BJ36" i="28"/>
  <c r="BI36" i="28"/>
  <c r="E36" i="28"/>
  <c r="BJ29" i="28"/>
  <c r="F29" i="28" s="1"/>
  <c r="BI29" i="28"/>
  <c r="BG29" i="28"/>
  <c r="BE29" i="28"/>
  <c r="BC29" i="28"/>
  <c r="BA29" i="28"/>
  <c r="AY29" i="28"/>
  <c r="AW29" i="28"/>
  <c r="AU29" i="28"/>
  <c r="AS29" i="28"/>
  <c r="AQ29" i="28"/>
  <c r="AO29" i="28"/>
  <c r="AM29" i="28"/>
  <c r="AK29" i="28"/>
  <c r="AI29" i="28"/>
  <c r="AG29" i="28"/>
  <c r="AE29" i="28"/>
  <c r="AC29" i="28"/>
  <c r="AA29" i="28"/>
  <c r="E29" i="28"/>
  <c r="E28" i="28"/>
  <c r="BJ27" i="28"/>
  <c r="F27" i="28" s="1"/>
  <c r="BI27" i="28"/>
  <c r="BG27" i="28"/>
  <c r="BE27" i="28"/>
  <c r="BC27" i="28"/>
  <c r="BA27" i="28"/>
  <c r="AY27" i="28"/>
  <c r="AW27" i="28"/>
  <c r="AU27" i="28"/>
  <c r="AS27" i="28"/>
  <c r="AQ27" i="28"/>
  <c r="AO27" i="28"/>
  <c r="AM27" i="28"/>
  <c r="AK27" i="28"/>
  <c r="AI27" i="28"/>
  <c r="AG27" i="28"/>
  <c r="AE27" i="28"/>
  <c r="AC27" i="28"/>
  <c r="AA27" i="28"/>
  <c r="E27" i="28"/>
  <c r="BJ24" i="28"/>
  <c r="F24" i="28" s="1"/>
  <c r="BG24" i="28"/>
  <c r="BE24" i="28"/>
  <c r="BC24" i="28"/>
  <c r="BA24" i="28"/>
  <c r="AY24" i="28"/>
  <c r="AW24" i="28"/>
  <c r="AU24" i="28"/>
  <c r="AS24" i="28"/>
  <c r="AQ24" i="28"/>
  <c r="AO24" i="28"/>
  <c r="AM24" i="28"/>
  <c r="AK24" i="28"/>
  <c r="AI24" i="28"/>
  <c r="AG24" i="28"/>
  <c r="AE24" i="28"/>
  <c r="AC24" i="28"/>
  <c r="AA24" i="28"/>
  <c r="E24" i="28"/>
  <c r="BI24" i="28" s="1"/>
  <c r="BJ23" i="28"/>
  <c r="F23" i="28" s="1"/>
  <c r="BG23" i="28"/>
  <c r="BE23" i="28"/>
  <c r="BC23" i="28"/>
  <c r="BC25" i="28" s="1"/>
  <c r="BA23" i="28"/>
  <c r="AY23" i="28"/>
  <c r="AW23" i="28"/>
  <c r="AU23" i="28"/>
  <c r="AS23" i="28"/>
  <c r="AQ23" i="28"/>
  <c r="AO23" i="28"/>
  <c r="AM23" i="28"/>
  <c r="AK23" i="28"/>
  <c r="AI23" i="28"/>
  <c r="AG23" i="28"/>
  <c r="AE23" i="28"/>
  <c r="AC23" i="28"/>
  <c r="AA23" i="28"/>
  <c r="E23" i="28"/>
  <c r="BI23" i="28" s="1"/>
  <c r="BJ22" i="28"/>
  <c r="F22" i="28" s="1"/>
  <c r="BG22" i="28"/>
  <c r="BE22" i="28"/>
  <c r="BC22" i="28"/>
  <c r="BA22" i="28"/>
  <c r="AY22" i="28"/>
  <c r="AW22" i="28"/>
  <c r="AU22" i="28"/>
  <c r="AS22" i="28"/>
  <c r="AQ22" i="28"/>
  <c r="AO22" i="28"/>
  <c r="AM22" i="28"/>
  <c r="AK22" i="28"/>
  <c r="AI22" i="28"/>
  <c r="AG22" i="28"/>
  <c r="AE22" i="28"/>
  <c r="AC22" i="28"/>
  <c r="AA22" i="28"/>
  <c r="E22" i="28"/>
  <c r="BI22" i="28" s="1"/>
  <c r="BJ21" i="28"/>
  <c r="F21" i="28" s="1"/>
  <c r="G21" i="28" s="1"/>
  <c r="BH16" i="28"/>
  <c r="BF16" i="28"/>
  <c r="BD16" i="28"/>
  <c r="BB16" i="28"/>
  <c r="AZ16" i="28"/>
  <c r="AX16" i="28"/>
  <c r="AV16" i="28"/>
  <c r="AT16" i="28"/>
  <c r="AR16" i="28"/>
  <c r="AP16" i="28"/>
  <c r="AN16" i="28"/>
  <c r="AL16" i="28"/>
  <c r="AJ16" i="28"/>
  <c r="AH16" i="28"/>
  <c r="AF16" i="28"/>
  <c r="AD16" i="28"/>
  <c r="AB16" i="28"/>
  <c r="Z16" i="28"/>
  <c r="BJ15" i="28"/>
  <c r="BI15" i="28"/>
  <c r="BI16" i="28" s="1"/>
  <c r="BE16" i="28"/>
  <c r="BH14" i="28"/>
  <c r="BF14" i="28"/>
  <c r="BD14" i="28"/>
  <c r="BB14" i="28"/>
  <c r="AZ14" i="28"/>
  <c r="AX14" i="28"/>
  <c r="AV14" i="28"/>
  <c r="AT14" i="28"/>
  <c r="AR14" i="28"/>
  <c r="AP14" i="28"/>
  <c r="AN14" i="28"/>
  <c r="AL14" i="28"/>
  <c r="AJ14" i="28"/>
  <c r="AH14" i="28"/>
  <c r="AF14" i="28"/>
  <c r="AD14" i="28"/>
  <c r="AB14" i="28"/>
  <c r="Z14" i="28"/>
  <c r="BJ13" i="28"/>
  <c r="F13" i="28" s="1"/>
  <c r="BI13" i="28"/>
  <c r="BG13" i="28"/>
  <c r="BE13" i="28"/>
  <c r="BC13" i="28"/>
  <c r="BA13" i="28"/>
  <c r="AY13" i="28"/>
  <c r="AW13" i="28"/>
  <c r="AU13" i="28"/>
  <c r="AS13" i="28"/>
  <c r="AQ13" i="28"/>
  <c r="AO13" i="28"/>
  <c r="AM13" i="28"/>
  <c r="AK13" i="28"/>
  <c r="AI13" i="28"/>
  <c r="AG13" i="28"/>
  <c r="AE13" i="28"/>
  <c r="AC13" i="28"/>
  <c r="AA13" i="28"/>
  <c r="E13" i="28"/>
  <c r="BJ12" i="28"/>
  <c r="F12" i="28" s="1"/>
  <c r="BI12" i="28"/>
  <c r="BI14" i="28" s="1"/>
  <c r="BG12" i="28"/>
  <c r="BE12" i="28"/>
  <c r="BC12" i="28"/>
  <c r="BA12" i="28"/>
  <c r="AY12" i="28"/>
  <c r="AW12" i="28"/>
  <c r="AW14" i="28" s="1"/>
  <c r="AU12" i="28"/>
  <c r="AS12" i="28"/>
  <c r="AQ12" i="28"/>
  <c r="AO12" i="28"/>
  <c r="AM12" i="28"/>
  <c r="AK12" i="28"/>
  <c r="AK14" i="28" s="1"/>
  <c r="AI12" i="28"/>
  <c r="AG12" i="28"/>
  <c r="AE12" i="28"/>
  <c r="AC12" i="28"/>
  <c r="AA12" i="28"/>
  <c r="E12" i="28"/>
  <c r="C10" i="20"/>
  <c r="AC28" i="28"/>
  <c r="AC30" i="28" s="1"/>
  <c r="AG72" i="28"/>
  <c r="AS72" i="28"/>
  <c r="BE72" i="28"/>
  <c r="AA16" i="28"/>
  <c r="AQ16" i="28"/>
  <c r="BG16" i="28"/>
  <c r="AO16" i="28"/>
  <c r="AW16" i="28"/>
  <c r="AE16" i="28"/>
  <c r="AM16" i="28"/>
  <c r="AU16" i="28"/>
  <c r="BC16" i="28"/>
  <c r="AI16" i="28"/>
  <c r="AY16" i="28"/>
  <c r="AG16" i="28"/>
  <c r="AK16" i="28"/>
  <c r="AS16" i="28"/>
  <c r="BA16" i="28"/>
  <c r="AC16" i="28"/>
  <c r="E50" i="25"/>
  <c r="X16" i="28"/>
  <c r="W16" i="28"/>
  <c r="C28" i="20"/>
  <c r="B28" i="20"/>
  <c r="C27" i="20"/>
  <c r="B27" i="20"/>
  <c r="C25" i="20"/>
  <c r="C26" i="20"/>
  <c r="Z41" i="26"/>
  <c r="U41" i="26"/>
  <c r="T41" i="26"/>
  <c r="S41" i="26"/>
  <c r="R41" i="26"/>
  <c r="BJ40" i="26"/>
  <c r="F40" i="26" s="1"/>
  <c r="F41" i="26" s="1"/>
  <c r="E40" i="26"/>
  <c r="Z39" i="26"/>
  <c r="U39" i="26"/>
  <c r="T39" i="26"/>
  <c r="S39" i="26"/>
  <c r="R39" i="26"/>
  <c r="BJ38" i="26"/>
  <c r="F38" i="26" s="1"/>
  <c r="E38" i="26"/>
  <c r="BJ37" i="26"/>
  <c r="F37" i="26" s="1"/>
  <c r="E37" i="26"/>
  <c r="BJ36" i="26"/>
  <c r="F36" i="26" s="1"/>
  <c r="G36" i="26" s="1"/>
  <c r="BJ35" i="26"/>
  <c r="F35" i="26" s="1"/>
  <c r="E35" i="26"/>
  <c r="Z33" i="26"/>
  <c r="U33" i="26"/>
  <c r="T33" i="26"/>
  <c r="S33" i="26"/>
  <c r="R33" i="26"/>
  <c r="BJ32" i="26"/>
  <c r="F32" i="26" s="1"/>
  <c r="E32" i="26"/>
  <c r="BJ31" i="26"/>
  <c r="F31" i="26" s="1"/>
  <c r="E31" i="26"/>
  <c r="BJ30" i="26"/>
  <c r="F30" i="26" s="1"/>
  <c r="G30" i="26" s="1"/>
  <c r="BK30" i="26"/>
  <c r="BJ29" i="26"/>
  <c r="F29" i="26" s="1"/>
  <c r="E29" i="26"/>
  <c r="Z27" i="26"/>
  <c r="U27" i="26"/>
  <c r="T27" i="26"/>
  <c r="S27" i="26"/>
  <c r="R27" i="26"/>
  <c r="BJ26" i="26"/>
  <c r="F26" i="26" s="1"/>
  <c r="E26" i="26"/>
  <c r="BJ25" i="26"/>
  <c r="E25" i="26"/>
  <c r="Z23" i="26"/>
  <c r="U23" i="26"/>
  <c r="T23" i="26"/>
  <c r="S23" i="26"/>
  <c r="R23" i="26"/>
  <c r="E22" i="26"/>
  <c r="BJ21" i="26"/>
  <c r="F21" i="26" s="1"/>
  <c r="BJ20" i="26"/>
  <c r="E20" i="26"/>
  <c r="Z18" i="26"/>
  <c r="BJ17" i="26"/>
  <c r="F17" i="26" s="1"/>
  <c r="U17" i="26"/>
  <c r="U18" i="26" s="1"/>
  <c r="T17" i="26"/>
  <c r="S17" i="26"/>
  <c r="S18" i="26" s="1"/>
  <c r="R17" i="26"/>
  <c r="R18" i="26" s="1"/>
  <c r="BJ16" i="26"/>
  <c r="F16" i="26" s="1"/>
  <c r="Z14" i="26"/>
  <c r="U14" i="26"/>
  <c r="T14" i="26"/>
  <c r="S14" i="26"/>
  <c r="R14" i="26"/>
  <c r="BJ13" i="26"/>
  <c r="F13" i="26" s="1"/>
  <c r="E13" i="26"/>
  <c r="BJ12" i="26"/>
  <c r="E12" i="26"/>
  <c r="Z111" i="25"/>
  <c r="U111" i="25"/>
  <c r="T111" i="25"/>
  <c r="S111" i="25"/>
  <c r="R111" i="25"/>
  <c r="BJ110" i="25"/>
  <c r="F110" i="25" s="1"/>
  <c r="E110" i="25"/>
  <c r="BJ109" i="25"/>
  <c r="F109" i="25" s="1"/>
  <c r="BJ108" i="25"/>
  <c r="F108" i="25" s="1"/>
  <c r="Z106" i="25"/>
  <c r="BJ105" i="25"/>
  <c r="F105" i="25" s="1"/>
  <c r="U105" i="25" s="1"/>
  <c r="E105" i="25"/>
  <c r="G104" i="25"/>
  <c r="Q104" i="25" s="1"/>
  <c r="BJ103" i="25"/>
  <c r="F103" i="25" s="1"/>
  <c r="U103" i="25" s="1"/>
  <c r="Y103" i="25" s="1"/>
  <c r="BJ102" i="25"/>
  <c r="F102" i="25" s="1"/>
  <c r="U102" i="25" s="1"/>
  <c r="Y102" i="25" s="1"/>
  <c r="BJ101" i="25"/>
  <c r="F101" i="25" s="1"/>
  <c r="U101" i="25" s="1"/>
  <c r="Y101" i="25" s="1"/>
  <c r="BJ100" i="25"/>
  <c r="F100" i="25" s="1"/>
  <c r="U100" i="25" s="1"/>
  <c r="Y100" i="25" s="1"/>
  <c r="BK100" i="25"/>
  <c r="BJ99" i="25"/>
  <c r="F99" i="25" s="1"/>
  <c r="U99" i="25" s="1"/>
  <c r="Y99" i="25" s="1"/>
  <c r="BJ98" i="25"/>
  <c r="F98" i="25" s="1"/>
  <c r="U98" i="25" s="1"/>
  <c r="Y98" i="25" s="1"/>
  <c r="BK98" i="25"/>
  <c r="BJ97" i="25"/>
  <c r="F97" i="25" s="1"/>
  <c r="U97" i="25" s="1"/>
  <c r="BJ96" i="25"/>
  <c r="F96" i="25" s="1"/>
  <c r="U96" i="25" s="1"/>
  <c r="Y96" i="25" s="1"/>
  <c r="BK96" i="25"/>
  <c r="BJ95" i="25"/>
  <c r="F95" i="25" s="1"/>
  <c r="U95" i="25" s="1"/>
  <c r="E95" i="25"/>
  <c r="BJ94" i="25"/>
  <c r="F94" i="25" s="1"/>
  <c r="U94" i="25" s="1"/>
  <c r="Y94" i="25" s="1"/>
  <c r="BK94" i="25"/>
  <c r="BJ93" i="25"/>
  <c r="F93" i="25" s="1"/>
  <c r="U93" i="25" s="1"/>
  <c r="Y93" i="25" s="1"/>
  <c r="BJ92" i="25"/>
  <c r="F92" i="25" s="1"/>
  <c r="U92" i="25" s="1"/>
  <c r="Y92" i="25" s="1"/>
  <c r="BJ91" i="25"/>
  <c r="F91" i="25" s="1"/>
  <c r="U91" i="25" s="1"/>
  <c r="E91" i="25"/>
  <c r="BJ90" i="25"/>
  <c r="F90" i="25" s="1"/>
  <c r="U90" i="25" s="1"/>
  <c r="Z87" i="25"/>
  <c r="E86" i="25"/>
  <c r="BJ85" i="25"/>
  <c r="F85" i="25" s="1"/>
  <c r="U85" i="25" s="1"/>
  <c r="E85" i="25"/>
  <c r="BJ84" i="25"/>
  <c r="F84" i="25" s="1"/>
  <c r="U84" i="25" s="1"/>
  <c r="E84" i="25"/>
  <c r="BJ83" i="25"/>
  <c r="F83" i="25" s="1"/>
  <c r="U83" i="25" s="1"/>
  <c r="E83" i="25"/>
  <c r="BJ82" i="25"/>
  <c r="F82" i="25" s="1"/>
  <c r="U82" i="25" s="1"/>
  <c r="Y82" i="25" s="1"/>
  <c r="BJ81" i="25"/>
  <c r="F81" i="25" s="1"/>
  <c r="U81" i="25" s="1"/>
  <c r="E81" i="25"/>
  <c r="BJ80" i="25"/>
  <c r="F80" i="25" s="1"/>
  <c r="U80" i="25" s="1"/>
  <c r="Y80" i="25" s="1"/>
  <c r="Z78" i="25"/>
  <c r="BJ77" i="25"/>
  <c r="F77" i="25" s="1"/>
  <c r="U77" i="25" s="1"/>
  <c r="Y77" i="25" s="1"/>
  <c r="BJ76" i="25"/>
  <c r="F76" i="25" s="1"/>
  <c r="U76" i="25" s="1"/>
  <c r="Y76" i="25" s="1"/>
  <c r="BJ75" i="25"/>
  <c r="F75" i="25" s="1"/>
  <c r="U75" i="25" s="1"/>
  <c r="Y75" i="25" s="1"/>
  <c r="BJ74" i="25"/>
  <c r="F74" i="25" s="1"/>
  <c r="U74" i="25" s="1"/>
  <c r="Y74" i="25" s="1"/>
  <c r="BJ73" i="25"/>
  <c r="F73" i="25" s="1"/>
  <c r="R73" i="25" s="1"/>
  <c r="V73" i="25" s="1"/>
  <c r="Z71" i="25"/>
  <c r="U71" i="25"/>
  <c r="T71" i="25"/>
  <c r="S71" i="25"/>
  <c r="R71" i="25"/>
  <c r="BJ70" i="25"/>
  <c r="F70" i="25" s="1"/>
  <c r="E70" i="25"/>
  <c r="BJ69" i="25"/>
  <c r="F69" i="25" s="1"/>
  <c r="E69" i="25"/>
  <c r="BJ68" i="25"/>
  <c r="E68" i="25"/>
  <c r="BH66" i="25"/>
  <c r="BF66" i="25"/>
  <c r="BD66" i="25"/>
  <c r="BB66" i="25"/>
  <c r="AZ66" i="25"/>
  <c r="AX66" i="25"/>
  <c r="AV66" i="25"/>
  <c r="AT66" i="25"/>
  <c r="AR66" i="25"/>
  <c r="AP66" i="25"/>
  <c r="AN66" i="25"/>
  <c r="AL66" i="25"/>
  <c r="AJ66" i="25"/>
  <c r="AH66" i="25"/>
  <c r="AF66" i="25"/>
  <c r="AD66" i="25"/>
  <c r="AB66" i="25"/>
  <c r="Z66" i="25"/>
  <c r="AA66" i="25" s="1"/>
  <c r="U66" i="25"/>
  <c r="T66" i="25"/>
  <c r="S66" i="25"/>
  <c r="R66" i="25"/>
  <c r="BJ65" i="25"/>
  <c r="F65" i="25" s="1"/>
  <c r="E65" i="25"/>
  <c r="BJ64" i="25"/>
  <c r="F64" i="25" s="1"/>
  <c r="E64" i="25"/>
  <c r="BJ63" i="25"/>
  <c r="F63" i="25" s="1"/>
  <c r="E63" i="25"/>
  <c r="BJ62" i="25"/>
  <c r="F62" i="25" s="1"/>
  <c r="E62" i="25"/>
  <c r="BJ61" i="25"/>
  <c r="F61" i="25" s="1"/>
  <c r="E61" i="25"/>
  <c r="BJ60" i="25"/>
  <c r="F60" i="25" s="1"/>
  <c r="BJ59" i="25"/>
  <c r="F59" i="25" s="1"/>
  <c r="E59" i="25"/>
  <c r="BJ58" i="25"/>
  <c r="E58" i="25"/>
  <c r="Z54" i="25"/>
  <c r="Y54" i="25"/>
  <c r="X54" i="25"/>
  <c r="W54" i="25"/>
  <c r="V54" i="25"/>
  <c r="U54" i="25"/>
  <c r="T54" i="25"/>
  <c r="S54" i="25"/>
  <c r="R54" i="25"/>
  <c r="F54" i="25"/>
  <c r="BJ54" i="25"/>
  <c r="G53" i="25"/>
  <c r="BP53" i="25" s="1"/>
  <c r="BH55" i="25"/>
  <c r="AZ55" i="25"/>
  <c r="AR55" i="25"/>
  <c r="AJ55" i="25"/>
  <c r="AB55" i="25"/>
  <c r="Z52" i="25"/>
  <c r="U52" i="25"/>
  <c r="R52" i="25"/>
  <c r="BJ51" i="25"/>
  <c r="F51" i="25" s="1"/>
  <c r="T51" i="25" s="1"/>
  <c r="E51" i="25"/>
  <c r="BJ50" i="25"/>
  <c r="F50" i="25" s="1"/>
  <c r="S50" i="25" s="1"/>
  <c r="Z46" i="25"/>
  <c r="U46" i="25"/>
  <c r="T46" i="25"/>
  <c r="R46" i="25"/>
  <c r="BJ45" i="25"/>
  <c r="F45" i="25" s="1"/>
  <c r="S45" i="25" s="1"/>
  <c r="E45" i="25"/>
  <c r="BJ44" i="25"/>
  <c r="F44" i="25" s="1"/>
  <c r="S44" i="25" s="1"/>
  <c r="E44" i="25"/>
  <c r="BJ43" i="25"/>
  <c r="F43" i="25" s="1"/>
  <c r="S43" i="25" s="1"/>
  <c r="E43" i="25"/>
  <c r="BJ42" i="25"/>
  <c r="F42" i="25" s="1"/>
  <c r="S42" i="25" s="1"/>
  <c r="W42" i="25" s="1"/>
  <c r="BJ41" i="25"/>
  <c r="F41" i="25" s="1"/>
  <c r="S41" i="25" s="1"/>
  <c r="E41" i="25"/>
  <c r="BJ40" i="25"/>
  <c r="F40" i="25" s="1"/>
  <c r="S40" i="25" s="1"/>
  <c r="E40" i="25"/>
  <c r="BJ39" i="25"/>
  <c r="F39" i="25" s="1"/>
  <c r="S39" i="25" s="1"/>
  <c r="E39" i="25"/>
  <c r="BJ38" i="25"/>
  <c r="F38" i="25" s="1"/>
  <c r="S38" i="25" s="1"/>
  <c r="E38" i="25"/>
  <c r="BJ37" i="25"/>
  <c r="E37" i="25"/>
  <c r="BJ36" i="25"/>
  <c r="S36" i="25" s="1"/>
  <c r="E36" i="25"/>
  <c r="BJ35" i="25"/>
  <c r="F35" i="25" s="1"/>
  <c r="S35" i="25" s="1"/>
  <c r="E35" i="25"/>
  <c r="BJ34" i="25"/>
  <c r="F34" i="25" s="1"/>
  <c r="S34" i="25" s="1"/>
  <c r="E34" i="25"/>
  <c r="BJ32" i="25"/>
  <c r="F32" i="25" s="1"/>
  <c r="BJ30" i="25"/>
  <c r="F30" i="25" s="1"/>
  <c r="BJ29" i="25"/>
  <c r="F29" i="25" s="1"/>
  <c r="S29" i="25" s="1"/>
  <c r="E29" i="25"/>
  <c r="BJ28" i="25"/>
  <c r="F28" i="25" s="1"/>
  <c r="S28" i="25" s="1"/>
  <c r="W28" i="25" s="1"/>
  <c r="BJ27" i="25"/>
  <c r="F27" i="25" s="1"/>
  <c r="BK27" i="25"/>
  <c r="BJ26" i="25"/>
  <c r="F26" i="25" s="1"/>
  <c r="S26" i="25" s="1"/>
  <c r="E26" i="25"/>
  <c r="AQ26" i="25" s="1"/>
  <c r="BJ25" i="25"/>
  <c r="F25" i="25" s="1"/>
  <c r="S25" i="25" s="1"/>
  <c r="E25" i="25"/>
  <c r="AQ25" i="25" s="1"/>
  <c r="BJ24" i="25"/>
  <c r="S24" i="25" s="1"/>
  <c r="E24" i="25"/>
  <c r="BJ23" i="25"/>
  <c r="S23" i="25" s="1"/>
  <c r="E23" i="25"/>
  <c r="BJ22" i="25"/>
  <c r="F22" i="25" s="1"/>
  <c r="S22" i="25" s="1"/>
  <c r="E22" i="25"/>
  <c r="BJ21" i="25"/>
  <c r="S21" i="25" s="1"/>
  <c r="E21" i="25"/>
  <c r="BJ20" i="25"/>
  <c r="S20" i="25" s="1"/>
  <c r="E20" i="25"/>
  <c r="G20" i="25" s="1"/>
  <c r="Z18" i="25"/>
  <c r="BJ17" i="25"/>
  <c r="F17" i="25" s="1"/>
  <c r="E17" i="25"/>
  <c r="BJ16" i="25"/>
  <c r="G16" i="25"/>
  <c r="L16" i="25" s="1"/>
  <c r="BJ15" i="25"/>
  <c r="BJ14" i="25"/>
  <c r="G14" i="25"/>
  <c r="H14" i="25" s="1"/>
  <c r="BJ13" i="25"/>
  <c r="F13" i="25" s="1"/>
  <c r="G13" i="25" s="1"/>
  <c r="BK13" i="25"/>
  <c r="BJ12" i="25"/>
  <c r="F12" i="25" s="1"/>
  <c r="F18" i="25" s="1"/>
  <c r="E12" i="25"/>
  <c r="AA3" i="25"/>
  <c r="Z116" i="24"/>
  <c r="U116" i="24"/>
  <c r="T116" i="24"/>
  <c r="S116" i="24"/>
  <c r="R116" i="24"/>
  <c r="BJ115" i="24"/>
  <c r="F115" i="24" s="1"/>
  <c r="BJ114" i="24"/>
  <c r="F114" i="24" s="1"/>
  <c r="E114" i="24"/>
  <c r="BJ113" i="24"/>
  <c r="F113" i="24" s="1"/>
  <c r="G113" i="24" s="1"/>
  <c r="BJ112" i="24"/>
  <c r="BJ111" i="24"/>
  <c r="F111" i="24" s="1"/>
  <c r="G111" i="24" s="1"/>
  <c r="BJ110" i="24"/>
  <c r="F110" i="24" s="1"/>
  <c r="E110" i="24"/>
  <c r="BJ109" i="24"/>
  <c r="F109" i="24" s="1"/>
  <c r="E109" i="24"/>
  <c r="BJ108" i="24"/>
  <c r="F108" i="24" s="1"/>
  <c r="G108" i="24" s="1"/>
  <c r="BJ107" i="24"/>
  <c r="F107" i="24" s="1"/>
  <c r="G107" i="24" s="1"/>
  <c r="BK107" i="24"/>
  <c r="BJ106" i="24"/>
  <c r="F106" i="24" s="1"/>
  <c r="G106" i="24" s="1"/>
  <c r="BJ105" i="24"/>
  <c r="F105" i="24" s="1"/>
  <c r="G105" i="24" s="1"/>
  <c r="BJ104" i="24"/>
  <c r="F104" i="24" s="1"/>
  <c r="G104" i="24" s="1"/>
  <c r="BJ103" i="24"/>
  <c r="F103" i="24" s="1"/>
  <c r="G103" i="24" s="1"/>
  <c r="BK103" i="24"/>
  <c r="BJ102" i="24"/>
  <c r="F102" i="24" s="1"/>
  <c r="G102" i="24" s="1"/>
  <c r="BK102" i="24"/>
  <c r="BJ101" i="24"/>
  <c r="F101" i="24" s="1"/>
  <c r="G101" i="24" s="1"/>
  <c r="BT101" i="24" s="1"/>
  <c r="BU101" i="24" s="1"/>
  <c r="BV101" i="24" s="1"/>
  <c r="BJ100" i="24"/>
  <c r="F100" i="24" s="1"/>
  <c r="G100" i="24" s="1"/>
  <c r="Z97" i="24"/>
  <c r="U97" i="24"/>
  <c r="T97" i="24"/>
  <c r="S97" i="24"/>
  <c r="R97" i="24"/>
  <c r="BJ96" i="24"/>
  <c r="BJ95" i="24"/>
  <c r="F95" i="24" s="1"/>
  <c r="G95" i="24" s="1"/>
  <c r="Q95" i="24" s="1"/>
  <c r="BJ94" i="24"/>
  <c r="F94" i="24" s="1"/>
  <c r="G94" i="24" s="1"/>
  <c r="BJ93" i="24"/>
  <c r="F93" i="24" s="1"/>
  <c r="G93" i="24" s="1"/>
  <c r="BJ92" i="24"/>
  <c r="F92" i="24" s="1"/>
  <c r="G92" i="24" s="1"/>
  <c r="BK92" i="24"/>
  <c r="BJ91" i="24"/>
  <c r="F91" i="24" s="1"/>
  <c r="E91" i="24"/>
  <c r="BJ90" i="24"/>
  <c r="F90" i="24" s="1"/>
  <c r="G90" i="24" s="1"/>
  <c r="BJ89" i="24"/>
  <c r="F89" i="24" s="1"/>
  <c r="E89" i="24"/>
  <c r="Z87" i="24"/>
  <c r="U87" i="24"/>
  <c r="T87" i="24"/>
  <c r="S87" i="24"/>
  <c r="R87" i="24"/>
  <c r="BJ86" i="24"/>
  <c r="F86" i="24" s="1"/>
  <c r="E86" i="24"/>
  <c r="BJ85" i="24"/>
  <c r="F85" i="24" s="1"/>
  <c r="E85" i="24"/>
  <c r="BJ84" i="24"/>
  <c r="F84" i="24" s="1"/>
  <c r="G84" i="24" s="1"/>
  <c r="BK84" i="24"/>
  <c r="BJ83" i="24"/>
  <c r="F83" i="24" s="1"/>
  <c r="G83" i="24" s="1"/>
  <c r="BJ82" i="24"/>
  <c r="F82" i="24" s="1"/>
  <c r="G82" i="24" s="1"/>
  <c r="BK82" i="24"/>
  <c r="BJ81" i="24"/>
  <c r="F81" i="24" s="1"/>
  <c r="G81" i="24" s="1"/>
  <c r="BJ80" i="24"/>
  <c r="F80" i="24" s="1"/>
  <c r="G80" i="24" s="1"/>
  <c r="BK80" i="24"/>
  <c r="BJ79" i="24"/>
  <c r="F79" i="24" s="1"/>
  <c r="G79" i="24" s="1"/>
  <c r="BJ78" i="24"/>
  <c r="F78" i="24" s="1"/>
  <c r="G78" i="24" s="1"/>
  <c r="BJ77" i="24"/>
  <c r="F77" i="24" s="1"/>
  <c r="G77" i="24" s="1"/>
  <c r="BJ76" i="24"/>
  <c r="F76" i="24" s="1"/>
  <c r="G76" i="24" s="1"/>
  <c r="BJ75" i="24"/>
  <c r="F75" i="24" s="1"/>
  <c r="G75" i="24" s="1"/>
  <c r="BJ74" i="24"/>
  <c r="F74" i="24" s="1"/>
  <c r="G74" i="24" s="1"/>
  <c r="BK74" i="24"/>
  <c r="BJ73" i="24"/>
  <c r="F73" i="24" s="1"/>
  <c r="G73" i="24" s="1"/>
  <c r="BK73" i="24"/>
  <c r="BJ72" i="24"/>
  <c r="F72" i="24" s="1"/>
  <c r="G72" i="24" s="1"/>
  <c r="BJ71" i="24"/>
  <c r="F71" i="24" s="1"/>
  <c r="E71" i="24"/>
  <c r="BJ70" i="24"/>
  <c r="F70" i="24" s="1"/>
  <c r="G70" i="24" s="1"/>
  <c r="BS70" i="24" s="1"/>
  <c r="BU70" i="24" s="1"/>
  <c r="BV70" i="24" s="1"/>
  <c r="BJ69" i="24"/>
  <c r="F69" i="24" s="1"/>
  <c r="BK69" i="24"/>
  <c r="Z65" i="24"/>
  <c r="U65" i="24"/>
  <c r="T65" i="24"/>
  <c r="S65" i="24"/>
  <c r="R65" i="24"/>
  <c r="BJ64" i="24"/>
  <c r="F64" i="24" s="1"/>
  <c r="E64" i="24"/>
  <c r="BJ63" i="24"/>
  <c r="BJ58" i="24"/>
  <c r="F58" i="24" s="1"/>
  <c r="E58" i="24"/>
  <c r="BJ55" i="24"/>
  <c r="BK55" i="24"/>
  <c r="Z53" i="24"/>
  <c r="S53" i="24"/>
  <c r="R53" i="24"/>
  <c r="G52" i="24"/>
  <c r="L52" i="24" s="1"/>
  <c r="BJ51" i="24"/>
  <c r="F51" i="24" s="1"/>
  <c r="E51" i="24"/>
  <c r="BJ50" i="24"/>
  <c r="F50" i="24" s="1"/>
  <c r="E50" i="24"/>
  <c r="BJ49" i="24"/>
  <c r="F49" i="24" s="1"/>
  <c r="U49" i="24" s="1"/>
  <c r="BJ48" i="24"/>
  <c r="BJ47" i="24"/>
  <c r="F47" i="24" s="1"/>
  <c r="E47" i="24"/>
  <c r="Z44" i="24"/>
  <c r="U44" i="24"/>
  <c r="R44" i="24"/>
  <c r="BJ43" i="24"/>
  <c r="BJ42" i="24"/>
  <c r="BK42" i="24"/>
  <c r="BJ41" i="24"/>
  <c r="BJ40" i="24"/>
  <c r="E40" i="24"/>
  <c r="BJ39" i="24"/>
  <c r="F39" i="24" s="1"/>
  <c r="E39" i="24"/>
  <c r="BK38" i="24"/>
  <c r="BJ37" i="24"/>
  <c r="F37" i="24" s="1"/>
  <c r="S37" i="24" s="1"/>
  <c r="BJ36" i="24"/>
  <c r="BJ35" i="24"/>
  <c r="E35" i="24"/>
  <c r="BJ34" i="24"/>
  <c r="F34" i="24" s="1"/>
  <c r="S34" i="24" s="1"/>
  <c r="E34" i="24"/>
  <c r="BJ33" i="24"/>
  <c r="E33" i="24"/>
  <c r="BJ32" i="24"/>
  <c r="F32" i="24" s="1"/>
  <c r="S32" i="24" s="1"/>
  <c r="W32" i="24" s="1"/>
  <c r="BJ31" i="24"/>
  <c r="F31" i="24" s="1"/>
  <c r="S31" i="24" s="1"/>
  <c r="W31" i="24" s="1"/>
  <c r="BK31" i="24"/>
  <c r="BJ30" i="24"/>
  <c r="F30" i="24" s="1"/>
  <c r="S30" i="24" s="1"/>
  <c r="W30" i="24" s="1"/>
  <c r="BJ29" i="24"/>
  <c r="F29" i="24" s="1"/>
  <c r="E28" i="24"/>
  <c r="BJ27" i="24"/>
  <c r="E27" i="24"/>
  <c r="BJ26" i="24"/>
  <c r="F26" i="24" s="1"/>
  <c r="S26" i="24" s="1"/>
  <c r="W26" i="24" s="1"/>
  <c r="BJ24" i="24"/>
  <c r="F24" i="24" s="1"/>
  <c r="S24" i="24" s="1"/>
  <c r="E24" i="24"/>
  <c r="BJ23" i="24"/>
  <c r="F23" i="24" s="1"/>
  <c r="S23" i="24" s="1"/>
  <c r="E23" i="24"/>
  <c r="BJ22" i="24"/>
  <c r="F22" i="24" s="1"/>
  <c r="S22" i="24" s="1"/>
  <c r="E22" i="24"/>
  <c r="BJ20" i="24"/>
  <c r="F20" i="24" s="1"/>
  <c r="G20" i="24" s="1"/>
  <c r="BJ19" i="24"/>
  <c r="E19" i="24"/>
  <c r="BH17" i="24"/>
  <c r="AB17" i="24"/>
  <c r="Z17" i="24"/>
  <c r="BJ16" i="24"/>
  <c r="F16" i="24" s="1"/>
  <c r="T16" i="24" s="1"/>
  <c r="E16" i="24"/>
  <c r="BJ15" i="24"/>
  <c r="F15" i="24" s="1"/>
  <c r="U15" i="24" s="1"/>
  <c r="E15" i="24"/>
  <c r="BJ14" i="24"/>
  <c r="F14" i="24" s="1"/>
  <c r="R14" i="24" s="1"/>
  <c r="E14" i="24"/>
  <c r="BJ13" i="24"/>
  <c r="F13" i="24" s="1"/>
  <c r="T13" i="24" s="1"/>
  <c r="BK13" i="24"/>
  <c r="BJ12" i="24"/>
  <c r="F12" i="24" s="1"/>
  <c r="E12" i="24"/>
  <c r="V52" i="7"/>
  <c r="W11" i="7"/>
  <c r="X11" i="7"/>
  <c r="Y11" i="7"/>
  <c r="V11" i="7"/>
  <c r="W10" i="7"/>
  <c r="X10" i="7"/>
  <c r="X12" i="7" s="1"/>
  <c r="Y10" i="7"/>
  <c r="R12" i="7"/>
  <c r="BI37" i="7"/>
  <c r="BG37" i="7"/>
  <c r="BE37" i="7"/>
  <c r="BC37" i="7"/>
  <c r="BA37" i="7"/>
  <c r="AY37" i="7"/>
  <c r="AW37" i="7"/>
  <c r="AU37" i="7"/>
  <c r="AS37" i="7"/>
  <c r="AQ37" i="7"/>
  <c r="AO37" i="7"/>
  <c r="AM37" i="7"/>
  <c r="AK37" i="7"/>
  <c r="AI37" i="7"/>
  <c r="AG37" i="7"/>
  <c r="BH65" i="7"/>
  <c r="BI65" i="7" s="1"/>
  <c r="BH64" i="7"/>
  <c r="BI64" i="7" s="1"/>
  <c r="AY64" i="7"/>
  <c r="AS64" i="7"/>
  <c r="AP64" i="7"/>
  <c r="AQ64" i="7" s="1"/>
  <c r="AI64" i="7"/>
  <c r="AG64" i="7"/>
  <c r="BA71" i="7"/>
  <c r="BI50" i="7"/>
  <c r="BG50" i="7"/>
  <c r="BG52" i="7" s="1"/>
  <c r="BE50" i="7"/>
  <c r="BE52" i="7" s="1"/>
  <c r="BC50" i="7"/>
  <c r="BC52" i="7" s="1"/>
  <c r="BA50" i="7"/>
  <c r="AY50" i="7"/>
  <c r="AW50" i="7"/>
  <c r="AW52" i="7" s="1"/>
  <c r="AU50" i="7"/>
  <c r="AU52" i="7" s="1"/>
  <c r="AS50" i="7"/>
  <c r="AS52" i="7" s="1"/>
  <c r="AQ50" i="7"/>
  <c r="AQ52" i="7" s="1"/>
  <c r="AQ57" i="7" s="1"/>
  <c r="AO50" i="7"/>
  <c r="AO52" i="7" s="1"/>
  <c r="AM50" i="7"/>
  <c r="AM52" i="7" s="1"/>
  <c r="AK50" i="7"/>
  <c r="AK52" i="7" s="1"/>
  <c r="AI50" i="7"/>
  <c r="AI52" i="7" s="1"/>
  <c r="AG50" i="7"/>
  <c r="AG52" i="7" s="1"/>
  <c r="Y71" i="7"/>
  <c r="U71" i="7"/>
  <c r="R71" i="7"/>
  <c r="R52" i="7"/>
  <c r="R57" i="7" s="1"/>
  <c r="R34" i="7"/>
  <c r="U12" i="7"/>
  <c r="T12" i="7"/>
  <c r="S12" i="7"/>
  <c r="BH71" i="7"/>
  <c r="BI62" i="7"/>
  <c r="BH56" i="7"/>
  <c r="BH52" i="7"/>
  <c r="BI38" i="7"/>
  <c r="BI36" i="7"/>
  <c r="BH34" i="7"/>
  <c r="BI33" i="7"/>
  <c r="BI32" i="7"/>
  <c r="BI31" i="7"/>
  <c r="BK17" i="7"/>
  <c r="BK16" i="7"/>
  <c r="BK14" i="7"/>
  <c r="BH12" i="7"/>
  <c r="BI11" i="7"/>
  <c r="BI10" i="7"/>
  <c r="BF71" i="7"/>
  <c r="BG62" i="7"/>
  <c r="BF56" i="7"/>
  <c r="BF52" i="7"/>
  <c r="BG38" i="7"/>
  <c r="BG36" i="7"/>
  <c r="BF34" i="7"/>
  <c r="BG33" i="7"/>
  <c r="BG32" i="7"/>
  <c r="BF12" i="7"/>
  <c r="BG11" i="7"/>
  <c r="BG10" i="7"/>
  <c r="BD71" i="7"/>
  <c r="BE71" i="7"/>
  <c r="BD56" i="7"/>
  <c r="BD52" i="7"/>
  <c r="BE38" i="7"/>
  <c r="BE36" i="7"/>
  <c r="BD34" i="7"/>
  <c r="BE33" i="7"/>
  <c r="BE32" i="7"/>
  <c r="BD12" i="7"/>
  <c r="BE11" i="7"/>
  <c r="BE10" i="7"/>
  <c r="BB71" i="7"/>
  <c r="BC62" i="7"/>
  <c r="BB56" i="7"/>
  <c r="BB52" i="7"/>
  <c r="BC38" i="7"/>
  <c r="BC36" i="7"/>
  <c r="BB34" i="7"/>
  <c r="BC33" i="7"/>
  <c r="BC32" i="7"/>
  <c r="BB12" i="7"/>
  <c r="BC11" i="7"/>
  <c r="BC10" i="7"/>
  <c r="AZ71" i="7"/>
  <c r="AZ56" i="7"/>
  <c r="AZ52" i="7"/>
  <c r="BA38" i="7"/>
  <c r="BA36" i="7"/>
  <c r="AZ34" i="7"/>
  <c r="BA33" i="7"/>
  <c r="BA32" i="7"/>
  <c r="AZ12" i="7"/>
  <c r="BA11" i="7"/>
  <c r="BA10" i="7"/>
  <c r="AX71" i="7"/>
  <c r="AX56" i="7"/>
  <c r="AX52" i="7"/>
  <c r="AY38" i="7"/>
  <c r="AY36" i="7"/>
  <c r="AX34" i="7"/>
  <c r="AY33" i="7"/>
  <c r="AY32" i="7"/>
  <c r="AX12" i="7"/>
  <c r="AY11" i="7"/>
  <c r="AY10" i="7"/>
  <c r="AV71" i="7"/>
  <c r="AV56" i="7"/>
  <c r="AV52" i="7"/>
  <c r="AW38" i="7"/>
  <c r="AW36" i="7"/>
  <c r="AV34" i="7"/>
  <c r="AW33" i="7"/>
  <c r="AW32" i="7"/>
  <c r="AV12" i="7"/>
  <c r="AW11" i="7"/>
  <c r="AW10" i="7"/>
  <c r="AT71" i="7"/>
  <c r="AU62" i="7"/>
  <c r="AT56" i="7"/>
  <c r="AT52" i="7"/>
  <c r="AU38" i="7"/>
  <c r="AU36" i="7"/>
  <c r="AT34" i="7"/>
  <c r="AU33" i="7"/>
  <c r="AU32" i="7"/>
  <c r="AT12" i="7"/>
  <c r="AU11" i="7"/>
  <c r="AU10" i="7"/>
  <c r="AS71" i="7"/>
  <c r="AR71" i="7"/>
  <c r="AR56" i="7"/>
  <c r="AR52" i="7"/>
  <c r="AS38" i="7"/>
  <c r="AS36" i="7"/>
  <c r="AR34" i="7"/>
  <c r="AS33" i="7"/>
  <c r="AS32" i="7"/>
  <c r="AR12" i="7"/>
  <c r="AS11" i="7"/>
  <c r="AS10" i="7"/>
  <c r="AP71" i="7"/>
  <c r="AQ62" i="7"/>
  <c r="AP56" i="7"/>
  <c r="AP52" i="7"/>
  <c r="AQ38" i="7"/>
  <c r="AQ36" i="7"/>
  <c r="AP34" i="7"/>
  <c r="AQ33" i="7"/>
  <c r="AQ32" i="7"/>
  <c r="AP12" i="7"/>
  <c r="AQ11" i="7"/>
  <c r="AQ10" i="7"/>
  <c r="AN71" i="7"/>
  <c r="AO71" i="7"/>
  <c r="AN56" i="7"/>
  <c r="AN52" i="7"/>
  <c r="AO38" i="7"/>
  <c r="AO36" i="7"/>
  <c r="AN34" i="7"/>
  <c r="AO33" i="7"/>
  <c r="AO32" i="7"/>
  <c r="AN12" i="7"/>
  <c r="AO11" i="7"/>
  <c r="AO10" i="7"/>
  <c r="AL71" i="7"/>
  <c r="AM71" i="7"/>
  <c r="AL56" i="7"/>
  <c r="AL52" i="7"/>
  <c r="AM38" i="7"/>
  <c r="AM36" i="7"/>
  <c r="AL34" i="7"/>
  <c r="AM33" i="7"/>
  <c r="AM32" i="7"/>
  <c r="AL12" i="7"/>
  <c r="AM11" i="7"/>
  <c r="AM10" i="7"/>
  <c r="AJ71" i="7"/>
  <c r="AK62" i="7"/>
  <c r="AJ56" i="7"/>
  <c r="AJ52" i="7"/>
  <c r="AK38" i="7"/>
  <c r="AK36" i="7"/>
  <c r="AJ34" i="7"/>
  <c r="AK33" i="7"/>
  <c r="AK32" i="7"/>
  <c r="AJ12" i="7"/>
  <c r="AK11" i="7"/>
  <c r="AK10" i="7"/>
  <c r="AH71" i="7"/>
  <c r="AH56" i="7"/>
  <c r="AH52" i="7"/>
  <c r="AI38" i="7"/>
  <c r="AI36" i="7"/>
  <c r="AH34" i="7"/>
  <c r="AI33" i="7"/>
  <c r="AI32" i="7"/>
  <c r="AH12" i="7"/>
  <c r="AI11" i="7"/>
  <c r="AI10" i="7"/>
  <c r="AF71" i="7"/>
  <c r="AG62" i="7"/>
  <c r="AF56" i="7"/>
  <c r="AF52" i="7"/>
  <c r="AG38" i="7"/>
  <c r="AG36" i="7"/>
  <c r="AF34" i="7"/>
  <c r="AG33" i="7"/>
  <c r="AG32" i="7"/>
  <c r="AF12" i="7"/>
  <c r="AG11" i="7"/>
  <c r="AG10" i="7"/>
  <c r="BJ70" i="7"/>
  <c r="BJ36" i="7"/>
  <c r="BJ33" i="7"/>
  <c r="F33" i="7" s="1"/>
  <c r="BJ32" i="7"/>
  <c r="F32" i="7" s="1"/>
  <c r="BJ31" i="7"/>
  <c r="F31" i="7" s="1"/>
  <c r="F17" i="7"/>
  <c r="F16" i="7"/>
  <c r="BJ11" i="7"/>
  <c r="F11" i="7" s="1"/>
  <c r="BJ10" i="7"/>
  <c r="F10" i="7" s="1"/>
  <c r="K53" i="25"/>
  <c r="K54" i="25" s="1"/>
  <c r="X21" i="28"/>
  <c r="Y21" i="28"/>
  <c r="F37" i="25"/>
  <c r="S37" i="25" s="1"/>
  <c r="AB42" i="26"/>
  <c r="AJ42" i="26"/>
  <c r="AR42" i="26"/>
  <c r="AZ42" i="26"/>
  <c r="BH42" i="26"/>
  <c r="AP42" i="26"/>
  <c r="BF42" i="26"/>
  <c r="AF42" i="26"/>
  <c r="AN42" i="26"/>
  <c r="AV42" i="26"/>
  <c r="BD42" i="26"/>
  <c r="AD42" i="26"/>
  <c r="AL42" i="26"/>
  <c r="AT42" i="26"/>
  <c r="BB42" i="26"/>
  <c r="R15" i="25"/>
  <c r="BK15" i="25"/>
  <c r="J16" i="25"/>
  <c r="G31" i="24"/>
  <c r="O31" i="24" s="1"/>
  <c r="G89" i="24"/>
  <c r="H89" i="24" s="1"/>
  <c r="BK94" i="24"/>
  <c r="BK105" i="24"/>
  <c r="G30" i="24"/>
  <c r="L30" i="24" s="1"/>
  <c r="BK70" i="24"/>
  <c r="BK78" i="24"/>
  <c r="BK81" i="24"/>
  <c r="BK95" i="24"/>
  <c r="BK104" i="24"/>
  <c r="BK106" i="24"/>
  <c r="V44" i="7"/>
  <c r="BI71" i="7"/>
  <c r="BK15" i="7"/>
  <c r="AY52" i="7"/>
  <c r="AY57" i="7" s="1"/>
  <c r="BI52" i="7"/>
  <c r="AS56" i="7"/>
  <c r="AM56" i="7"/>
  <c r="AM57" i="7" s="1"/>
  <c r="AO56" i="7"/>
  <c r="AQ71" i="7"/>
  <c r="BA52" i="7"/>
  <c r="BC56" i="7"/>
  <c r="AM64" i="7"/>
  <c r="AO64" i="7"/>
  <c r="BA64" i="7"/>
  <c r="AK64" i="7"/>
  <c r="AU64" i="7"/>
  <c r="AW64" i="7"/>
  <c r="BC64" i="7"/>
  <c r="BE64" i="7"/>
  <c r="BK14" i="25"/>
  <c r="BT14" i="25"/>
  <c r="J14" i="25"/>
  <c r="BK32" i="25"/>
  <c r="BK26" i="24"/>
  <c r="Q30" i="24"/>
  <c r="BK30" i="25"/>
  <c r="BK101" i="24"/>
  <c r="BK104" i="25"/>
  <c r="BK16" i="26"/>
  <c r="BK36" i="26"/>
  <c r="BK72" i="24"/>
  <c r="BK76" i="24"/>
  <c r="BK90" i="24"/>
  <c r="BK53" i="25"/>
  <c r="BK54" i="25" s="1"/>
  <c r="BK73" i="25"/>
  <c r="BK80" i="25"/>
  <c r="BK90" i="25"/>
  <c r="BK74" i="25"/>
  <c r="BJ52" i="7"/>
  <c r="BJ56" i="7"/>
  <c r="G15" i="25"/>
  <c r="L15" i="25" s="1"/>
  <c r="BP59" i="24"/>
  <c r="BR59" i="24" s="1"/>
  <c r="H59" i="24"/>
  <c r="Q59" i="24"/>
  <c r="O59" i="24"/>
  <c r="M59" i="24"/>
  <c r="K59" i="24"/>
  <c r="I59" i="24"/>
  <c r="P59" i="24"/>
  <c r="N59" i="24"/>
  <c r="L59" i="24"/>
  <c r="J59" i="24"/>
  <c r="BP38" i="24"/>
  <c r="BR38" i="24" s="1"/>
  <c r="I38" i="24"/>
  <c r="Q38" i="24"/>
  <c r="O38" i="24"/>
  <c r="M38" i="24"/>
  <c r="K38" i="24"/>
  <c r="H38" i="24"/>
  <c r="P38" i="24"/>
  <c r="N38" i="24"/>
  <c r="L38" i="24"/>
  <c r="J38" i="24"/>
  <c r="F52" i="7"/>
  <c r="E70" i="7"/>
  <c r="E66" i="7"/>
  <c r="E64" i="7"/>
  <c r="BG64" i="7" s="1"/>
  <c r="AK63" i="7"/>
  <c r="E62" i="7"/>
  <c r="E50" i="7"/>
  <c r="E36" i="7"/>
  <c r="E33" i="7"/>
  <c r="G33" i="7" s="1"/>
  <c r="E32" i="7"/>
  <c r="E14" i="7"/>
  <c r="G14" i="7" s="1"/>
  <c r="G11" i="7"/>
  <c r="N11" i="7" s="1"/>
  <c r="G10" i="7"/>
  <c r="AM63" i="7"/>
  <c r="X52" i="7"/>
  <c r="BS51" i="7"/>
  <c r="BV51" i="7" s="1"/>
  <c r="BZ51" i="7" s="1"/>
  <c r="BS55" i="7"/>
  <c r="BV55" i="7" s="1"/>
  <c r="V71" i="7"/>
  <c r="F12" i="7"/>
  <c r="X21" i="37"/>
  <c r="W21" i="37"/>
  <c r="P34" i="37"/>
  <c r="Y21" i="37"/>
  <c r="F13" i="34"/>
  <c r="P19" i="7"/>
  <c r="Q19" i="7"/>
  <c r="M19" i="7"/>
  <c r="J19" i="7"/>
  <c r="BS19" i="7"/>
  <c r="BV19" i="7" s="1"/>
  <c r="N19" i="7"/>
  <c r="O19" i="7"/>
  <c r="K19" i="7"/>
  <c r="I19" i="7"/>
  <c r="I25" i="7"/>
  <c r="O25" i="7"/>
  <c r="N25" i="7"/>
  <c r="BS25" i="7"/>
  <c r="BV25" i="7" s="1"/>
  <c r="P25" i="7"/>
  <c r="Q25" i="7"/>
  <c r="K25" i="7"/>
  <c r="M25" i="7"/>
  <c r="J25" i="7"/>
  <c r="BS18" i="7"/>
  <c r="BV18" i="7" s="1"/>
  <c r="AG66" i="7"/>
  <c r="AO62" i="7"/>
  <c r="P28" i="7"/>
  <c r="BS28" i="7"/>
  <c r="BV28" i="7" s="1"/>
  <c r="Q28" i="7"/>
  <c r="K28" i="7"/>
  <c r="U52" i="7"/>
  <c r="AO12" i="7"/>
  <c r="V12" i="7"/>
  <c r="Q26" i="7"/>
  <c r="AA62" i="7"/>
  <c r="G42" i="7"/>
  <c r="I42" i="7" s="1"/>
  <c r="G43" i="7"/>
  <c r="G50" i="7"/>
  <c r="K50" i="7" s="1"/>
  <c r="K52" i="7" s="1"/>
  <c r="BJ12" i="7"/>
  <c r="F48" i="34"/>
  <c r="F49" i="34" s="1"/>
  <c r="F27" i="34"/>
  <c r="T27" i="34"/>
  <c r="F22" i="33"/>
  <c r="Q130" i="32"/>
  <c r="G45" i="32"/>
  <c r="BK43" i="37"/>
  <c r="G43" i="37" s="1"/>
  <c r="BK42" i="37"/>
  <c r="G42" i="37" s="1"/>
  <c r="H16" i="37"/>
  <c r="P28" i="37"/>
  <c r="H27" i="37"/>
  <c r="BK24" i="37"/>
  <c r="BK26" i="37"/>
  <c r="H29" i="37"/>
  <c r="BK36" i="37"/>
  <c r="BK22" i="37"/>
  <c r="BL39" i="38"/>
  <c r="T29" i="38"/>
  <c r="V29" i="38"/>
  <c r="U29" i="38"/>
  <c r="BL51" i="38"/>
  <c r="BO40" i="38"/>
  <c r="BS40" i="38" s="1"/>
  <c r="BW40" i="38" s="1"/>
  <c r="BL32" i="38"/>
  <c r="BL24" i="38"/>
  <c r="BL28" i="38"/>
  <c r="BL48" i="38"/>
  <c r="BL44" i="38"/>
  <c r="U40" i="38"/>
  <c r="T40" i="38"/>
  <c r="Y35" i="38"/>
  <c r="Z35" i="38"/>
  <c r="BL30" i="38"/>
  <c r="U17" i="38"/>
  <c r="Y17" i="38" s="1"/>
  <c r="V40" i="38"/>
  <c r="V16" i="38"/>
  <c r="BL15" i="38"/>
  <c r="G38" i="32"/>
  <c r="J130" i="32"/>
  <c r="I130" i="32"/>
  <c r="G109" i="32"/>
  <c r="G87" i="32"/>
  <c r="G135" i="32"/>
  <c r="G126" i="32"/>
  <c r="G77" i="32"/>
  <c r="H127" i="32"/>
  <c r="Z20" i="32" l="1"/>
  <c r="W20" i="32"/>
  <c r="X20" i="32"/>
  <c r="Y20" i="32"/>
  <c r="W21" i="32"/>
  <c r="X21" i="32"/>
  <c r="Y21" i="32"/>
  <c r="Z21" i="32"/>
  <c r="X18" i="32"/>
  <c r="Y18" i="32"/>
  <c r="Z18" i="32"/>
  <c r="W18" i="32"/>
  <c r="W22" i="32" s="1"/>
  <c r="T92" i="32"/>
  <c r="U92" i="32"/>
  <c r="V92" i="32"/>
  <c r="Z92" i="32" s="1"/>
  <c r="S92" i="32"/>
  <c r="W92" i="32" s="1"/>
  <c r="V73" i="32"/>
  <c r="Z73" i="32" s="1"/>
  <c r="T73" i="32"/>
  <c r="X73" i="32" s="1"/>
  <c r="S73" i="32"/>
  <c r="U73" i="32"/>
  <c r="H129" i="32"/>
  <c r="V129" i="32"/>
  <c r="T129" i="32"/>
  <c r="S129" i="32"/>
  <c r="W129" i="32" s="1"/>
  <c r="U129" i="32"/>
  <c r="V82" i="32"/>
  <c r="Z82" i="32" s="1"/>
  <c r="S82" i="32"/>
  <c r="T82" i="32"/>
  <c r="X82" i="32" s="1"/>
  <c r="U82" i="32"/>
  <c r="S74" i="32"/>
  <c r="W74" i="32" s="1"/>
  <c r="T74" i="32"/>
  <c r="U74" i="32"/>
  <c r="Y74" i="32" s="1"/>
  <c r="V74" i="32"/>
  <c r="Z74" i="32" s="1"/>
  <c r="S116" i="32"/>
  <c r="W116" i="32" s="1"/>
  <c r="V116" i="32"/>
  <c r="Z116" i="32" s="1"/>
  <c r="T116" i="32"/>
  <c r="X116" i="32" s="1"/>
  <c r="U116" i="32"/>
  <c r="Y116" i="32" s="1"/>
  <c r="T72" i="32"/>
  <c r="S72" i="32"/>
  <c r="U72" i="32"/>
  <c r="V72" i="32"/>
  <c r="Z72" i="32" s="1"/>
  <c r="S100" i="32"/>
  <c r="W100" i="32" s="1"/>
  <c r="T100" i="32"/>
  <c r="U100" i="32"/>
  <c r="Y100" i="32" s="1"/>
  <c r="V100" i="32"/>
  <c r="Z100" i="32" s="1"/>
  <c r="V81" i="32"/>
  <c r="Z81" i="32" s="1"/>
  <c r="T81" i="32"/>
  <c r="S81" i="32"/>
  <c r="W81" i="32" s="1"/>
  <c r="U81" i="32"/>
  <c r="S71" i="32"/>
  <c r="T71" i="32"/>
  <c r="V71" i="32"/>
  <c r="Z71" i="32" s="1"/>
  <c r="U71" i="32"/>
  <c r="Y71" i="32" s="1"/>
  <c r="S65" i="32"/>
  <c r="W65" i="32" s="1"/>
  <c r="T65" i="32"/>
  <c r="V65" i="32"/>
  <c r="Z65" i="32" s="1"/>
  <c r="U65" i="32"/>
  <c r="Y65" i="32" s="1"/>
  <c r="V89" i="32"/>
  <c r="S89" i="32"/>
  <c r="U89" i="32"/>
  <c r="T89" i="32"/>
  <c r="U128" i="32"/>
  <c r="T128" i="32"/>
  <c r="X128" i="32" s="1"/>
  <c r="S128" i="32"/>
  <c r="V128" i="32"/>
  <c r="Z128" i="32" s="1"/>
  <c r="H95" i="32"/>
  <c r="BQ95" i="32" s="1"/>
  <c r="BS95" i="32" s="1"/>
  <c r="BW95" i="32" s="1"/>
  <c r="T95" i="32"/>
  <c r="U95" i="32"/>
  <c r="S95" i="32"/>
  <c r="W95" i="32" s="1"/>
  <c r="V95" i="32"/>
  <c r="Z95" i="32" s="1"/>
  <c r="S79" i="32"/>
  <c r="U79" i="32"/>
  <c r="T79" i="32"/>
  <c r="V79" i="32"/>
  <c r="V70" i="32"/>
  <c r="Z70" i="32" s="1"/>
  <c r="U70" i="32"/>
  <c r="Y70" i="32" s="1"/>
  <c r="S70" i="32"/>
  <c r="W70" i="32" s="1"/>
  <c r="T70" i="32"/>
  <c r="X70" i="32" s="1"/>
  <c r="V64" i="32"/>
  <c r="U64" i="32"/>
  <c r="Y64" i="32" s="1"/>
  <c r="S64" i="32"/>
  <c r="T64" i="32"/>
  <c r="H121" i="32"/>
  <c r="V121" i="32"/>
  <c r="Z121" i="32" s="1"/>
  <c r="T121" i="32"/>
  <c r="X121" i="32" s="1"/>
  <c r="U121" i="32"/>
  <c r="S121" i="32"/>
  <c r="W121" i="32" s="1"/>
  <c r="V68" i="32"/>
  <c r="Z68" i="32" s="1"/>
  <c r="S68" i="32"/>
  <c r="T68" i="32"/>
  <c r="X68" i="32" s="1"/>
  <c r="U68" i="32"/>
  <c r="Y68" i="32" s="1"/>
  <c r="V90" i="32"/>
  <c r="Z90" i="32" s="1"/>
  <c r="U90" i="32"/>
  <c r="T90" i="32"/>
  <c r="X90" i="32" s="1"/>
  <c r="S90" i="32"/>
  <c r="W90" i="32" s="1"/>
  <c r="V67" i="32"/>
  <c r="Z67" i="32" s="1"/>
  <c r="U67" i="32"/>
  <c r="Y67" i="32" s="1"/>
  <c r="S67" i="32"/>
  <c r="T67" i="32"/>
  <c r="X67" i="32" s="1"/>
  <c r="T66" i="32"/>
  <c r="X66" i="32" s="1"/>
  <c r="U66" i="32"/>
  <c r="Y66" i="32" s="1"/>
  <c r="V66" i="32"/>
  <c r="Z66" i="32" s="1"/>
  <c r="S66" i="32"/>
  <c r="H94" i="32"/>
  <c r="S94" i="32"/>
  <c r="W94" i="32" s="1"/>
  <c r="V94" i="32"/>
  <c r="Z94" i="32" s="1"/>
  <c r="T94" i="32"/>
  <c r="U94" i="32"/>
  <c r="Y94" i="32" s="1"/>
  <c r="H111" i="32"/>
  <c r="U111" i="32"/>
  <c r="T111" i="32"/>
  <c r="X111" i="32" s="1"/>
  <c r="V111" i="32"/>
  <c r="S111" i="32"/>
  <c r="W111" i="32" s="1"/>
  <c r="T69" i="32"/>
  <c r="X69" i="32" s="1"/>
  <c r="U69" i="32"/>
  <c r="S69" i="32"/>
  <c r="V69" i="32"/>
  <c r="Z69" i="32" s="1"/>
  <c r="O53" i="25"/>
  <c r="O54" i="25" s="1"/>
  <c r="H53" i="25"/>
  <c r="H54" i="25" s="1"/>
  <c r="P53" i="25"/>
  <c r="P54" i="25" s="1"/>
  <c r="J13" i="25"/>
  <c r="K13" i="25"/>
  <c r="I13" i="25"/>
  <c r="F36" i="24"/>
  <c r="S36" i="24" s="1"/>
  <c r="W36" i="24" s="1"/>
  <c r="G32" i="7"/>
  <c r="G34" i="24"/>
  <c r="BP34" i="24" s="1"/>
  <c r="BR34" i="24" s="1"/>
  <c r="BV34" i="24" s="1"/>
  <c r="BV64" i="28"/>
  <c r="F55" i="24"/>
  <c r="G55" i="24" s="1"/>
  <c r="AC46" i="34"/>
  <c r="AE46" i="34"/>
  <c r="AU46" i="34"/>
  <c r="AK12" i="7"/>
  <c r="AQ12" i="7"/>
  <c r="AS12" i="7"/>
  <c r="AU12" i="7"/>
  <c r="AW12" i="7"/>
  <c r="G112" i="24"/>
  <c r="H112" i="24" s="1"/>
  <c r="F112" i="24"/>
  <c r="AX62" i="28"/>
  <c r="Z62" i="28"/>
  <c r="F97" i="24"/>
  <c r="G53" i="28"/>
  <c r="P53" i="28" s="1"/>
  <c r="G56" i="28"/>
  <c r="O56" i="28" s="1"/>
  <c r="G59" i="28"/>
  <c r="P59" i="28" s="1"/>
  <c r="BV12" i="24"/>
  <c r="AT31" i="28"/>
  <c r="AA14" i="28"/>
  <c r="AY14" i="28"/>
  <c r="AC44" i="7"/>
  <c r="BO31" i="38"/>
  <c r="BS31" i="38" s="1"/>
  <c r="BW31" i="38" s="1"/>
  <c r="N31" i="38"/>
  <c r="AZ17" i="28"/>
  <c r="BC69" i="28"/>
  <c r="BC73" i="28" s="1"/>
  <c r="AW62" i="7"/>
  <c r="AU44" i="7"/>
  <c r="BD57" i="7"/>
  <c r="G64" i="24"/>
  <c r="O64" i="24" s="1"/>
  <c r="W20" i="25"/>
  <c r="W23" i="25"/>
  <c r="BV12" i="26"/>
  <c r="Z69" i="7"/>
  <c r="Y52" i="7"/>
  <c r="G26" i="24"/>
  <c r="Z98" i="24"/>
  <c r="BU30" i="28"/>
  <c r="BV60" i="28"/>
  <c r="BV32" i="26"/>
  <c r="AW57" i="7"/>
  <c r="BW28" i="38"/>
  <c r="G60" i="25"/>
  <c r="G27" i="28"/>
  <c r="BO27" i="28" s="1"/>
  <c r="BR27" i="28" s="1"/>
  <c r="BV27" i="28" s="1"/>
  <c r="AI69" i="28"/>
  <c r="BW78" i="32"/>
  <c r="W33" i="33"/>
  <c r="W34" i="33" s="1"/>
  <c r="AB62" i="28"/>
  <c r="BV59" i="24"/>
  <c r="W37" i="24"/>
  <c r="Y97" i="25"/>
  <c r="AK69" i="28"/>
  <c r="AW69" i="28"/>
  <c r="AW73" i="28" s="1"/>
  <c r="BI69" i="28"/>
  <c r="BI73" i="28" s="1"/>
  <c r="BT57" i="7"/>
  <c r="BS31" i="28"/>
  <c r="BS66" i="24"/>
  <c r="BA12" i="7"/>
  <c r="BW57" i="7"/>
  <c r="BQ98" i="24"/>
  <c r="BV19" i="26"/>
  <c r="K100" i="24"/>
  <c r="M100" i="24"/>
  <c r="M14" i="7"/>
  <c r="P14" i="7"/>
  <c r="Y17" i="37"/>
  <c r="BN17" i="37"/>
  <c r="BR17" i="37" s="1"/>
  <c r="BV17" i="37" s="1"/>
  <c r="Q18" i="7"/>
  <c r="I18" i="7"/>
  <c r="N30" i="24"/>
  <c r="M13" i="25"/>
  <c r="O13" i="25"/>
  <c r="Q16" i="25"/>
  <c r="BT16" i="25"/>
  <c r="BU16" i="25" s="1"/>
  <c r="BV16" i="25" s="1"/>
  <c r="G60" i="28"/>
  <c r="J60" i="28" s="1"/>
  <c r="AU69" i="28"/>
  <c r="AU73" i="28" s="1"/>
  <c r="BG69" i="28"/>
  <c r="BS59" i="34"/>
  <c r="P17" i="37"/>
  <c r="BN29" i="37"/>
  <c r="BR29" i="37" s="1"/>
  <c r="BV29" i="37" s="1"/>
  <c r="O30" i="24"/>
  <c r="P13" i="25"/>
  <c r="L13" i="25"/>
  <c r="K16" i="25"/>
  <c r="M16" i="25"/>
  <c r="AI14" i="28"/>
  <c r="BG14" i="28"/>
  <c r="AA69" i="28"/>
  <c r="AM69" i="28"/>
  <c r="AY69" i="28"/>
  <c r="AY73" i="28" s="1"/>
  <c r="F65" i="28"/>
  <c r="BJ69" i="28"/>
  <c r="F12" i="37"/>
  <c r="U12" i="37" s="1"/>
  <c r="Y12" i="37" s="1"/>
  <c r="AT69" i="7"/>
  <c r="AA34" i="7"/>
  <c r="AM34" i="7"/>
  <c r="Q28" i="38"/>
  <c r="I17" i="37"/>
  <c r="I29" i="37"/>
  <c r="N18" i="7"/>
  <c r="N112" i="24"/>
  <c r="H13" i="25"/>
  <c r="N13" i="25"/>
  <c r="G22" i="24"/>
  <c r="I22" i="24" s="1"/>
  <c r="N16" i="25"/>
  <c r="O16" i="25"/>
  <c r="G28" i="24"/>
  <c r="Z42" i="26"/>
  <c r="AC69" i="28"/>
  <c r="AO69" i="28"/>
  <c r="AO73" i="28" s="1"/>
  <c r="BA69" i="28"/>
  <c r="BA73" i="28" s="1"/>
  <c r="V26" i="33"/>
  <c r="BV59" i="28"/>
  <c r="W17" i="37"/>
  <c r="K18" i="7"/>
  <c r="O18" i="7"/>
  <c r="P18" i="7"/>
  <c r="K112" i="24"/>
  <c r="M31" i="24"/>
  <c r="Q13" i="25"/>
  <c r="BT13" i="25"/>
  <c r="BU13" i="25" s="1"/>
  <c r="BV13" i="25" s="1"/>
  <c r="P16" i="25"/>
  <c r="H16" i="25"/>
  <c r="BC44" i="7"/>
  <c r="G115" i="24"/>
  <c r="N115" i="24" s="1"/>
  <c r="BT59" i="34"/>
  <c r="X17" i="37"/>
  <c r="J18" i="7"/>
  <c r="M112" i="24"/>
  <c r="K31" i="24"/>
  <c r="I16" i="25"/>
  <c r="AG34" i="7"/>
  <c r="AU34" i="7"/>
  <c r="AW34" i="7"/>
  <c r="AG69" i="28"/>
  <c r="AG73" i="28" s="1"/>
  <c r="AS69" i="28"/>
  <c r="BE69" i="28"/>
  <c r="BN73" i="28"/>
  <c r="BU65" i="24"/>
  <c r="W26" i="25"/>
  <c r="W22" i="25"/>
  <c r="O25" i="24"/>
  <c r="BP25" i="24"/>
  <c r="BR25" i="24" s="1"/>
  <c r="BV25" i="24" s="1"/>
  <c r="H25" i="24"/>
  <c r="I25" i="24"/>
  <c r="L25" i="24"/>
  <c r="N25" i="24"/>
  <c r="K27" i="7"/>
  <c r="N27" i="7"/>
  <c r="P27" i="7"/>
  <c r="M27" i="7"/>
  <c r="I27" i="38"/>
  <c r="Y32" i="37"/>
  <c r="G36" i="24"/>
  <c r="J36" i="24" s="1"/>
  <c r="BC12" i="7"/>
  <c r="W12" i="7"/>
  <c r="G51" i="24"/>
  <c r="Q51" i="24" s="1"/>
  <c r="BY34" i="7"/>
  <c r="BY56" i="7"/>
  <c r="X20" i="37"/>
  <c r="W37" i="25"/>
  <c r="G37" i="28"/>
  <c r="Q37" i="28" s="1"/>
  <c r="G42" i="28"/>
  <c r="L42" i="28" s="1"/>
  <c r="BI61" i="28"/>
  <c r="G58" i="28"/>
  <c r="L58" i="28" s="1"/>
  <c r="AK73" i="28"/>
  <c r="V32" i="33"/>
  <c r="BN17" i="28"/>
  <c r="AT62" i="28"/>
  <c r="BK31" i="7"/>
  <c r="W20" i="37"/>
  <c r="BK10" i="7"/>
  <c r="AQ14" i="28"/>
  <c r="AQ17" i="28" s="1"/>
  <c r="AQ25" i="28"/>
  <c r="AM25" i="28"/>
  <c r="BV22" i="32"/>
  <c r="BT35" i="33"/>
  <c r="BT53" i="38"/>
  <c r="AZ73" i="28"/>
  <c r="AN73" i="28"/>
  <c r="AB73" i="28"/>
  <c r="W32" i="37"/>
  <c r="BO34" i="38"/>
  <c r="BS34" i="38" s="1"/>
  <c r="BW34" i="38" s="1"/>
  <c r="Y20" i="37"/>
  <c r="I14" i="37"/>
  <c r="V14" i="24"/>
  <c r="W22" i="24"/>
  <c r="W34" i="24"/>
  <c r="AJ17" i="28"/>
  <c r="BH17" i="28"/>
  <c r="BE25" i="28"/>
  <c r="G34" i="28"/>
  <c r="N34" i="28" s="1"/>
  <c r="BT73" i="28"/>
  <c r="BQ66" i="24"/>
  <c r="BQ117" i="24" s="1"/>
  <c r="AZ69" i="7"/>
  <c r="AA44" i="7"/>
  <c r="S25" i="24"/>
  <c r="W25" i="24" s="1"/>
  <c r="X32" i="37"/>
  <c r="I52" i="24"/>
  <c r="U98" i="24"/>
  <c r="H62" i="24"/>
  <c r="P62" i="24"/>
  <c r="F18" i="26"/>
  <c r="H31" i="33"/>
  <c r="BP31" i="33"/>
  <c r="BR31" i="33" s="1"/>
  <c r="BR32" i="33" s="1"/>
  <c r="X30" i="37"/>
  <c r="H30" i="37"/>
  <c r="H18" i="37"/>
  <c r="Q83" i="24"/>
  <c r="K83" i="24"/>
  <c r="P83" i="24"/>
  <c r="BS83" i="24"/>
  <c r="BU83" i="24" s="1"/>
  <c r="BV83" i="24" s="1"/>
  <c r="N83" i="24"/>
  <c r="M83" i="24"/>
  <c r="I83" i="24"/>
  <c r="L83" i="24"/>
  <c r="O83" i="24"/>
  <c r="P106" i="24"/>
  <c r="Q106" i="24"/>
  <c r="N106" i="24"/>
  <c r="O77" i="24"/>
  <c r="L77" i="24"/>
  <c r="Q77" i="24"/>
  <c r="M77" i="24"/>
  <c r="J77" i="24"/>
  <c r="N77" i="24"/>
  <c r="K77" i="24"/>
  <c r="P77" i="24"/>
  <c r="BS77" i="24"/>
  <c r="BU77" i="24" s="1"/>
  <c r="BV77" i="24" s="1"/>
  <c r="H77" i="24"/>
  <c r="I77" i="24"/>
  <c r="J32" i="7"/>
  <c r="I32" i="7"/>
  <c r="O28" i="24"/>
  <c r="K28" i="24"/>
  <c r="P28" i="24"/>
  <c r="Q28" i="24"/>
  <c r="J28" i="24"/>
  <c r="O92" i="24"/>
  <c r="K92" i="24"/>
  <c r="H92" i="24"/>
  <c r="P92" i="24"/>
  <c r="BS92" i="24"/>
  <c r="BU92" i="24" s="1"/>
  <c r="N92" i="24"/>
  <c r="O37" i="7"/>
  <c r="K37" i="7"/>
  <c r="K44" i="7" s="1"/>
  <c r="N37" i="7"/>
  <c r="M37" i="7"/>
  <c r="BS37" i="7"/>
  <c r="BV37" i="7" s="1"/>
  <c r="BZ37" i="7" s="1"/>
  <c r="N58" i="28"/>
  <c r="H58" i="28"/>
  <c r="J58" i="28"/>
  <c r="P58" i="28"/>
  <c r="M34" i="28"/>
  <c r="P34" i="28"/>
  <c r="K34" i="28"/>
  <c r="L20" i="25"/>
  <c r="K20" i="25"/>
  <c r="P20" i="25"/>
  <c r="H20" i="25"/>
  <c r="Q20" i="25"/>
  <c r="O20" i="25"/>
  <c r="M20" i="25"/>
  <c r="J20" i="25"/>
  <c r="BP20" i="25"/>
  <c r="BR20" i="25" s="1"/>
  <c r="BV20" i="25" s="1"/>
  <c r="I20" i="25"/>
  <c r="N20" i="25"/>
  <c r="I62" i="24"/>
  <c r="R42" i="26"/>
  <c r="G29" i="28"/>
  <c r="G48" i="28"/>
  <c r="K48" i="28" s="1"/>
  <c r="AK61" i="28"/>
  <c r="G55" i="28"/>
  <c r="N55" i="28" s="1"/>
  <c r="BV10" i="26"/>
  <c r="AD69" i="7"/>
  <c r="AE34" i="7"/>
  <c r="AQ34" i="7"/>
  <c r="BC34" i="7"/>
  <c r="Y25" i="37"/>
  <c r="X34" i="7"/>
  <c r="BL42" i="38"/>
  <c r="W25" i="37"/>
  <c r="AO69" i="7"/>
  <c r="K62" i="24"/>
  <c r="L70" i="24"/>
  <c r="L100" i="24"/>
  <c r="I100" i="24"/>
  <c r="AO57" i="7"/>
  <c r="G31" i="7"/>
  <c r="BK11" i="7"/>
  <c r="AI44" i="7"/>
  <c r="X16" i="24"/>
  <c r="W24" i="24"/>
  <c r="T98" i="24"/>
  <c r="G110" i="24"/>
  <c r="BT110" i="24" s="1"/>
  <c r="BU110" i="24" s="1"/>
  <c r="BV110" i="24" s="1"/>
  <c r="W21" i="25"/>
  <c r="W24" i="25"/>
  <c r="BK15" i="28"/>
  <c r="BK16" i="28" s="1"/>
  <c r="AI25" i="28"/>
  <c r="BG25" i="28"/>
  <c r="G24" i="33"/>
  <c r="Q24" i="33" s="1"/>
  <c r="AE24" i="33"/>
  <c r="BV24" i="26"/>
  <c r="AC57" i="7"/>
  <c r="BK40" i="7"/>
  <c r="BK45" i="28"/>
  <c r="AW44" i="7"/>
  <c r="AE44" i="7"/>
  <c r="AQ44" i="7"/>
  <c r="AO44" i="7"/>
  <c r="I26" i="7"/>
  <c r="BP62" i="24"/>
  <c r="BR62" i="24" s="1"/>
  <c r="BV62" i="24" s="1"/>
  <c r="S42" i="26"/>
  <c r="G32" i="24"/>
  <c r="X25" i="37"/>
  <c r="H19" i="37"/>
  <c r="J26" i="7"/>
  <c r="F11" i="34"/>
  <c r="F15" i="34" s="1"/>
  <c r="J62" i="24"/>
  <c r="M62" i="24"/>
  <c r="K70" i="24"/>
  <c r="N100" i="24"/>
  <c r="BT100" i="24"/>
  <c r="BU100" i="24" s="1"/>
  <c r="BV100" i="24" s="1"/>
  <c r="AY34" i="7"/>
  <c r="G101" i="25"/>
  <c r="L101" i="25" s="1"/>
  <c r="AB17" i="28"/>
  <c r="AC61" i="28"/>
  <c r="BA61" i="28"/>
  <c r="P31" i="33"/>
  <c r="U17" i="28"/>
  <c r="Z73" i="28"/>
  <c r="P26" i="7"/>
  <c r="O26" i="7"/>
  <c r="G16" i="7"/>
  <c r="Q16" i="7" s="1"/>
  <c r="L62" i="24"/>
  <c r="O62" i="24"/>
  <c r="I70" i="24"/>
  <c r="P100" i="24"/>
  <c r="H34" i="24"/>
  <c r="BK32" i="7"/>
  <c r="BA62" i="7"/>
  <c r="AA25" i="28"/>
  <c r="AY25" i="28"/>
  <c r="AE62" i="7"/>
  <c r="AC34" i="7"/>
  <c r="I55" i="24"/>
  <c r="O100" i="24"/>
  <c r="G17" i="7"/>
  <c r="H17" i="7" s="1"/>
  <c r="N62" i="24"/>
  <c r="H52" i="24"/>
  <c r="O34" i="24"/>
  <c r="AG14" i="28"/>
  <c r="AS14" i="28"/>
  <c r="AS17" i="28" s="1"/>
  <c r="BE14" i="28"/>
  <c r="AR17" i="28"/>
  <c r="AC25" i="28"/>
  <c r="AO25" i="28"/>
  <c r="BA25" i="28"/>
  <c r="G23" i="28"/>
  <c r="AS61" i="28"/>
  <c r="BQ31" i="28"/>
  <c r="BV15" i="24"/>
  <c r="BH62" i="28"/>
  <c r="BD73" i="28"/>
  <c r="AR73" i="28"/>
  <c r="BR136" i="32"/>
  <c r="AH73" i="28"/>
  <c r="BG73" i="28"/>
  <c r="AS73" i="28"/>
  <c r="AL73" i="28"/>
  <c r="BK66" i="28"/>
  <c r="G66" i="28" s="1"/>
  <c r="J66" i="28" s="1"/>
  <c r="BK67" i="28"/>
  <c r="G67" i="28" s="1"/>
  <c r="L67" i="28" s="1"/>
  <c r="P55" i="24"/>
  <c r="K55" i="24"/>
  <c r="BP55" i="24"/>
  <c r="BR55" i="24" s="1"/>
  <c r="L55" i="24"/>
  <c r="M55" i="24"/>
  <c r="L31" i="33"/>
  <c r="AT73" i="28"/>
  <c r="BK68" i="28"/>
  <c r="N31" i="33"/>
  <c r="Q31" i="33"/>
  <c r="F57" i="7"/>
  <c r="BS93" i="24"/>
  <c r="BU93" i="24" s="1"/>
  <c r="L93" i="24"/>
  <c r="H93" i="24"/>
  <c r="K93" i="24"/>
  <c r="H102" i="24"/>
  <c r="Q102" i="24"/>
  <c r="I102" i="24"/>
  <c r="J102" i="24"/>
  <c r="K110" i="24"/>
  <c r="BT115" i="24"/>
  <c r="BU115" i="24" s="1"/>
  <c r="BV115" i="24" s="1"/>
  <c r="H115" i="24"/>
  <c r="P115" i="24"/>
  <c r="Q115" i="24"/>
  <c r="K115" i="24"/>
  <c r="O115" i="24"/>
  <c r="L115" i="24"/>
  <c r="M115" i="24"/>
  <c r="J115" i="24"/>
  <c r="P31" i="7"/>
  <c r="L31" i="7"/>
  <c r="BS31" i="7"/>
  <c r="BV31" i="7" s="1"/>
  <c r="BZ31" i="7" s="1"/>
  <c r="K31" i="7"/>
  <c r="I31" i="7"/>
  <c r="M33" i="7"/>
  <c r="I33" i="7"/>
  <c r="O33" i="7"/>
  <c r="J33" i="7"/>
  <c r="K33" i="7"/>
  <c r="Q33" i="7"/>
  <c r="N33" i="7"/>
  <c r="Q30" i="38"/>
  <c r="W22" i="37"/>
  <c r="W28" i="37"/>
  <c r="BN16" i="37"/>
  <c r="BR16" i="37" s="1"/>
  <c r="BV16" i="37" s="1"/>
  <c r="O32" i="7"/>
  <c r="W48" i="7"/>
  <c r="F34" i="7"/>
  <c r="AG63" i="7"/>
  <c r="AG69" i="7" s="1"/>
  <c r="J89" i="24"/>
  <c r="Q14" i="25"/>
  <c r="AS62" i="7"/>
  <c r="BJ64" i="7"/>
  <c r="F64" i="7" s="1"/>
  <c r="W34" i="25"/>
  <c r="AF69" i="7"/>
  <c r="BR17" i="24"/>
  <c r="BU44" i="24"/>
  <c r="BO66" i="24"/>
  <c r="BV14" i="26"/>
  <c r="AD73" i="28"/>
  <c r="F35" i="33"/>
  <c r="BS47" i="7"/>
  <c r="BV47" i="7" s="1"/>
  <c r="BZ47" i="7" s="1"/>
  <c r="I11" i="7"/>
  <c r="BK71" i="28"/>
  <c r="BK72" i="28" s="1"/>
  <c r="P89" i="24"/>
  <c r="BJ106" i="25"/>
  <c r="M14" i="25"/>
  <c r="G37" i="24"/>
  <c r="H104" i="25"/>
  <c r="BJ18" i="25"/>
  <c r="AG25" i="28"/>
  <c r="AS25" i="28"/>
  <c r="AS31" i="28" s="1"/>
  <c r="M30" i="33"/>
  <c r="AH69" i="7"/>
  <c r="BU69" i="28"/>
  <c r="BU73" i="28" s="1"/>
  <c r="BW11" i="38"/>
  <c r="U86" i="25"/>
  <c r="Y86" i="25" s="1"/>
  <c r="BD69" i="7"/>
  <c r="BD72" i="7" s="1"/>
  <c r="T48" i="34"/>
  <c r="T49" i="34" s="1"/>
  <c r="Y28" i="37"/>
  <c r="I28" i="37"/>
  <c r="I22" i="37"/>
  <c r="X28" i="37"/>
  <c r="X16" i="37"/>
  <c r="M32" i="7"/>
  <c r="BK70" i="7"/>
  <c r="BK71" i="7" s="1"/>
  <c r="I89" i="24"/>
  <c r="U42" i="26"/>
  <c r="K14" i="25"/>
  <c r="BC57" i="7"/>
  <c r="AG57" i="7"/>
  <c r="P104" i="25"/>
  <c r="AN57" i="7"/>
  <c r="AN72" i="7" s="1"/>
  <c r="AY44" i="7"/>
  <c r="BE12" i="7"/>
  <c r="BE44" i="7"/>
  <c r="BI29" i="7"/>
  <c r="G91" i="24"/>
  <c r="K91" i="24" s="1"/>
  <c r="F116" i="24"/>
  <c r="W29" i="25"/>
  <c r="F14" i="28"/>
  <c r="H30" i="33"/>
  <c r="BF69" i="7"/>
  <c r="BU136" i="32"/>
  <c r="BS52" i="37"/>
  <c r="BU53" i="24"/>
  <c r="BR97" i="24"/>
  <c r="AB57" i="7"/>
  <c r="I47" i="7"/>
  <c r="I48" i="7" s="1"/>
  <c r="T86" i="25"/>
  <c r="X86" i="25" s="1"/>
  <c r="H28" i="37"/>
  <c r="P16" i="37"/>
  <c r="W16" i="37"/>
  <c r="P32" i="7"/>
  <c r="O89" i="24"/>
  <c r="BV92" i="24"/>
  <c r="O14" i="25"/>
  <c r="P14" i="25"/>
  <c r="G13" i="24"/>
  <c r="K13" i="24" s="1"/>
  <c r="O104" i="25"/>
  <c r="AM62" i="7"/>
  <c r="Y12" i="7"/>
  <c r="F17" i="24"/>
  <c r="G22" i="26"/>
  <c r="N53" i="28"/>
  <c r="AC14" i="28"/>
  <c r="AO14" i="28"/>
  <c r="AO17" i="28" s="1"/>
  <c r="BA14" i="28"/>
  <c r="BA17" i="28" s="1"/>
  <c r="AK25" i="28"/>
  <c r="AW25" i="28"/>
  <c r="BI25" i="28"/>
  <c r="AM61" i="28"/>
  <c r="AE73" i="28"/>
  <c r="AQ73" i="28"/>
  <c r="BP31" i="28"/>
  <c r="BH73" i="28"/>
  <c r="AJ73" i="28"/>
  <c r="BS88" i="32"/>
  <c r="BW88" i="32" s="1"/>
  <c r="Y16" i="37"/>
  <c r="Q89" i="24"/>
  <c r="N14" i="25"/>
  <c r="L14" i="25"/>
  <c r="I14" i="25"/>
  <c r="AG44" i="7"/>
  <c r="AZ57" i="7"/>
  <c r="BI12" i="7"/>
  <c r="G76" i="25"/>
  <c r="Y81" i="25"/>
  <c r="Y95" i="25"/>
  <c r="H53" i="28"/>
  <c r="Y26" i="33"/>
  <c r="BU60" i="24"/>
  <c r="BO98" i="24"/>
  <c r="BV28" i="26"/>
  <c r="S18" i="33"/>
  <c r="S35" i="33" s="1"/>
  <c r="P31" i="37"/>
  <c r="Y19" i="37"/>
  <c r="I27" i="37"/>
  <c r="X23" i="37"/>
  <c r="BN34" i="37"/>
  <c r="BR34" i="37" s="1"/>
  <c r="BV34" i="37" s="1"/>
  <c r="H31" i="37"/>
  <c r="W23" i="37"/>
  <c r="BN19" i="37"/>
  <c r="BR19" i="37" s="1"/>
  <c r="BV19" i="37" s="1"/>
  <c r="Y27" i="37"/>
  <c r="BU47" i="37"/>
  <c r="BV12" i="33"/>
  <c r="BU22" i="33"/>
  <c r="BT136" i="32"/>
  <c r="Y111" i="32"/>
  <c r="F43" i="37"/>
  <c r="BJ47" i="37"/>
  <c r="BV24" i="33"/>
  <c r="BV29" i="33"/>
  <c r="O90" i="24"/>
  <c r="N90" i="24"/>
  <c r="M90" i="24"/>
  <c r="BS90" i="24"/>
  <c r="BU90" i="24" s="1"/>
  <c r="BV90" i="24" s="1"/>
  <c r="H28" i="24"/>
  <c r="BP28" i="24"/>
  <c r="BR28" i="24" s="1"/>
  <c r="BV28" i="24" s="1"/>
  <c r="G109" i="24"/>
  <c r="Q109" i="24" s="1"/>
  <c r="M28" i="24"/>
  <c r="I28" i="24"/>
  <c r="N104" i="25"/>
  <c r="M104" i="25"/>
  <c r="BJ87" i="25"/>
  <c r="BJ78" i="25"/>
  <c r="Y85" i="25"/>
  <c r="L104" i="25"/>
  <c r="K104" i="25"/>
  <c r="BT104" i="25"/>
  <c r="BU104" i="25" s="1"/>
  <c r="BV104" i="25" s="1"/>
  <c r="G98" i="25"/>
  <c r="J104" i="25"/>
  <c r="I104" i="25"/>
  <c r="BQ52" i="37"/>
  <c r="BW13" i="38"/>
  <c r="S48" i="34"/>
  <c r="BT17" i="28"/>
  <c r="I42" i="28"/>
  <c r="K57" i="28"/>
  <c r="BJ51" i="37"/>
  <c r="BK15" i="37"/>
  <c r="I22" i="26"/>
  <c r="M22" i="26"/>
  <c r="Q22" i="26"/>
  <c r="P22" i="26"/>
  <c r="N22" i="26"/>
  <c r="BN22" i="37"/>
  <c r="BR22" i="37" s="1"/>
  <c r="BV22" i="37" s="1"/>
  <c r="P18" i="37"/>
  <c r="H22" i="37"/>
  <c r="Y22" i="37"/>
  <c r="BN31" i="37"/>
  <c r="BR31" i="37" s="1"/>
  <c r="BV31" i="37" s="1"/>
  <c r="W31" i="37"/>
  <c r="X18" i="37"/>
  <c r="BN18" i="37"/>
  <c r="BR18" i="37" s="1"/>
  <c r="BV18" i="37" s="1"/>
  <c r="W19" i="37"/>
  <c r="P19" i="37"/>
  <c r="P27" i="37"/>
  <c r="Y30" i="37"/>
  <c r="I30" i="37"/>
  <c r="H14" i="37"/>
  <c r="Y23" i="37"/>
  <c r="H34" i="37"/>
  <c r="X22" i="37"/>
  <c r="W18" i="37"/>
  <c r="P30" i="37"/>
  <c r="P14" i="37"/>
  <c r="X31" i="37"/>
  <c r="Y18" i="37"/>
  <c r="X19" i="37"/>
  <c r="W27" i="37"/>
  <c r="W30" i="37"/>
  <c r="AW13" i="37"/>
  <c r="AW38" i="37" s="1"/>
  <c r="BU47" i="34"/>
  <c r="K25" i="34"/>
  <c r="J25" i="34"/>
  <c r="L25" i="34"/>
  <c r="N25" i="34"/>
  <c r="H42" i="34"/>
  <c r="Q42" i="34"/>
  <c r="BU43" i="34"/>
  <c r="I25" i="34"/>
  <c r="P25" i="34"/>
  <c r="BU26" i="33"/>
  <c r="M29" i="33"/>
  <c r="I30" i="33"/>
  <c r="L30" i="33"/>
  <c r="N30" i="33"/>
  <c r="U35" i="33"/>
  <c r="Y22" i="33"/>
  <c r="V18" i="33"/>
  <c r="W25" i="33"/>
  <c r="K31" i="33"/>
  <c r="J31" i="33"/>
  <c r="Q29" i="33"/>
  <c r="X32" i="33"/>
  <c r="BV11" i="33"/>
  <c r="BU18" i="33"/>
  <c r="BS35" i="33"/>
  <c r="BQ35" i="33"/>
  <c r="X18" i="33"/>
  <c r="H15" i="33"/>
  <c r="L15" i="33"/>
  <c r="H13" i="33"/>
  <c r="L13" i="33"/>
  <c r="Q25" i="33"/>
  <c r="H25" i="33"/>
  <c r="J25" i="33"/>
  <c r="K25" i="33"/>
  <c r="Y32" i="33"/>
  <c r="BV12" i="28"/>
  <c r="O60" i="28"/>
  <c r="Y37" i="28"/>
  <c r="H21" i="7"/>
  <c r="L21" i="7"/>
  <c r="P21" i="7"/>
  <c r="S52" i="7"/>
  <c r="W52" i="7"/>
  <c r="O24" i="7"/>
  <c r="L24" i="7"/>
  <c r="H24" i="7"/>
  <c r="L23" i="7"/>
  <c r="H23" i="7"/>
  <c r="L28" i="7"/>
  <c r="H28" i="7"/>
  <c r="AK69" i="7"/>
  <c r="BG69" i="7"/>
  <c r="BA57" i="7"/>
  <c r="BE69" i="7"/>
  <c r="BK38" i="7"/>
  <c r="H14" i="7"/>
  <c r="L14" i="7"/>
  <c r="AC62" i="7"/>
  <c r="AB69" i="7"/>
  <c r="AB72" i="7" s="1"/>
  <c r="H25" i="7"/>
  <c r="L25" i="7"/>
  <c r="L18" i="7"/>
  <c r="H18" i="7"/>
  <c r="AY62" i="7"/>
  <c r="AX69" i="7"/>
  <c r="T34" i="7"/>
  <c r="BH66" i="7"/>
  <c r="BI66" i="7" s="1"/>
  <c r="BI69" i="7" s="1"/>
  <c r="AP69" i="7"/>
  <c r="Z57" i="7"/>
  <c r="Z72" i="7" s="1"/>
  <c r="H47" i="7"/>
  <c r="H48" i="7" s="1"/>
  <c r="BB69" i="7"/>
  <c r="J27" i="7"/>
  <c r="L27" i="7"/>
  <c r="H27" i="7"/>
  <c r="H10" i="7"/>
  <c r="K10" i="7"/>
  <c r="H26" i="7"/>
  <c r="L26" i="7"/>
  <c r="L19" i="7"/>
  <c r="H19" i="7"/>
  <c r="AS57" i="7"/>
  <c r="BG57" i="7"/>
  <c r="P60" i="25"/>
  <c r="M60" i="25"/>
  <c r="K60" i="25"/>
  <c r="Q60" i="25"/>
  <c r="J60" i="25"/>
  <c r="O60" i="25"/>
  <c r="H60" i="25"/>
  <c r="N60" i="25"/>
  <c r="L60" i="25"/>
  <c r="I60" i="25"/>
  <c r="Y83" i="25"/>
  <c r="G93" i="25"/>
  <c r="W43" i="25"/>
  <c r="W45" i="25"/>
  <c r="G85" i="25"/>
  <c r="G103" i="25"/>
  <c r="Y105" i="25"/>
  <c r="Y84" i="25"/>
  <c r="Y91" i="25"/>
  <c r="G96" i="25"/>
  <c r="F111" i="25"/>
  <c r="W86" i="25"/>
  <c r="W50" i="25"/>
  <c r="S52" i="25"/>
  <c r="S55" i="25" s="1"/>
  <c r="Y90" i="25"/>
  <c r="U106" i="25"/>
  <c r="X51" i="25"/>
  <c r="T52" i="25"/>
  <c r="T55" i="25" s="1"/>
  <c r="BG26" i="25"/>
  <c r="AY26" i="25"/>
  <c r="V26" i="25"/>
  <c r="BI26" i="25"/>
  <c r="BA26" i="25"/>
  <c r="Y26" i="25"/>
  <c r="BC26" i="25"/>
  <c r="AU26" i="25"/>
  <c r="X26" i="25"/>
  <c r="BE26" i="25"/>
  <c r="AW26" i="25"/>
  <c r="AS26" i="25"/>
  <c r="AM26" i="25"/>
  <c r="AE26" i="25"/>
  <c r="AO26" i="25"/>
  <c r="AG26" i="25"/>
  <c r="AI26" i="25"/>
  <c r="AA26" i="25"/>
  <c r="AK26" i="25"/>
  <c r="AC26" i="25"/>
  <c r="BI43" i="25"/>
  <c r="BA43" i="25"/>
  <c r="V43" i="25"/>
  <c r="BC43" i="25"/>
  <c r="Y43" i="25"/>
  <c r="BE43" i="25"/>
  <c r="AW43" i="25"/>
  <c r="X43" i="25"/>
  <c r="BG43" i="25"/>
  <c r="AY43" i="25"/>
  <c r="AO43" i="25"/>
  <c r="AG43" i="25"/>
  <c r="AS43" i="25"/>
  <c r="AQ43" i="25"/>
  <c r="AI43" i="25"/>
  <c r="AA43" i="25"/>
  <c r="AU43" i="25"/>
  <c r="AK43" i="25"/>
  <c r="AC43" i="25"/>
  <c r="AM43" i="25"/>
  <c r="AE43" i="25"/>
  <c r="BE45" i="25"/>
  <c r="AW45" i="25"/>
  <c r="V45" i="25"/>
  <c r="BG45" i="25"/>
  <c r="AY45" i="25"/>
  <c r="Y45" i="25"/>
  <c r="BI45" i="25"/>
  <c r="BA45" i="25"/>
  <c r="AS45" i="25"/>
  <c r="X45" i="25"/>
  <c r="BC45" i="25"/>
  <c r="AU45" i="25"/>
  <c r="AK45" i="25"/>
  <c r="AC45" i="25"/>
  <c r="AM45" i="25"/>
  <c r="AE45" i="25"/>
  <c r="AO45" i="25"/>
  <c r="AG45" i="25"/>
  <c r="AQ45" i="25"/>
  <c r="AI45" i="25"/>
  <c r="AA45" i="25"/>
  <c r="AE66" i="25"/>
  <c r="AD88" i="25"/>
  <c r="AM66" i="25"/>
  <c r="AL88" i="25"/>
  <c r="AU66" i="25"/>
  <c r="AT88" i="25"/>
  <c r="BC66" i="25"/>
  <c r="BB88" i="25"/>
  <c r="X68" i="25"/>
  <c r="BC68" i="25"/>
  <c r="Y68" i="25"/>
  <c r="BE68" i="25"/>
  <c r="V68" i="25"/>
  <c r="BG68" i="25"/>
  <c r="AY68" i="25"/>
  <c r="W68" i="25"/>
  <c r="BI68" i="25"/>
  <c r="BA68" i="25"/>
  <c r="AS68" i="25"/>
  <c r="AQ68" i="25"/>
  <c r="AI68" i="25"/>
  <c r="AU68" i="25"/>
  <c r="AK68" i="25"/>
  <c r="AC68" i="25"/>
  <c r="AW68" i="25"/>
  <c r="AM68" i="25"/>
  <c r="AE68" i="25"/>
  <c r="AO68" i="25"/>
  <c r="AG68" i="25"/>
  <c r="AA68" i="25"/>
  <c r="G70" i="25"/>
  <c r="W70" i="25"/>
  <c r="BG70" i="25"/>
  <c r="AY70" i="25"/>
  <c r="V70" i="25"/>
  <c r="BI70" i="25"/>
  <c r="BA70" i="25"/>
  <c r="Y70" i="25"/>
  <c r="BC70" i="25"/>
  <c r="AU70" i="25"/>
  <c r="X70" i="25"/>
  <c r="BE70" i="25"/>
  <c r="AW70" i="25"/>
  <c r="AM70" i="25"/>
  <c r="AE70" i="25"/>
  <c r="AO70" i="25"/>
  <c r="AG70" i="25"/>
  <c r="AA70" i="25"/>
  <c r="AQ70" i="25"/>
  <c r="AI70" i="25"/>
  <c r="AS70" i="25"/>
  <c r="AK70" i="25"/>
  <c r="AC70" i="25"/>
  <c r="G84" i="25"/>
  <c r="BG84" i="25"/>
  <c r="AY84" i="25"/>
  <c r="BI84" i="25"/>
  <c r="BA84" i="25"/>
  <c r="BC84" i="25"/>
  <c r="AU84" i="25"/>
  <c r="BE84" i="25"/>
  <c r="AW84" i="25"/>
  <c r="AM84" i="25"/>
  <c r="AE84" i="25"/>
  <c r="AO84" i="25"/>
  <c r="AG84" i="25"/>
  <c r="AA84" i="25"/>
  <c r="AQ84" i="25"/>
  <c r="AI84" i="25"/>
  <c r="AS84" i="25"/>
  <c r="AK84" i="25"/>
  <c r="AC84" i="25"/>
  <c r="BE97" i="25"/>
  <c r="BG97" i="25"/>
  <c r="AY97" i="25"/>
  <c r="BI97" i="25"/>
  <c r="BA97" i="25"/>
  <c r="BC97" i="25"/>
  <c r="AU97" i="25"/>
  <c r="AS97" i="25"/>
  <c r="AK97" i="25"/>
  <c r="AC97" i="25"/>
  <c r="AM97" i="25"/>
  <c r="AE97" i="25"/>
  <c r="AO97" i="25"/>
  <c r="AG97" i="25"/>
  <c r="AA97" i="25"/>
  <c r="AW97" i="25"/>
  <c r="AQ97" i="25"/>
  <c r="AI97" i="25"/>
  <c r="W36" i="25"/>
  <c r="W38" i="25"/>
  <c r="W40" i="25"/>
  <c r="F52" i="25"/>
  <c r="F55" i="25" s="1"/>
  <c r="G73" i="25"/>
  <c r="G75" i="25"/>
  <c r="G77" i="25"/>
  <c r="O77" i="25" s="1"/>
  <c r="G80" i="25"/>
  <c r="G82" i="25"/>
  <c r="G90" i="25"/>
  <c r="BT90" i="25" s="1"/>
  <c r="BU90" i="25" s="1"/>
  <c r="BV90" i="25" s="1"/>
  <c r="G92" i="25"/>
  <c r="G94" i="25"/>
  <c r="G97" i="25"/>
  <c r="G102" i="25"/>
  <c r="M102" i="25" s="1"/>
  <c r="BO55" i="25"/>
  <c r="U73" i="25"/>
  <c r="Y73" i="25" s="1"/>
  <c r="R77" i="25"/>
  <c r="V77" i="25" s="1"/>
  <c r="R76" i="25"/>
  <c r="V76" i="25" s="1"/>
  <c r="R75" i="25"/>
  <c r="V75" i="25" s="1"/>
  <c r="R74" i="25"/>
  <c r="V74" i="25" s="1"/>
  <c r="R105" i="25"/>
  <c r="V105" i="25" s="1"/>
  <c r="R103" i="25"/>
  <c r="V103" i="25" s="1"/>
  <c r="R102" i="25"/>
  <c r="V102" i="25" s="1"/>
  <c r="R101" i="25"/>
  <c r="V101" i="25" s="1"/>
  <c r="R100" i="25"/>
  <c r="V100" i="25" s="1"/>
  <c r="R99" i="25"/>
  <c r="V99" i="25" s="1"/>
  <c r="R98" i="25"/>
  <c r="V98" i="25" s="1"/>
  <c r="R97" i="25"/>
  <c r="V97" i="25" s="1"/>
  <c r="R96" i="25"/>
  <c r="V96" i="25" s="1"/>
  <c r="R95" i="25"/>
  <c r="V95" i="25" s="1"/>
  <c r="R94" i="25"/>
  <c r="V94" i="25" s="1"/>
  <c r="R93" i="25"/>
  <c r="V93" i="25" s="1"/>
  <c r="R92" i="25"/>
  <c r="V92" i="25" s="1"/>
  <c r="R91" i="25"/>
  <c r="V91" i="25" s="1"/>
  <c r="R90" i="25"/>
  <c r="R86" i="25"/>
  <c r="V86" i="25" s="1"/>
  <c r="R85" i="25"/>
  <c r="V85" i="25" s="1"/>
  <c r="R84" i="25"/>
  <c r="V84" i="25" s="1"/>
  <c r="R83" i="25"/>
  <c r="V83" i="25" s="1"/>
  <c r="R82" i="25"/>
  <c r="V82" i="25" s="1"/>
  <c r="R81" i="25"/>
  <c r="V81" i="25" s="1"/>
  <c r="R80" i="25"/>
  <c r="V80" i="25" s="1"/>
  <c r="BP54" i="25"/>
  <c r="BR53" i="25"/>
  <c r="G17" i="25"/>
  <c r="BG17" i="25"/>
  <c r="AY17" i="25"/>
  <c r="BI17" i="25"/>
  <c r="BA17" i="25"/>
  <c r="BC17" i="25"/>
  <c r="AU17" i="25"/>
  <c r="BE17" i="25"/>
  <c r="AW17" i="25"/>
  <c r="AS17" i="25"/>
  <c r="AM17" i="25"/>
  <c r="AE17" i="25"/>
  <c r="AO17" i="25"/>
  <c r="AG17" i="25"/>
  <c r="AQ17" i="25"/>
  <c r="AI17" i="25"/>
  <c r="AA17" i="25"/>
  <c r="AK17" i="25"/>
  <c r="AC17" i="25"/>
  <c r="X20" i="25"/>
  <c r="BC20" i="25"/>
  <c r="Y20" i="25"/>
  <c r="BE20" i="25"/>
  <c r="AW20" i="25"/>
  <c r="V20" i="25"/>
  <c r="BG20" i="25"/>
  <c r="AY20" i="25"/>
  <c r="BI20" i="25"/>
  <c r="BA20" i="25"/>
  <c r="AS20" i="25"/>
  <c r="AU20" i="25"/>
  <c r="AQ20" i="25"/>
  <c r="AI20" i="25"/>
  <c r="AA20" i="25"/>
  <c r="AK20" i="25"/>
  <c r="AC20" i="25"/>
  <c r="AM20" i="25"/>
  <c r="AE20" i="25"/>
  <c r="AO20" i="25"/>
  <c r="AG20" i="25"/>
  <c r="BG22" i="25"/>
  <c r="AY22" i="25"/>
  <c r="V22" i="25"/>
  <c r="BI22" i="25"/>
  <c r="BA22" i="25"/>
  <c r="Y22" i="25"/>
  <c r="BC22" i="25"/>
  <c r="AU22" i="25"/>
  <c r="X22" i="25"/>
  <c r="BE22" i="25"/>
  <c r="AW22" i="25"/>
  <c r="AM22" i="25"/>
  <c r="AE22" i="25"/>
  <c r="AO22" i="25"/>
  <c r="AG22" i="25"/>
  <c r="AS22" i="25"/>
  <c r="AQ22" i="25"/>
  <c r="AI22" i="25"/>
  <c r="AA22" i="25"/>
  <c r="AK22" i="25"/>
  <c r="AC22" i="25"/>
  <c r="G24" i="25"/>
  <c r="J24" i="25" s="1"/>
  <c r="BC24" i="25"/>
  <c r="V24" i="25"/>
  <c r="BE24" i="25"/>
  <c r="AW24" i="25"/>
  <c r="Y24" i="25"/>
  <c r="BG24" i="25"/>
  <c r="AY24" i="25"/>
  <c r="X24" i="25"/>
  <c r="BI24" i="25"/>
  <c r="BA24" i="25"/>
  <c r="AS24" i="25"/>
  <c r="AQ24" i="25"/>
  <c r="AI24" i="25"/>
  <c r="AA24" i="25"/>
  <c r="AK24" i="25"/>
  <c r="AC24" i="25"/>
  <c r="AU24" i="25"/>
  <c r="AM24" i="25"/>
  <c r="AE24" i="25"/>
  <c r="AO24" i="25"/>
  <c r="AG24" i="25"/>
  <c r="BE29" i="25"/>
  <c r="AW29" i="25"/>
  <c r="V29" i="25"/>
  <c r="BG29" i="25"/>
  <c r="AY29" i="25"/>
  <c r="Y29" i="25"/>
  <c r="BI29" i="25"/>
  <c r="BA29" i="25"/>
  <c r="AS29" i="25"/>
  <c r="X29" i="25"/>
  <c r="BC29" i="25"/>
  <c r="AU29" i="25"/>
  <c r="AK29" i="25"/>
  <c r="AC29" i="25"/>
  <c r="AM29" i="25"/>
  <c r="AE29" i="25"/>
  <c r="AO29" i="25"/>
  <c r="AG29" i="25"/>
  <c r="AQ29" i="25"/>
  <c r="AI29" i="25"/>
  <c r="AA29" i="25"/>
  <c r="BG34" i="25"/>
  <c r="AY34" i="25"/>
  <c r="V34" i="25"/>
  <c r="BI34" i="25"/>
  <c r="BA34" i="25"/>
  <c r="Y34" i="25"/>
  <c r="BC34" i="25"/>
  <c r="AU34" i="25"/>
  <c r="X34" i="25"/>
  <c r="BE34" i="25"/>
  <c r="AW34" i="25"/>
  <c r="AM34" i="25"/>
  <c r="AE34" i="25"/>
  <c r="AO34" i="25"/>
  <c r="AG34" i="25"/>
  <c r="AS34" i="25"/>
  <c r="AQ34" i="25"/>
  <c r="AI34" i="25"/>
  <c r="AA34" i="25"/>
  <c r="AK34" i="25"/>
  <c r="AC34" i="25"/>
  <c r="G36" i="25"/>
  <c r="M36" i="25" s="1"/>
  <c r="BC36" i="25"/>
  <c r="V36" i="25"/>
  <c r="BE36" i="25"/>
  <c r="AW36" i="25"/>
  <c r="Y36" i="25"/>
  <c r="BG36" i="25"/>
  <c r="AY36" i="25"/>
  <c r="X36" i="25"/>
  <c r="BI36" i="25"/>
  <c r="BA36" i="25"/>
  <c r="AS36" i="25"/>
  <c r="AQ36" i="25"/>
  <c r="AI36" i="25"/>
  <c r="AA36" i="25"/>
  <c r="AK36" i="25"/>
  <c r="AC36" i="25"/>
  <c r="AU36" i="25"/>
  <c r="AM36" i="25"/>
  <c r="AE36" i="25"/>
  <c r="AO36" i="25"/>
  <c r="AG36" i="25"/>
  <c r="BG38" i="25"/>
  <c r="AY38" i="25"/>
  <c r="V38" i="25"/>
  <c r="BI38" i="25"/>
  <c r="BA38" i="25"/>
  <c r="Y38" i="25"/>
  <c r="BC38" i="25"/>
  <c r="AU38" i="25"/>
  <c r="X38" i="25"/>
  <c r="BE38" i="25"/>
  <c r="AW38" i="25"/>
  <c r="AS38" i="25"/>
  <c r="AM38" i="25"/>
  <c r="AE38" i="25"/>
  <c r="AO38" i="25"/>
  <c r="AG38" i="25"/>
  <c r="AQ38" i="25"/>
  <c r="AI38" i="25"/>
  <c r="AA38" i="25"/>
  <c r="AK38" i="25"/>
  <c r="AC38" i="25"/>
  <c r="BC40" i="25"/>
  <c r="V40" i="25"/>
  <c r="BE40" i="25"/>
  <c r="AW40" i="25"/>
  <c r="Y40" i="25"/>
  <c r="BG40" i="25"/>
  <c r="AY40" i="25"/>
  <c r="X40" i="25"/>
  <c r="BI40" i="25"/>
  <c r="BA40" i="25"/>
  <c r="AS40" i="25"/>
  <c r="AU40" i="25"/>
  <c r="AQ40" i="25"/>
  <c r="AI40" i="25"/>
  <c r="AA40" i="25"/>
  <c r="AK40" i="25"/>
  <c r="AC40" i="25"/>
  <c r="AM40" i="25"/>
  <c r="AE40" i="25"/>
  <c r="AO40" i="25"/>
  <c r="AG40" i="25"/>
  <c r="G59" i="25"/>
  <c r="W59" i="25"/>
  <c r="BI59" i="25"/>
  <c r="BA59" i="25"/>
  <c r="V59" i="25"/>
  <c r="BC59" i="25"/>
  <c r="Y59" i="25"/>
  <c r="BE59" i="25"/>
  <c r="AW59" i="25"/>
  <c r="X59" i="25"/>
  <c r="BG59" i="25"/>
  <c r="AY59" i="25"/>
  <c r="AS59" i="25"/>
  <c r="AO59" i="25"/>
  <c r="AG59" i="25"/>
  <c r="AA59" i="25"/>
  <c r="AQ59" i="25"/>
  <c r="AI59" i="25"/>
  <c r="AU59" i="25"/>
  <c r="AK59" i="25"/>
  <c r="AC59" i="25"/>
  <c r="AM59" i="25"/>
  <c r="AE59" i="25"/>
  <c r="G61" i="25"/>
  <c r="W61" i="25"/>
  <c r="BE61" i="25"/>
  <c r="V61" i="25"/>
  <c r="BG61" i="25"/>
  <c r="AY61" i="25"/>
  <c r="Y61" i="25"/>
  <c r="BI61" i="25"/>
  <c r="BA61" i="25"/>
  <c r="AS61" i="25"/>
  <c r="X61" i="25"/>
  <c r="BC61" i="25"/>
  <c r="AU61" i="25"/>
  <c r="AK61" i="25"/>
  <c r="AC61" i="25"/>
  <c r="AM61" i="25"/>
  <c r="AE61" i="25"/>
  <c r="AW61" i="25"/>
  <c r="AO61" i="25"/>
  <c r="AG61" i="25"/>
  <c r="AA61" i="25"/>
  <c r="AQ61" i="25"/>
  <c r="AI61" i="25"/>
  <c r="G63" i="25"/>
  <c r="P63" i="25" s="1"/>
  <c r="W63" i="25"/>
  <c r="BI63" i="25"/>
  <c r="BA63" i="25"/>
  <c r="V63" i="25"/>
  <c r="BC63" i="25"/>
  <c r="Y63" i="25"/>
  <c r="BE63" i="25"/>
  <c r="AW63" i="25"/>
  <c r="X63" i="25"/>
  <c r="BG63" i="25"/>
  <c r="AY63" i="25"/>
  <c r="AU63" i="25"/>
  <c r="AO63" i="25"/>
  <c r="AG63" i="25"/>
  <c r="AA63" i="25"/>
  <c r="AQ63" i="25"/>
  <c r="AI63" i="25"/>
  <c r="AS63" i="25"/>
  <c r="AK63" i="25"/>
  <c r="AC63" i="25"/>
  <c r="AM63" i="25"/>
  <c r="AE63" i="25"/>
  <c r="G65" i="25"/>
  <c r="M65" i="25" s="1"/>
  <c r="W65" i="25"/>
  <c r="BE65" i="25"/>
  <c r="V65" i="25"/>
  <c r="BG65" i="25"/>
  <c r="AY65" i="25"/>
  <c r="Y65" i="25"/>
  <c r="BI65" i="25"/>
  <c r="BA65" i="25"/>
  <c r="AS65" i="25"/>
  <c r="X65" i="25"/>
  <c r="BC65" i="25"/>
  <c r="AU65" i="25"/>
  <c r="AW65" i="25"/>
  <c r="AK65" i="25"/>
  <c r="AC65" i="25"/>
  <c r="AM65" i="25"/>
  <c r="AE65" i="25"/>
  <c r="AO65" i="25"/>
  <c r="AG65" i="25"/>
  <c r="AA65" i="25"/>
  <c r="AQ65" i="25"/>
  <c r="AI65" i="25"/>
  <c r="AC66" i="25"/>
  <c r="AB88" i="25"/>
  <c r="AB112" i="25" s="1"/>
  <c r="AB113" i="25" s="1"/>
  <c r="AK66" i="25"/>
  <c r="AJ88" i="25"/>
  <c r="AJ112" i="25" s="1"/>
  <c r="AJ113" i="25" s="1"/>
  <c r="AS66" i="25"/>
  <c r="AR88" i="25"/>
  <c r="AR112" i="25" s="1"/>
  <c r="AR113" i="25" s="1"/>
  <c r="BA66" i="25"/>
  <c r="AZ88" i="25"/>
  <c r="AZ112" i="25" s="1"/>
  <c r="AZ113" i="25" s="1"/>
  <c r="BI66" i="25"/>
  <c r="BH88" i="25"/>
  <c r="BH112" i="25" s="1"/>
  <c r="BH113" i="25" s="1"/>
  <c r="BI85" i="25"/>
  <c r="BA85" i="25"/>
  <c r="BC85" i="25"/>
  <c r="BE85" i="25"/>
  <c r="AW85" i="25"/>
  <c r="BG85" i="25"/>
  <c r="AY85" i="25"/>
  <c r="AO85" i="25"/>
  <c r="AG85" i="25"/>
  <c r="AQ85" i="25"/>
  <c r="AI85" i="25"/>
  <c r="AU85" i="25"/>
  <c r="AS85" i="25"/>
  <c r="AK85" i="25"/>
  <c r="AC85" i="25"/>
  <c r="AA85" i="25"/>
  <c r="AM85" i="25"/>
  <c r="AE85" i="25"/>
  <c r="G95" i="25"/>
  <c r="BI95" i="25"/>
  <c r="BA95" i="25"/>
  <c r="BC95" i="25"/>
  <c r="BE95" i="25"/>
  <c r="AW95" i="25"/>
  <c r="BG95" i="25"/>
  <c r="AY95" i="25"/>
  <c r="AO95" i="25"/>
  <c r="AG95" i="25"/>
  <c r="AA95" i="25"/>
  <c r="AQ95" i="25"/>
  <c r="AI95" i="25"/>
  <c r="AU95" i="25"/>
  <c r="AS95" i="25"/>
  <c r="AK95" i="25"/>
  <c r="AC95" i="25"/>
  <c r="AM95" i="25"/>
  <c r="AE95" i="25"/>
  <c r="G110" i="25"/>
  <c r="W110" i="25"/>
  <c r="BE110" i="25"/>
  <c r="V110" i="25"/>
  <c r="BG110" i="25"/>
  <c r="AY110" i="25"/>
  <c r="Y110" i="25"/>
  <c r="BI110" i="25"/>
  <c r="BA110" i="25"/>
  <c r="X110" i="25"/>
  <c r="BC110" i="25"/>
  <c r="AU110" i="25"/>
  <c r="AS110" i="25"/>
  <c r="AK110" i="25"/>
  <c r="AC110" i="25"/>
  <c r="AW110" i="25"/>
  <c r="AM110" i="25"/>
  <c r="AE110" i="25"/>
  <c r="AO110" i="25"/>
  <c r="AG110" i="25"/>
  <c r="AA110" i="25"/>
  <c r="AQ110" i="25"/>
  <c r="AI110" i="25"/>
  <c r="G50" i="25"/>
  <c r="X50" i="25"/>
  <c r="BE50" i="25"/>
  <c r="AW50" i="25"/>
  <c r="Y50" i="25"/>
  <c r="BG50" i="25"/>
  <c r="AY50" i="25"/>
  <c r="V50" i="25"/>
  <c r="BI50" i="25"/>
  <c r="BA50" i="25"/>
  <c r="AS50" i="25"/>
  <c r="BC50" i="25"/>
  <c r="AU50" i="25"/>
  <c r="AK50" i="25"/>
  <c r="AC50" i="25"/>
  <c r="AM50" i="25"/>
  <c r="AE50" i="25"/>
  <c r="AO50" i="25"/>
  <c r="AG50" i="25"/>
  <c r="AQ50" i="25"/>
  <c r="AI50" i="25"/>
  <c r="AA50" i="25"/>
  <c r="BI103" i="25"/>
  <c r="BA103" i="25"/>
  <c r="BC103" i="25"/>
  <c r="BE103" i="25"/>
  <c r="AW103" i="25"/>
  <c r="BG103" i="25"/>
  <c r="AY103" i="25"/>
  <c r="AO103" i="25"/>
  <c r="AG103" i="25"/>
  <c r="AQ103" i="25"/>
  <c r="AI103" i="25"/>
  <c r="AS103" i="25"/>
  <c r="AK103" i="25"/>
  <c r="AC103" i="25"/>
  <c r="AA103" i="25"/>
  <c r="AU103" i="25"/>
  <c r="AM103" i="25"/>
  <c r="AE103" i="25"/>
  <c r="W108" i="25"/>
  <c r="BI108" i="25"/>
  <c r="V108" i="25"/>
  <c r="BC108" i="25"/>
  <c r="AQ108" i="25"/>
  <c r="AS108" i="25"/>
  <c r="W25" i="25"/>
  <c r="W44" i="25"/>
  <c r="G100" i="25"/>
  <c r="F106" i="25"/>
  <c r="BT55" i="25"/>
  <c r="T73" i="25"/>
  <c r="X73" i="25" s="1"/>
  <c r="S77" i="25"/>
  <c r="W77" i="25" s="1"/>
  <c r="S76" i="25"/>
  <c r="W76" i="25" s="1"/>
  <c r="S75" i="25"/>
  <c r="W75" i="25" s="1"/>
  <c r="S74" i="25"/>
  <c r="W74" i="25" s="1"/>
  <c r="S105" i="25"/>
  <c r="W105" i="25" s="1"/>
  <c r="S103" i="25"/>
  <c r="W103" i="25" s="1"/>
  <c r="S102" i="25"/>
  <c r="W102" i="25" s="1"/>
  <c r="S101" i="25"/>
  <c r="W101" i="25" s="1"/>
  <c r="S100" i="25"/>
  <c r="W100" i="25" s="1"/>
  <c r="S99" i="25"/>
  <c r="W99" i="25" s="1"/>
  <c r="S98" i="25"/>
  <c r="W98" i="25" s="1"/>
  <c r="S97" i="25"/>
  <c r="W97" i="25" s="1"/>
  <c r="S96" i="25"/>
  <c r="W96" i="25" s="1"/>
  <c r="S95" i="25"/>
  <c r="W95" i="25" s="1"/>
  <c r="S94" i="25"/>
  <c r="W94" i="25" s="1"/>
  <c r="S93" i="25"/>
  <c r="W93" i="25" s="1"/>
  <c r="S92" i="25"/>
  <c r="W92" i="25" s="1"/>
  <c r="S91" i="25"/>
  <c r="W91" i="25" s="1"/>
  <c r="S90" i="25"/>
  <c r="S85" i="25"/>
  <c r="W85" i="25" s="1"/>
  <c r="S84" i="25"/>
  <c r="W84" i="25" s="1"/>
  <c r="S83" i="25"/>
  <c r="W83" i="25" s="1"/>
  <c r="S82" i="25"/>
  <c r="W82" i="25" s="1"/>
  <c r="S81" i="25"/>
  <c r="W81" i="25" s="1"/>
  <c r="S80" i="25"/>
  <c r="W80" i="25" s="1"/>
  <c r="BC44" i="25"/>
  <c r="V44" i="25"/>
  <c r="BE44" i="25"/>
  <c r="AW44" i="25"/>
  <c r="Y44" i="25"/>
  <c r="BG44" i="25"/>
  <c r="AY44" i="25"/>
  <c r="X44" i="25"/>
  <c r="BI44" i="25"/>
  <c r="BA44" i="25"/>
  <c r="AS44" i="25"/>
  <c r="AQ44" i="25"/>
  <c r="AI44" i="25"/>
  <c r="AA44" i="25"/>
  <c r="AU44" i="25"/>
  <c r="AK44" i="25"/>
  <c r="AC44" i="25"/>
  <c r="AM44" i="25"/>
  <c r="AE44" i="25"/>
  <c r="AO44" i="25"/>
  <c r="AG44" i="25"/>
  <c r="G51" i="25"/>
  <c r="P51" i="25" s="1"/>
  <c r="W51" i="25"/>
  <c r="W52" i="25" s="1"/>
  <c r="W55" i="25" s="1"/>
  <c r="BG51" i="25"/>
  <c r="AY51" i="25"/>
  <c r="V51" i="25"/>
  <c r="BI51" i="25"/>
  <c r="BA51" i="25"/>
  <c r="Y51" i="25"/>
  <c r="BC51" i="25"/>
  <c r="AU51" i="25"/>
  <c r="BE51" i="25"/>
  <c r="AW51" i="25"/>
  <c r="AM51" i="25"/>
  <c r="AS51" i="25"/>
  <c r="AO51" i="25"/>
  <c r="AG51" i="25"/>
  <c r="AQ51" i="25"/>
  <c r="AI51" i="25"/>
  <c r="AA51" i="25"/>
  <c r="AK51" i="25"/>
  <c r="AC51" i="25"/>
  <c r="AE51" i="25"/>
  <c r="BJ66" i="25"/>
  <c r="F58" i="25"/>
  <c r="AI66" i="25"/>
  <c r="AH88" i="25"/>
  <c r="AQ66" i="25"/>
  <c r="AP88" i="25"/>
  <c r="AY66" i="25"/>
  <c r="AX88" i="25"/>
  <c r="BG66" i="25"/>
  <c r="BF88" i="25"/>
  <c r="G69" i="25"/>
  <c r="W69" i="25"/>
  <c r="BE69" i="25"/>
  <c r="V69" i="25"/>
  <c r="BG69" i="25"/>
  <c r="AY69" i="25"/>
  <c r="Y69" i="25"/>
  <c r="BI69" i="25"/>
  <c r="BA69" i="25"/>
  <c r="AS69" i="25"/>
  <c r="X69" i="25"/>
  <c r="BC69" i="25"/>
  <c r="AU69" i="25"/>
  <c r="AK69" i="25"/>
  <c r="AC69" i="25"/>
  <c r="AW69" i="25"/>
  <c r="AM69" i="25"/>
  <c r="AE69" i="25"/>
  <c r="AO69" i="25"/>
  <c r="AG69" i="25"/>
  <c r="AA69" i="25"/>
  <c r="AQ69" i="25"/>
  <c r="AI69" i="25"/>
  <c r="Q76" i="25"/>
  <c r="H76" i="25"/>
  <c r="BI81" i="25"/>
  <c r="BA81" i="25"/>
  <c r="BC81" i="25"/>
  <c r="BE81" i="25"/>
  <c r="AW81" i="25"/>
  <c r="BG81" i="25"/>
  <c r="AY81" i="25"/>
  <c r="AU81" i="25"/>
  <c r="AO81" i="25"/>
  <c r="AG81" i="25"/>
  <c r="AQ81" i="25"/>
  <c r="AI81" i="25"/>
  <c r="AS81" i="25"/>
  <c r="AK81" i="25"/>
  <c r="AC81" i="25"/>
  <c r="AM81" i="25"/>
  <c r="AE81" i="25"/>
  <c r="AA81" i="25"/>
  <c r="G83" i="25"/>
  <c r="BE83" i="25"/>
  <c r="BG83" i="25"/>
  <c r="AY83" i="25"/>
  <c r="BI83" i="25"/>
  <c r="BA83" i="25"/>
  <c r="BC83" i="25"/>
  <c r="AU83" i="25"/>
  <c r="AS83" i="25"/>
  <c r="AK83" i="25"/>
  <c r="AC83" i="25"/>
  <c r="AM83" i="25"/>
  <c r="AE83" i="25"/>
  <c r="AO83" i="25"/>
  <c r="AG83" i="25"/>
  <c r="AA83" i="25"/>
  <c r="AW83" i="25"/>
  <c r="AQ83" i="25"/>
  <c r="AI83" i="25"/>
  <c r="G91" i="25"/>
  <c r="I91" i="25" s="1"/>
  <c r="BI91" i="25"/>
  <c r="BA91" i="25"/>
  <c r="BC91" i="25"/>
  <c r="BE91" i="25"/>
  <c r="AW91" i="25"/>
  <c r="BG91" i="25"/>
  <c r="AY91" i="25"/>
  <c r="AO91" i="25"/>
  <c r="AG91" i="25"/>
  <c r="AA91" i="25"/>
  <c r="AQ91" i="25"/>
  <c r="AI91" i="25"/>
  <c r="AU91" i="25"/>
  <c r="AS91" i="25"/>
  <c r="AK91" i="25"/>
  <c r="AC91" i="25"/>
  <c r="AM91" i="25"/>
  <c r="AE91" i="25"/>
  <c r="W109" i="25"/>
  <c r="V109" i="25"/>
  <c r="BE109" i="25"/>
  <c r="BG109" i="25"/>
  <c r="X109" i="25"/>
  <c r="BI109" i="25"/>
  <c r="AI109" i="25"/>
  <c r="AK109" i="25"/>
  <c r="AC109" i="25"/>
  <c r="AW109" i="25"/>
  <c r="AM109" i="25"/>
  <c r="AE109" i="25"/>
  <c r="AO109" i="25"/>
  <c r="AG109" i="25"/>
  <c r="AA109" i="25"/>
  <c r="W35" i="25"/>
  <c r="W39" i="25"/>
  <c r="W41" i="25"/>
  <c r="G74" i="25"/>
  <c r="F78" i="25"/>
  <c r="T78" i="25" s="1"/>
  <c r="F87" i="25"/>
  <c r="BU52" i="25"/>
  <c r="BU55" i="25" s="1"/>
  <c r="S73" i="25"/>
  <c r="W73" i="25" s="1"/>
  <c r="T77" i="25"/>
  <c r="X77" i="25" s="1"/>
  <c r="T76" i="25"/>
  <c r="X76" i="25" s="1"/>
  <c r="T75" i="25"/>
  <c r="X75" i="25" s="1"/>
  <c r="T74" i="25"/>
  <c r="X74" i="25" s="1"/>
  <c r="T105" i="25"/>
  <c r="X105" i="25" s="1"/>
  <c r="T103" i="25"/>
  <c r="X103" i="25" s="1"/>
  <c r="T102" i="25"/>
  <c r="X102" i="25" s="1"/>
  <c r="T101" i="25"/>
  <c r="X101" i="25" s="1"/>
  <c r="T100" i="25"/>
  <c r="X100" i="25" s="1"/>
  <c r="T99" i="25"/>
  <c r="X99" i="25" s="1"/>
  <c r="T98" i="25"/>
  <c r="X98" i="25" s="1"/>
  <c r="T97" i="25"/>
  <c r="X97" i="25" s="1"/>
  <c r="T96" i="25"/>
  <c r="X96" i="25" s="1"/>
  <c r="T95" i="25"/>
  <c r="X95" i="25" s="1"/>
  <c r="T94" i="25"/>
  <c r="X94" i="25" s="1"/>
  <c r="T93" i="25"/>
  <c r="X93" i="25" s="1"/>
  <c r="T92" i="25"/>
  <c r="X92" i="25" s="1"/>
  <c r="T91" i="25"/>
  <c r="X91" i="25" s="1"/>
  <c r="T90" i="25"/>
  <c r="T85" i="25"/>
  <c r="X85" i="25" s="1"/>
  <c r="T84" i="25"/>
  <c r="X84" i="25" s="1"/>
  <c r="T83" i="25"/>
  <c r="X83" i="25" s="1"/>
  <c r="T82" i="25"/>
  <c r="X82" i="25" s="1"/>
  <c r="T81" i="25"/>
  <c r="X81" i="25" s="1"/>
  <c r="T80" i="25"/>
  <c r="X80" i="25" s="1"/>
  <c r="V12" i="25"/>
  <c r="BG12" i="25"/>
  <c r="AY12" i="25"/>
  <c r="Y12" i="25"/>
  <c r="BI12" i="25"/>
  <c r="BI18" i="25" s="1"/>
  <c r="BA12" i="25"/>
  <c r="X12" i="25"/>
  <c r="BC12" i="25"/>
  <c r="AU12" i="25"/>
  <c r="W12" i="25"/>
  <c r="BE12" i="25"/>
  <c r="AW12" i="25"/>
  <c r="AM12" i="25"/>
  <c r="AM18" i="25" s="1"/>
  <c r="AE12" i="25"/>
  <c r="AE18" i="25" s="1"/>
  <c r="AO12" i="25"/>
  <c r="AG12" i="25"/>
  <c r="AA12" i="25"/>
  <c r="AQ12" i="25"/>
  <c r="AI12" i="25"/>
  <c r="AS12" i="25"/>
  <c r="AK12" i="25"/>
  <c r="AC12" i="25"/>
  <c r="G21" i="25"/>
  <c r="L21" i="25" s="1"/>
  <c r="BE21" i="25"/>
  <c r="AW21" i="25"/>
  <c r="V21" i="25"/>
  <c r="BG21" i="25"/>
  <c r="AY21" i="25"/>
  <c r="Y21" i="25"/>
  <c r="BI21" i="25"/>
  <c r="BA21" i="25"/>
  <c r="AS21" i="25"/>
  <c r="X21" i="25"/>
  <c r="BC21" i="25"/>
  <c r="AU21" i="25"/>
  <c r="AK21" i="25"/>
  <c r="AC21" i="25"/>
  <c r="AM21" i="25"/>
  <c r="AE21" i="25"/>
  <c r="AO21" i="25"/>
  <c r="AG21" i="25"/>
  <c r="AQ21" i="25"/>
  <c r="AI21" i="25"/>
  <c r="AA21" i="25"/>
  <c r="G23" i="25"/>
  <c r="BI23" i="25"/>
  <c r="BA23" i="25"/>
  <c r="V23" i="25"/>
  <c r="BC23" i="25"/>
  <c r="Y23" i="25"/>
  <c r="BE23" i="25"/>
  <c r="AW23" i="25"/>
  <c r="X23" i="25"/>
  <c r="BG23" i="25"/>
  <c r="AY23" i="25"/>
  <c r="AO23" i="25"/>
  <c r="AG23" i="25"/>
  <c r="AS23" i="25"/>
  <c r="AQ23" i="25"/>
  <c r="AI23" i="25"/>
  <c r="AA23" i="25"/>
  <c r="AK23" i="25"/>
  <c r="AC23" i="25"/>
  <c r="AU23" i="25"/>
  <c r="AM23" i="25"/>
  <c r="AE23" i="25"/>
  <c r="BE25" i="25"/>
  <c r="AW25" i="25"/>
  <c r="V25" i="25"/>
  <c r="BG25" i="25"/>
  <c r="AY25" i="25"/>
  <c r="Y25" i="25"/>
  <c r="BI25" i="25"/>
  <c r="BA25" i="25"/>
  <c r="AS25" i="25"/>
  <c r="X25" i="25"/>
  <c r="BC25" i="25"/>
  <c r="AU25" i="25"/>
  <c r="AK25" i="25"/>
  <c r="AC25" i="25"/>
  <c r="AM25" i="25"/>
  <c r="AE25" i="25"/>
  <c r="AO25" i="25"/>
  <c r="AG25" i="25"/>
  <c r="AI25" i="25"/>
  <c r="AA25" i="25"/>
  <c r="BC28" i="25"/>
  <c r="V28" i="25"/>
  <c r="BE28" i="25"/>
  <c r="AW28" i="25"/>
  <c r="Y28" i="25"/>
  <c r="BG28" i="25"/>
  <c r="AY28" i="25"/>
  <c r="X28" i="25"/>
  <c r="BI28" i="25"/>
  <c r="BA28" i="25"/>
  <c r="AS28" i="25"/>
  <c r="AU28" i="25"/>
  <c r="AI28" i="25"/>
  <c r="AA28" i="25"/>
  <c r="AK28" i="25"/>
  <c r="AC28" i="25"/>
  <c r="AM28" i="25"/>
  <c r="AE28" i="25"/>
  <c r="AO28" i="25"/>
  <c r="AG28" i="25"/>
  <c r="BI35" i="25"/>
  <c r="BA35" i="25"/>
  <c r="V35" i="25"/>
  <c r="BC35" i="25"/>
  <c r="Y35" i="25"/>
  <c r="BE35" i="25"/>
  <c r="AW35" i="25"/>
  <c r="X35" i="25"/>
  <c r="BG35" i="25"/>
  <c r="AY35" i="25"/>
  <c r="AO35" i="25"/>
  <c r="AG35" i="25"/>
  <c r="AS35" i="25"/>
  <c r="AQ35" i="25"/>
  <c r="AI35" i="25"/>
  <c r="AA35" i="25"/>
  <c r="AK35" i="25"/>
  <c r="AC35" i="25"/>
  <c r="AU35" i="25"/>
  <c r="AM35" i="25"/>
  <c r="AE35" i="25"/>
  <c r="BE37" i="25"/>
  <c r="AW37" i="25"/>
  <c r="V37" i="25"/>
  <c r="BG37" i="25"/>
  <c r="AY37" i="25"/>
  <c r="Y37" i="25"/>
  <c r="BI37" i="25"/>
  <c r="BA37" i="25"/>
  <c r="AS37" i="25"/>
  <c r="X37" i="25"/>
  <c r="BC37" i="25"/>
  <c r="AU37" i="25"/>
  <c r="AK37" i="25"/>
  <c r="AC37" i="25"/>
  <c r="AM37" i="25"/>
  <c r="AE37" i="25"/>
  <c r="AO37" i="25"/>
  <c r="AG37" i="25"/>
  <c r="AQ37" i="25"/>
  <c r="AI37" i="25"/>
  <c r="AA37" i="25"/>
  <c r="BI39" i="25"/>
  <c r="BA39" i="25"/>
  <c r="V39" i="25"/>
  <c r="BC39" i="25"/>
  <c r="Y39" i="25"/>
  <c r="BE39" i="25"/>
  <c r="AW39" i="25"/>
  <c r="X39" i="25"/>
  <c r="BG39" i="25"/>
  <c r="AY39" i="25"/>
  <c r="AO39" i="25"/>
  <c r="AG39" i="25"/>
  <c r="AU39" i="25"/>
  <c r="AQ39" i="25"/>
  <c r="AI39" i="25"/>
  <c r="AA39" i="25"/>
  <c r="AK39" i="25"/>
  <c r="AC39" i="25"/>
  <c r="AS39" i="25"/>
  <c r="AM39" i="25"/>
  <c r="AE39" i="25"/>
  <c r="G41" i="25"/>
  <c r="BP41" i="25" s="1"/>
  <c r="BR41" i="25" s="1"/>
  <c r="BV41" i="25" s="1"/>
  <c r="BE41" i="25"/>
  <c r="AW41" i="25"/>
  <c r="V41" i="25"/>
  <c r="BG41" i="25"/>
  <c r="AY41" i="25"/>
  <c r="Y41" i="25"/>
  <c r="BI41" i="25"/>
  <c r="BA41" i="25"/>
  <c r="AS41" i="25"/>
  <c r="X41" i="25"/>
  <c r="BC41" i="25"/>
  <c r="AU41" i="25"/>
  <c r="AK41" i="25"/>
  <c r="AC41" i="25"/>
  <c r="AM41" i="25"/>
  <c r="AE41" i="25"/>
  <c r="AO41" i="25"/>
  <c r="AG41" i="25"/>
  <c r="AQ41" i="25"/>
  <c r="AI41" i="25"/>
  <c r="AA41" i="25"/>
  <c r="L53" i="25"/>
  <c r="L54" i="25" s="1"/>
  <c r="L55" i="25" s="1"/>
  <c r="Q53" i="25"/>
  <c r="Q54" i="25" s="1"/>
  <c r="X58" i="25"/>
  <c r="BG58" i="25"/>
  <c r="AY58" i="25"/>
  <c r="Y58" i="25"/>
  <c r="BI58" i="25"/>
  <c r="BA58" i="25"/>
  <c r="V58" i="25"/>
  <c r="BC58" i="25"/>
  <c r="AU58" i="25"/>
  <c r="W58" i="25"/>
  <c r="BE58" i="25"/>
  <c r="AW58" i="25"/>
  <c r="AM58" i="25"/>
  <c r="AE58" i="25"/>
  <c r="AS58" i="25"/>
  <c r="AO58" i="25"/>
  <c r="AG58" i="25"/>
  <c r="AA58" i="25"/>
  <c r="AQ58" i="25"/>
  <c r="AI58" i="25"/>
  <c r="AK58" i="25"/>
  <c r="AC58" i="25"/>
  <c r="G62" i="25"/>
  <c r="W62" i="25"/>
  <c r="BG62" i="25"/>
  <c r="AY62" i="25"/>
  <c r="V62" i="25"/>
  <c r="BI62" i="25"/>
  <c r="BA62" i="25"/>
  <c r="Y62" i="25"/>
  <c r="BC62" i="25"/>
  <c r="AU62" i="25"/>
  <c r="X62" i="25"/>
  <c r="BE62" i="25"/>
  <c r="AW62" i="25"/>
  <c r="AM62" i="25"/>
  <c r="AO62" i="25"/>
  <c r="AG62" i="25"/>
  <c r="AA62" i="25"/>
  <c r="AQ62" i="25"/>
  <c r="AI62" i="25"/>
  <c r="AE62" i="25"/>
  <c r="AS62" i="25"/>
  <c r="AK62" i="25"/>
  <c r="AC62" i="25"/>
  <c r="G64" i="25"/>
  <c r="W64" i="25"/>
  <c r="BC64" i="25"/>
  <c r="V64" i="25"/>
  <c r="BE64" i="25"/>
  <c r="Y64" i="25"/>
  <c r="BG64" i="25"/>
  <c r="AY64" i="25"/>
  <c r="X64" i="25"/>
  <c r="BI64" i="25"/>
  <c r="BA64" i="25"/>
  <c r="AS64" i="25"/>
  <c r="AQ64" i="25"/>
  <c r="AI64" i="25"/>
  <c r="AW64" i="25"/>
  <c r="AK64" i="25"/>
  <c r="AC64" i="25"/>
  <c r="AM64" i="25"/>
  <c r="AE64" i="25"/>
  <c r="AU64" i="25"/>
  <c r="AO64" i="25"/>
  <c r="AG64" i="25"/>
  <c r="AA64" i="25"/>
  <c r="AG66" i="25"/>
  <c r="AF88" i="25"/>
  <c r="AO66" i="25"/>
  <c r="AN88" i="25"/>
  <c r="AW66" i="25"/>
  <c r="AV88" i="25"/>
  <c r="BE66" i="25"/>
  <c r="BD88" i="25"/>
  <c r="BJ71" i="25"/>
  <c r="F68" i="25"/>
  <c r="F71" i="25" s="1"/>
  <c r="G86" i="25"/>
  <c r="BC86" i="25"/>
  <c r="BE86" i="25"/>
  <c r="BG86" i="25"/>
  <c r="AY86" i="25"/>
  <c r="BI86" i="25"/>
  <c r="BA86" i="25"/>
  <c r="AQ86" i="25"/>
  <c r="AI86" i="25"/>
  <c r="AU86" i="25"/>
  <c r="AS86" i="25"/>
  <c r="AK86" i="25"/>
  <c r="AC86" i="25"/>
  <c r="AW86" i="25"/>
  <c r="AM86" i="25"/>
  <c r="AE86" i="25"/>
  <c r="AO86" i="25"/>
  <c r="AG86" i="25"/>
  <c r="AA86" i="25"/>
  <c r="G105" i="25"/>
  <c r="O105" i="25" s="1"/>
  <c r="BE105" i="25"/>
  <c r="BG105" i="25"/>
  <c r="AY105" i="25"/>
  <c r="BI105" i="25"/>
  <c r="BA105" i="25"/>
  <c r="BC105" i="25"/>
  <c r="AU105" i="25"/>
  <c r="AW105" i="25"/>
  <c r="AS105" i="25"/>
  <c r="AK105" i="25"/>
  <c r="AC105" i="25"/>
  <c r="AM105" i="25"/>
  <c r="AE105" i="25"/>
  <c r="AO105" i="25"/>
  <c r="AG105" i="25"/>
  <c r="AA105" i="25"/>
  <c r="AQ105" i="25"/>
  <c r="AI105" i="25"/>
  <c r="W60" i="25"/>
  <c r="BC60" i="25"/>
  <c r="V60" i="25"/>
  <c r="BE60" i="25"/>
  <c r="Y60" i="25"/>
  <c r="BG60" i="25"/>
  <c r="AY60" i="25"/>
  <c r="X60" i="25"/>
  <c r="BI60" i="25"/>
  <c r="BA60" i="25"/>
  <c r="AS60" i="25"/>
  <c r="AQ60" i="25"/>
  <c r="AI60" i="25"/>
  <c r="AU60" i="25"/>
  <c r="AK60" i="25"/>
  <c r="AC60" i="25"/>
  <c r="AM60" i="25"/>
  <c r="AE60" i="25"/>
  <c r="AW60" i="25"/>
  <c r="AO60" i="25"/>
  <c r="AG60" i="25"/>
  <c r="AA60" i="25"/>
  <c r="G99" i="25"/>
  <c r="W17" i="26"/>
  <c r="W18" i="26" s="1"/>
  <c r="F39" i="26"/>
  <c r="V17" i="26"/>
  <c r="BU18" i="26"/>
  <c r="BU33" i="26"/>
  <c r="F33" i="26"/>
  <c r="M36" i="26"/>
  <c r="P36" i="26"/>
  <c r="BP36" i="26"/>
  <c r="BR36" i="26" s="1"/>
  <c r="BV36" i="26" s="1"/>
  <c r="V12" i="26"/>
  <c r="BE12" i="26"/>
  <c r="AW12" i="26"/>
  <c r="AO12" i="26"/>
  <c r="AG12" i="26"/>
  <c r="W12" i="26"/>
  <c r="BC12" i="26"/>
  <c r="AY12" i="26"/>
  <c r="AU12" i="26"/>
  <c r="AM12" i="26"/>
  <c r="AE12" i="26"/>
  <c r="X12" i="26"/>
  <c r="BI12" i="26"/>
  <c r="BA12" i="26"/>
  <c r="AS12" i="26"/>
  <c r="AK12" i="26"/>
  <c r="AC12" i="26"/>
  <c r="Y12" i="26"/>
  <c r="BG12" i="26"/>
  <c r="AQ12" i="26"/>
  <c r="AI12" i="26"/>
  <c r="AA12" i="26"/>
  <c r="V20" i="26"/>
  <c r="BG20" i="26"/>
  <c r="AQ20" i="26"/>
  <c r="AI20" i="26"/>
  <c r="W20" i="26"/>
  <c r="BE20" i="26"/>
  <c r="AW20" i="26"/>
  <c r="AO20" i="26"/>
  <c r="AG20" i="26"/>
  <c r="X20" i="26"/>
  <c r="BC20" i="26"/>
  <c r="AU20" i="26"/>
  <c r="AM20" i="26"/>
  <c r="AE20" i="26"/>
  <c r="Y20" i="26"/>
  <c r="BI20" i="26"/>
  <c r="BA20" i="26"/>
  <c r="AY20" i="26"/>
  <c r="AS20" i="26"/>
  <c r="AK20" i="26"/>
  <c r="AC20" i="26"/>
  <c r="AA20" i="26"/>
  <c r="K22" i="26"/>
  <c r="H22" i="26"/>
  <c r="V25" i="26"/>
  <c r="BG25" i="26"/>
  <c r="AQ25" i="26"/>
  <c r="AI25" i="26"/>
  <c r="W25" i="26"/>
  <c r="BE25" i="26"/>
  <c r="AW25" i="26"/>
  <c r="AO25" i="26"/>
  <c r="AG25" i="26"/>
  <c r="X25" i="26"/>
  <c r="BC25" i="26"/>
  <c r="AU25" i="26"/>
  <c r="AM25" i="26"/>
  <c r="AE25" i="26"/>
  <c r="AA25" i="26"/>
  <c r="Y25" i="26"/>
  <c r="BI25" i="26"/>
  <c r="BA25" i="26"/>
  <c r="AY25" i="26"/>
  <c r="AS25" i="26"/>
  <c r="AK25" i="26"/>
  <c r="AC25" i="26"/>
  <c r="G26" i="26"/>
  <c r="V26" i="26"/>
  <c r="BE26" i="26"/>
  <c r="AW26" i="26"/>
  <c r="AO26" i="26"/>
  <c r="AG26" i="26"/>
  <c r="W26" i="26"/>
  <c r="BC26" i="26"/>
  <c r="AU26" i="26"/>
  <c r="AM26" i="26"/>
  <c r="AE26" i="26"/>
  <c r="X26" i="26"/>
  <c r="BI26" i="26"/>
  <c r="BA26" i="26"/>
  <c r="AS26" i="26"/>
  <c r="AK26" i="26"/>
  <c r="AC26" i="26"/>
  <c r="Y26" i="26"/>
  <c r="BG26" i="26"/>
  <c r="AY26" i="26"/>
  <c r="AQ26" i="26"/>
  <c r="AI26" i="26"/>
  <c r="AA26" i="26"/>
  <c r="G29" i="26"/>
  <c r="BO29" i="26" s="1"/>
  <c r="V29" i="26"/>
  <c r="BI29" i="26"/>
  <c r="BA29" i="26"/>
  <c r="AS29" i="26"/>
  <c r="AK29" i="26"/>
  <c r="AC29" i="26"/>
  <c r="AA29" i="26"/>
  <c r="W29" i="26"/>
  <c r="BG29" i="26"/>
  <c r="AY29" i="26"/>
  <c r="AQ29" i="26"/>
  <c r="AI29" i="26"/>
  <c r="X29" i="26"/>
  <c r="BE29" i="26"/>
  <c r="AW29" i="26"/>
  <c r="AO29" i="26"/>
  <c r="AG29" i="26"/>
  <c r="Y29" i="26"/>
  <c r="BC29" i="26"/>
  <c r="AU29" i="26"/>
  <c r="AM29" i="26"/>
  <c r="AE29" i="26"/>
  <c r="K30" i="26"/>
  <c r="H30" i="26"/>
  <c r="G13" i="26"/>
  <c r="Y13" i="26"/>
  <c r="BI13" i="26"/>
  <c r="BA13" i="26"/>
  <c r="AY13" i="26"/>
  <c r="AS13" i="26"/>
  <c r="AK13" i="26"/>
  <c r="AC13" i="26"/>
  <c r="AA13" i="26"/>
  <c r="X13" i="26"/>
  <c r="BG13" i="26"/>
  <c r="AQ13" i="26"/>
  <c r="AI13" i="26"/>
  <c r="W13" i="26"/>
  <c r="BE13" i="26"/>
  <c r="AW13" i="26"/>
  <c r="AO13" i="26"/>
  <c r="AG13" i="26"/>
  <c r="V13" i="26"/>
  <c r="BC13" i="26"/>
  <c r="AU13" i="26"/>
  <c r="AM13" i="26"/>
  <c r="AE13" i="26"/>
  <c r="G17" i="26"/>
  <c r="BO17" i="26" s="1"/>
  <c r="BC17" i="26"/>
  <c r="BC18" i="26" s="1"/>
  <c r="AU17" i="26"/>
  <c r="AU18" i="26" s="1"/>
  <c r="AM17" i="26"/>
  <c r="AM18" i="26" s="1"/>
  <c r="AE17" i="26"/>
  <c r="AE18" i="26" s="1"/>
  <c r="BI17" i="26"/>
  <c r="BI18" i="26" s="1"/>
  <c r="BA17" i="26"/>
  <c r="BA18" i="26" s="1"/>
  <c r="AY17" i="26"/>
  <c r="AY18" i="26" s="1"/>
  <c r="AS17" i="26"/>
  <c r="AS18" i="26" s="1"/>
  <c r="AK17" i="26"/>
  <c r="AK18" i="26" s="1"/>
  <c r="AC17" i="26"/>
  <c r="AC18" i="26" s="1"/>
  <c r="BG17" i="26"/>
  <c r="BG18" i="26" s="1"/>
  <c r="AQ17" i="26"/>
  <c r="AQ18" i="26" s="1"/>
  <c r="AI17" i="26"/>
  <c r="AI18" i="26" s="1"/>
  <c r="AA17" i="26"/>
  <c r="BE17" i="26"/>
  <c r="BE18" i="26" s="1"/>
  <c r="AW17" i="26"/>
  <c r="AW18" i="26" s="1"/>
  <c r="AO17" i="26"/>
  <c r="AO18" i="26" s="1"/>
  <c r="AG17" i="26"/>
  <c r="AG18" i="26" s="1"/>
  <c r="BJ27" i="26"/>
  <c r="F25" i="26"/>
  <c r="F27" i="26" s="1"/>
  <c r="G31" i="26"/>
  <c r="BO31" i="26" s="1"/>
  <c r="BR31" i="26" s="1"/>
  <c r="BV31" i="26" s="1"/>
  <c r="V31" i="26"/>
  <c r="BE31" i="26"/>
  <c r="AW31" i="26"/>
  <c r="AO31" i="26"/>
  <c r="AG31" i="26"/>
  <c r="W31" i="26"/>
  <c r="BC31" i="26"/>
  <c r="AU31" i="26"/>
  <c r="AM31" i="26"/>
  <c r="AE31" i="26"/>
  <c r="X31" i="26"/>
  <c r="BI31" i="26"/>
  <c r="BA31" i="26"/>
  <c r="AS31" i="26"/>
  <c r="AK31" i="26"/>
  <c r="AC31" i="26"/>
  <c r="AA31" i="26"/>
  <c r="Y31" i="26"/>
  <c r="BG31" i="26"/>
  <c r="AY31" i="26"/>
  <c r="AQ31" i="26"/>
  <c r="AI31" i="26"/>
  <c r="G37" i="26"/>
  <c r="V37" i="26"/>
  <c r="BC37" i="26"/>
  <c r="AU37" i="26"/>
  <c r="AM37" i="26"/>
  <c r="AE37" i="26"/>
  <c r="W37" i="26"/>
  <c r="BI37" i="26"/>
  <c r="BA37" i="26"/>
  <c r="AS37" i="26"/>
  <c r="AK37" i="26"/>
  <c r="AC37" i="26"/>
  <c r="X37" i="26"/>
  <c r="BG37" i="26"/>
  <c r="AY37" i="26"/>
  <c r="AQ37" i="26"/>
  <c r="AI37" i="26"/>
  <c r="AA37" i="26"/>
  <c r="Y37" i="26"/>
  <c r="BE37" i="26"/>
  <c r="AW37" i="26"/>
  <c r="AO37" i="26"/>
  <c r="AG37" i="26"/>
  <c r="G16" i="26"/>
  <c r="Y17" i="26"/>
  <c r="Y18" i="26" s="1"/>
  <c r="BJ41" i="26"/>
  <c r="BJ14" i="26"/>
  <c r="F12" i="26"/>
  <c r="F14" i="26" s="1"/>
  <c r="T18" i="26"/>
  <c r="T42" i="26" s="1"/>
  <c r="X17" i="26"/>
  <c r="G21" i="26"/>
  <c r="P21" i="26" s="1"/>
  <c r="V21" i="26"/>
  <c r="BE21" i="26"/>
  <c r="AW21" i="26"/>
  <c r="AO21" i="26"/>
  <c r="AG21" i="26"/>
  <c r="W21" i="26"/>
  <c r="BC21" i="26"/>
  <c r="AU21" i="26"/>
  <c r="AM21" i="26"/>
  <c r="AE21" i="26"/>
  <c r="AA21" i="26"/>
  <c r="X21" i="26"/>
  <c r="BI21" i="26"/>
  <c r="BA21" i="26"/>
  <c r="AY21" i="26"/>
  <c r="AS21" i="26"/>
  <c r="AK21" i="26"/>
  <c r="AC21" i="26"/>
  <c r="Y21" i="26"/>
  <c r="BG21" i="26"/>
  <c r="AQ21" i="26"/>
  <c r="AI21" i="26"/>
  <c r="V35" i="26"/>
  <c r="BG35" i="26"/>
  <c r="AY35" i="26"/>
  <c r="AQ35" i="26"/>
  <c r="AI35" i="26"/>
  <c r="AA35" i="26"/>
  <c r="W35" i="26"/>
  <c r="BE35" i="26"/>
  <c r="AW35" i="26"/>
  <c r="AO35" i="26"/>
  <c r="AG35" i="26"/>
  <c r="X35" i="26"/>
  <c r="BC35" i="26"/>
  <c r="AU35" i="26"/>
  <c r="AM35" i="26"/>
  <c r="AE35" i="26"/>
  <c r="Y35" i="26"/>
  <c r="BI35" i="26"/>
  <c r="BA35" i="26"/>
  <c r="AS35" i="26"/>
  <c r="AK35" i="26"/>
  <c r="AC35" i="26"/>
  <c r="V40" i="26"/>
  <c r="V41" i="26" s="1"/>
  <c r="BG40" i="26"/>
  <c r="BG41" i="26" s="1"/>
  <c r="AY40" i="26"/>
  <c r="AY41" i="26" s="1"/>
  <c r="AQ40" i="26"/>
  <c r="AQ41" i="26" s="1"/>
  <c r="AI40" i="26"/>
  <c r="AI41" i="26" s="1"/>
  <c r="AA40" i="26"/>
  <c r="AA41" i="26" s="1"/>
  <c r="W40" i="26"/>
  <c r="W41" i="26" s="1"/>
  <c r="BE40" i="26"/>
  <c r="BE41" i="26" s="1"/>
  <c r="AW40" i="26"/>
  <c r="AW41" i="26" s="1"/>
  <c r="AO40" i="26"/>
  <c r="AO41" i="26" s="1"/>
  <c r="AG40" i="26"/>
  <c r="AG41" i="26" s="1"/>
  <c r="X40" i="26"/>
  <c r="X41" i="26" s="1"/>
  <c r="BC40" i="26"/>
  <c r="BC41" i="26" s="1"/>
  <c r="AU40" i="26"/>
  <c r="AU41" i="26" s="1"/>
  <c r="AM40" i="26"/>
  <c r="AM41" i="26" s="1"/>
  <c r="AE40" i="26"/>
  <c r="AE41" i="26" s="1"/>
  <c r="Y40" i="26"/>
  <c r="Y41" i="26" s="1"/>
  <c r="BI40" i="26"/>
  <c r="BI41" i="26" s="1"/>
  <c r="BA40" i="26"/>
  <c r="BA41" i="26" s="1"/>
  <c r="AS40" i="26"/>
  <c r="AS41" i="26" s="1"/>
  <c r="AK40" i="26"/>
  <c r="AK41" i="26" s="1"/>
  <c r="AC40" i="26"/>
  <c r="AC41" i="26" s="1"/>
  <c r="BJ23" i="26"/>
  <c r="F20" i="26"/>
  <c r="F23" i="26" s="1"/>
  <c r="V22" i="26"/>
  <c r="BC22" i="26"/>
  <c r="AU22" i="26"/>
  <c r="AM22" i="26"/>
  <c r="AE22" i="26"/>
  <c r="AA22" i="26"/>
  <c r="W22" i="26"/>
  <c r="BI22" i="26"/>
  <c r="BA22" i="26"/>
  <c r="AY22" i="26"/>
  <c r="AS22" i="26"/>
  <c r="AK22" i="26"/>
  <c r="AC22" i="26"/>
  <c r="X22" i="26"/>
  <c r="BG22" i="26"/>
  <c r="AQ22" i="26"/>
  <c r="AI22" i="26"/>
  <c r="Y22" i="26"/>
  <c r="BE22" i="26"/>
  <c r="AW22" i="26"/>
  <c r="AO22" i="26"/>
  <c r="AG22" i="26"/>
  <c r="G32" i="26"/>
  <c r="I32" i="26" s="1"/>
  <c r="V32" i="26"/>
  <c r="BC32" i="26"/>
  <c r="AU32" i="26"/>
  <c r="AM32" i="26"/>
  <c r="AE32" i="26"/>
  <c r="W32" i="26"/>
  <c r="BI32" i="26"/>
  <c r="BA32" i="26"/>
  <c r="AS32" i="26"/>
  <c r="AK32" i="26"/>
  <c r="AC32" i="26"/>
  <c r="AA32" i="26"/>
  <c r="X32" i="26"/>
  <c r="BG32" i="26"/>
  <c r="AY32" i="26"/>
  <c r="AQ32" i="26"/>
  <c r="AI32" i="26"/>
  <c r="Y32" i="26"/>
  <c r="BE32" i="26"/>
  <c r="AW32" i="26"/>
  <c r="AO32" i="26"/>
  <c r="AG32" i="26"/>
  <c r="G38" i="26"/>
  <c r="O38" i="26" s="1"/>
  <c r="V38" i="26"/>
  <c r="BI38" i="26"/>
  <c r="BA38" i="26"/>
  <c r="AS38" i="26"/>
  <c r="AK38" i="26"/>
  <c r="AC38" i="26"/>
  <c r="W38" i="26"/>
  <c r="BG38" i="26"/>
  <c r="AY38" i="26"/>
  <c r="AQ38" i="26"/>
  <c r="AI38" i="26"/>
  <c r="AA38" i="26"/>
  <c r="X38" i="26"/>
  <c r="BE38" i="26"/>
  <c r="AW38" i="26"/>
  <c r="AO38" i="26"/>
  <c r="AG38" i="26"/>
  <c r="Y38" i="26"/>
  <c r="BC38" i="26"/>
  <c r="AU38" i="26"/>
  <c r="AM38" i="26"/>
  <c r="AE38" i="26"/>
  <c r="BJ18" i="26"/>
  <c r="G35" i="26"/>
  <c r="Q35" i="26" s="1"/>
  <c r="G40" i="26"/>
  <c r="Q72" i="24"/>
  <c r="M72" i="24"/>
  <c r="L72" i="24"/>
  <c r="O72" i="24"/>
  <c r="N72" i="24"/>
  <c r="I72" i="24"/>
  <c r="P72" i="24"/>
  <c r="BS72" i="24"/>
  <c r="BU72" i="24" s="1"/>
  <c r="BV72" i="24" s="1"/>
  <c r="K72" i="24"/>
  <c r="M108" i="24"/>
  <c r="J108" i="24"/>
  <c r="N108" i="24"/>
  <c r="I108" i="24"/>
  <c r="H108" i="24"/>
  <c r="BT108" i="24"/>
  <c r="BU108" i="24" s="1"/>
  <c r="BV108" i="24" s="1"/>
  <c r="K108" i="24"/>
  <c r="BT104" i="24"/>
  <c r="BU104" i="24" s="1"/>
  <c r="BV104" i="24" s="1"/>
  <c r="P104" i="24"/>
  <c r="J104" i="24"/>
  <c r="H104" i="24"/>
  <c r="N104" i="24"/>
  <c r="Q104" i="24"/>
  <c r="I104" i="24"/>
  <c r="BS75" i="24"/>
  <c r="BU75" i="24" s="1"/>
  <c r="BV75" i="24" s="1"/>
  <c r="J75" i="24"/>
  <c r="P75" i="24"/>
  <c r="Q75" i="24"/>
  <c r="I81" i="24"/>
  <c r="K81" i="24"/>
  <c r="L81" i="24"/>
  <c r="BS81" i="24"/>
  <c r="BU81" i="24" s="1"/>
  <c r="BV81" i="24" s="1"/>
  <c r="M81" i="24"/>
  <c r="N81" i="24"/>
  <c r="O81" i="24"/>
  <c r="P81" i="24"/>
  <c r="Q81" i="24"/>
  <c r="H81" i="24"/>
  <c r="J81" i="24"/>
  <c r="S13" i="24"/>
  <c r="W13" i="24" s="1"/>
  <c r="Y15" i="24"/>
  <c r="W23" i="24"/>
  <c r="S14" i="24"/>
  <c r="W14" i="24" s="1"/>
  <c r="R15" i="24"/>
  <c r="V15" i="24" s="1"/>
  <c r="O73" i="24"/>
  <c r="P73" i="24"/>
  <c r="Q73" i="24"/>
  <c r="H73" i="24"/>
  <c r="J73" i="24"/>
  <c r="M73" i="24"/>
  <c r="I73" i="24"/>
  <c r="K73" i="24"/>
  <c r="L73" i="24"/>
  <c r="BS73" i="24"/>
  <c r="BU73" i="24" s="1"/>
  <c r="BV73" i="24" s="1"/>
  <c r="N73" i="24"/>
  <c r="Q78" i="24"/>
  <c r="O78" i="24"/>
  <c r="M78" i="24"/>
  <c r="BS78" i="24"/>
  <c r="BU78" i="24" s="1"/>
  <c r="BV78" i="24" s="1"/>
  <c r="N78" i="24"/>
  <c r="P78" i="24"/>
  <c r="Q107" i="24"/>
  <c r="P107" i="24"/>
  <c r="M107" i="24"/>
  <c r="N107" i="24"/>
  <c r="O107" i="24"/>
  <c r="BT107" i="24"/>
  <c r="BU107" i="24" s="1"/>
  <c r="BV107" i="24" s="1"/>
  <c r="M109" i="24"/>
  <c r="X13" i="24"/>
  <c r="Q20" i="24"/>
  <c r="J20" i="24"/>
  <c r="Q80" i="24"/>
  <c r="BS80" i="24"/>
  <c r="BU80" i="24" s="1"/>
  <c r="BV80" i="24" s="1"/>
  <c r="K80" i="24"/>
  <c r="P80" i="24"/>
  <c r="M80" i="24"/>
  <c r="L80" i="24"/>
  <c r="O80" i="24"/>
  <c r="N80" i="24"/>
  <c r="I80" i="24"/>
  <c r="BT111" i="24"/>
  <c r="BU111" i="24" s="1"/>
  <c r="BV111" i="24" s="1"/>
  <c r="H111" i="24"/>
  <c r="L111" i="24"/>
  <c r="I111" i="24"/>
  <c r="K111" i="24"/>
  <c r="Q111" i="24"/>
  <c r="J111" i="24"/>
  <c r="Y49" i="24"/>
  <c r="U53" i="24"/>
  <c r="I74" i="24"/>
  <c r="Q74" i="24"/>
  <c r="J74" i="24"/>
  <c r="O74" i="24"/>
  <c r="P74" i="24"/>
  <c r="H74" i="24"/>
  <c r="BS84" i="24"/>
  <c r="BU84" i="24" s="1"/>
  <c r="BV84" i="24" s="1"/>
  <c r="M84" i="24"/>
  <c r="N84" i="24"/>
  <c r="I84" i="24"/>
  <c r="K84" i="24"/>
  <c r="O84" i="24"/>
  <c r="P84" i="24"/>
  <c r="Q84" i="24"/>
  <c r="H84" i="24"/>
  <c r="J84" i="24"/>
  <c r="L84" i="24"/>
  <c r="O103" i="24"/>
  <c r="M103" i="24"/>
  <c r="H103" i="24"/>
  <c r="L103" i="24"/>
  <c r="BT103" i="24"/>
  <c r="BU103" i="24" s="1"/>
  <c r="BV103" i="24" s="1"/>
  <c r="N103" i="24"/>
  <c r="K103" i="24"/>
  <c r="Q76" i="24"/>
  <c r="BS76" i="24"/>
  <c r="BU76" i="24" s="1"/>
  <c r="BV76" i="24" s="1"/>
  <c r="K76" i="24"/>
  <c r="P76" i="24"/>
  <c r="M76" i="24"/>
  <c r="L76" i="24"/>
  <c r="I76" i="24"/>
  <c r="O76" i="24"/>
  <c r="N76" i="24"/>
  <c r="O94" i="24"/>
  <c r="J94" i="24"/>
  <c r="M94" i="24"/>
  <c r="O105" i="24"/>
  <c r="P105" i="24"/>
  <c r="Q105" i="24"/>
  <c r="I105" i="24"/>
  <c r="J105" i="24"/>
  <c r="N105" i="24"/>
  <c r="H105" i="24"/>
  <c r="K105" i="24"/>
  <c r="L105" i="24"/>
  <c r="BT105" i="24"/>
  <c r="BU105" i="24" s="1"/>
  <c r="BV105" i="24" s="1"/>
  <c r="M105" i="24"/>
  <c r="Q113" i="24"/>
  <c r="I113" i="24"/>
  <c r="J113" i="24"/>
  <c r="O113" i="24"/>
  <c r="H113" i="24"/>
  <c r="K113" i="24"/>
  <c r="L113" i="24"/>
  <c r="BT113" i="24"/>
  <c r="BU113" i="24" s="1"/>
  <c r="BV113" i="24" s="1"/>
  <c r="M113" i="24"/>
  <c r="N113" i="24"/>
  <c r="P113" i="24"/>
  <c r="G12" i="24"/>
  <c r="K12" i="24" s="1"/>
  <c r="W12" i="24"/>
  <c r="BI12" i="24"/>
  <c r="BE12" i="24"/>
  <c r="BA12" i="24"/>
  <c r="AW12" i="24"/>
  <c r="AS12" i="24"/>
  <c r="AO12" i="24"/>
  <c r="AK12" i="24"/>
  <c r="X12" i="24"/>
  <c r="Y12" i="24"/>
  <c r="BG12" i="24"/>
  <c r="BC12" i="24"/>
  <c r="AY12" i="24"/>
  <c r="AU12" i="24"/>
  <c r="AQ12" i="24"/>
  <c r="AM12" i="24"/>
  <c r="AI12" i="24"/>
  <c r="V12" i="24"/>
  <c r="AG12" i="24"/>
  <c r="AC12" i="24"/>
  <c r="AE12" i="24"/>
  <c r="AA12" i="24"/>
  <c r="X49" i="24"/>
  <c r="W49" i="24"/>
  <c r="BG49" i="24"/>
  <c r="BC49" i="24"/>
  <c r="AY49" i="24"/>
  <c r="AU49" i="24"/>
  <c r="AQ49" i="24"/>
  <c r="AM49" i="24"/>
  <c r="AI49" i="24"/>
  <c r="V49" i="24"/>
  <c r="BI49" i="24"/>
  <c r="BE49" i="24"/>
  <c r="BA49" i="24"/>
  <c r="AW49" i="24"/>
  <c r="AS49" i="24"/>
  <c r="AO49" i="24"/>
  <c r="AK49" i="24"/>
  <c r="AG49" i="24"/>
  <c r="AC49" i="24"/>
  <c r="AE49" i="24"/>
  <c r="AA49" i="24"/>
  <c r="F63" i="24"/>
  <c r="F65" i="24" s="1"/>
  <c r="BJ65" i="24"/>
  <c r="H21" i="24"/>
  <c r="BP21" i="24"/>
  <c r="BR21" i="24" s="1"/>
  <c r="U16" i="24"/>
  <c r="Y16" i="24" s="1"/>
  <c r="T44" i="24"/>
  <c r="F43" i="24"/>
  <c r="G43" i="24" s="1"/>
  <c r="BG15" i="24"/>
  <c r="BC15" i="24"/>
  <c r="AY15" i="24"/>
  <c r="AU15" i="24"/>
  <c r="AQ15" i="24"/>
  <c r="AM15" i="24"/>
  <c r="AI15" i="24"/>
  <c r="BI15" i="24"/>
  <c r="BE15" i="24"/>
  <c r="BA15" i="24"/>
  <c r="AW15" i="24"/>
  <c r="AS15" i="24"/>
  <c r="AO15" i="24"/>
  <c r="AK15" i="24"/>
  <c r="AG15" i="24"/>
  <c r="AC15" i="24"/>
  <c r="AA15" i="24"/>
  <c r="AE15" i="24"/>
  <c r="BJ44" i="24"/>
  <c r="F19" i="24"/>
  <c r="G24" i="24"/>
  <c r="M24" i="24" s="1"/>
  <c r="X24" i="24"/>
  <c r="BI24" i="24"/>
  <c r="BG24" i="24"/>
  <c r="BC24" i="24"/>
  <c r="AY24" i="24"/>
  <c r="AU24" i="24"/>
  <c r="AQ24" i="24"/>
  <c r="AM24" i="24"/>
  <c r="AI24" i="24"/>
  <c r="V24" i="24"/>
  <c r="Y24" i="24"/>
  <c r="BE24" i="24"/>
  <c r="BA24" i="24"/>
  <c r="AW24" i="24"/>
  <c r="AS24" i="24"/>
  <c r="AO24" i="24"/>
  <c r="AK24" i="24"/>
  <c r="AG24" i="24"/>
  <c r="AC24" i="24"/>
  <c r="AA24" i="24"/>
  <c r="AE24" i="24"/>
  <c r="X27" i="24"/>
  <c r="BE27" i="24"/>
  <c r="BA27" i="24"/>
  <c r="AW27" i="24"/>
  <c r="AS27" i="24"/>
  <c r="AO27" i="24"/>
  <c r="AK27" i="24"/>
  <c r="AG27" i="24"/>
  <c r="V27" i="24"/>
  <c r="BI27" i="24"/>
  <c r="BG27" i="24"/>
  <c r="BC27" i="24"/>
  <c r="AY27" i="24"/>
  <c r="AU27" i="24"/>
  <c r="AQ27" i="24"/>
  <c r="AM27" i="24"/>
  <c r="AI27" i="24"/>
  <c r="AE27" i="24"/>
  <c r="Y27" i="24"/>
  <c r="AC27" i="24"/>
  <c r="AA27" i="24"/>
  <c r="X29" i="24"/>
  <c r="BG29" i="24"/>
  <c r="BC29" i="24"/>
  <c r="AY29" i="24"/>
  <c r="AU29" i="24"/>
  <c r="AQ29" i="24"/>
  <c r="AM29" i="24"/>
  <c r="AI29" i="24"/>
  <c r="V29" i="24"/>
  <c r="BE29" i="24"/>
  <c r="BA29" i="24"/>
  <c r="AW29" i="24"/>
  <c r="AS29" i="24"/>
  <c r="AO29" i="24"/>
  <c r="AK29" i="24"/>
  <c r="AG29" i="24"/>
  <c r="Y29" i="24"/>
  <c r="AE29" i="24"/>
  <c r="AC29" i="24"/>
  <c r="AA29" i="24"/>
  <c r="F33" i="24"/>
  <c r="G33" i="24" s="1"/>
  <c r="Q33" i="24" s="1"/>
  <c r="X35" i="24"/>
  <c r="BE35" i="24"/>
  <c r="BA35" i="24"/>
  <c r="AW35" i="24"/>
  <c r="AS35" i="24"/>
  <c r="AO35" i="24"/>
  <c r="AK35" i="24"/>
  <c r="V35" i="24"/>
  <c r="BI35" i="24"/>
  <c r="BG35" i="24"/>
  <c r="BC35" i="24"/>
  <c r="AY35" i="24"/>
  <c r="AU35" i="24"/>
  <c r="AQ35" i="24"/>
  <c r="AM35" i="24"/>
  <c r="AI35" i="24"/>
  <c r="AE35" i="24"/>
  <c r="Y35" i="24"/>
  <c r="AG35" i="24"/>
  <c r="AC35" i="24"/>
  <c r="AA35" i="24"/>
  <c r="X40" i="24"/>
  <c r="BI40" i="24"/>
  <c r="BG40" i="24"/>
  <c r="BC40" i="24"/>
  <c r="AY40" i="24"/>
  <c r="AU40" i="24"/>
  <c r="AQ40" i="24"/>
  <c r="AM40" i="24"/>
  <c r="AI40" i="24"/>
  <c r="V40" i="24"/>
  <c r="Y40" i="24"/>
  <c r="BE40" i="24"/>
  <c r="BA40" i="24"/>
  <c r="AW40" i="24"/>
  <c r="AS40" i="24"/>
  <c r="AO40" i="24"/>
  <c r="AK40" i="24"/>
  <c r="AG40" i="24"/>
  <c r="AE40" i="24"/>
  <c r="AC40" i="24"/>
  <c r="AA40" i="24"/>
  <c r="F42" i="24"/>
  <c r="G42" i="24" s="1"/>
  <c r="BJ53" i="24"/>
  <c r="F48" i="24"/>
  <c r="F53" i="24" s="1"/>
  <c r="X71" i="24"/>
  <c r="BG71" i="24"/>
  <c r="BC71" i="24"/>
  <c r="AY71" i="24"/>
  <c r="AU71" i="24"/>
  <c r="AQ71" i="24"/>
  <c r="AM71" i="24"/>
  <c r="AI71" i="24"/>
  <c r="W71" i="24"/>
  <c r="V71" i="24"/>
  <c r="BE71" i="24"/>
  <c r="BA71" i="24"/>
  <c r="AW71" i="24"/>
  <c r="AS71" i="24"/>
  <c r="AO71" i="24"/>
  <c r="AK71" i="24"/>
  <c r="AG71" i="24"/>
  <c r="Y71" i="24"/>
  <c r="BI71" i="24"/>
  <c r="AE71" i="24"/>
  <c r="AC71" i="24"/>
  <c r="AA71" i="24"/>
  <c r="X86" i="24"/>
  <c r="BI86" i="24"/>
  <c r="W86" i="24"/>
  <c r="BG86" i="24"/>
  <c r="BC86" i="24"/>
  <c r="AY86" i="24"/>
  <c r="AU86" i="24"/>
  <c r="AQ86" i="24"/>
  <c r="AM86" i="24"/>
  <c r="AI86" i="24"/>
  <c r="V86" i="24"/>
  <c r="Y86" i="24"/>
  <c r="BE86" i="24"/>
  <c r="BA86" i="24"/>
  <c r="AW86" i="24"/>
  <c r="AS86" i="24"/>
  <c r="AO86" i="24"/>
  <c r="AK86" i="24"/>
  <c r="AG86" i="24"/>
  <c r="AC86" i="24"/>
  <c r="AA86" i="24"/>
  <c r="AE86" i="24"/>
  <c r="X109" i="24"/>
  <c r="BI109" i="24"/>
  <c r="W109" i="24"/>
  <c r="BG109" i="24"/>
  <c r="BC109" i="24"/>
  <c r="AY109" i="24"/>
  <c r="AU109" i="24"/>
  <c r="AQ109" i="24"/>
  <c r="AM109" i="24"/>
  <c r="AI109" i="24"/>
  <c r="V109" i="24"/>
  <c r="Y109" i="24"/>
  <c r="BE109" i="24"/>
  <c r="BA109" i="24"/>
  <c r="AW109" i="24"/>
  <c r="AS109" i="24"/>
  <c r="AO109" i="24"/>
  <c r="AK109" i="24"/>
  <c r="AG109" i="24"/>
  <c r="AC109" i="24"/>
  <c r="AA109" i="24"/>
  <c r="AE109" i="24"/>
  <c r="X115" i="24"/>
  <c r="W115" i="24"/>
  <c r="BE115" i="24"/>
  <c r="BA115" i="24"/>
  <c r="AW115" i="24"/>
  <c r="AS115" i="24"/>
  <c r="AO115" i="24"/>
  <c r="AK115" i="24"/>
  <c r="V115" i="24"/>
  <c r="BI115" i="24"/>
  <c r="Y115" i="24"/>
  <c r="BG115" i="24"/>
  <c r="BC115" i="24"/>
  <c r="AY115" i="24"/>
  <c r="AU115" i="24"/>
  <c r="AQ115" i="24"/>
  <c r="AM115" i="24"/>
  <c r="AI115" i="24"/>
  <c r="AE115" i="24"/>
  <c r="AG115" i="24"/>
  <c r="AC115" i="24"/>
  <c r="AA115" i="24"/>
  <c r="J51" i="24"/>
  <c r="P102" i="24"/>
  <c r="O102" i="24"/>
  <c r="O101" i="24"/>
  <c r="BV55" i="24"/>
  <c r="M95" i="24"/>
  <c r="I31" i="24"/>
  <c r="P31" i="24"/>
  <c r="BP31" i="24"/>
  <c r="BR31" i="24" s="1"/>
  <c r="BV31" i="24" s="1"/>
  <c r="I30" i="24"/>
  <c r="Q34" i="24"/>
  <c r="K34" i="24"/>
  <c r="L90" i="24"/>
  <c r="K90" i="24"/>
  <c r="H90" i="24"/>
  <c r="G15" i="24"/>
  <c r="Q15" i="24" s="1"/>
  <c r="R13" i="24"/>
  <c r="R16" i="24"/>
  <c r="V16" i="24" s="1"/>
  <c r="S15" i="24"/>
  <c r="W15" i="24" s="1"/>
  <c r="T14" i="24"/>
  <c r="X14" i="24" s="1"/>
  <c r="G14" i="24"/>
  <c r="Q14" i="24" s="1"/>
  <c r="BE14" i="24"/>
  <c r="BA14" i="24"/>
  <c r="AW14" i="24"/>
  <c r="AS14" i="24"/>
  <c r="AO14" i="24"/>
  <c r="AK14" i="24"/>
  <c r="AG14" i="24"/>
  <c r="BG14" i="24"/>
  <c r="BC14" i="24"/>
  <c r="AY14" i="24"/>
  <c r="AU14" i="24"/>
  <c r="AQ14" i="24"/>
  <c r="AM14" i="24"/>
  <c r="AI14" i="24"/>
  <c r="AE14" i="24"/>
  <c r="BI14" i="24"/>
  <c r="AC14" i="24"/>
  <c r="AA14" i="24"/>
  <c r="G29" i="24"/>
  <c r="O29" i="24" s="1"/>
  <c r="F40" i="24"/>
  <c r="S40" i="24" s="1"/>
  <c r="W40" i="24" s="1"/>
  <c r="X51" i="24"/>
  <c r="BI51" i="24"/>
  <c r="W51" i="24"/>
  <c r="BE51" i="24"/>
  <c r="BA51" i="24"/>
  <c r="AW51" i="24"/>
  <c r="AS51" i="24"/>
  <c r="AO51" i="24"/>
  <c r="AK51" i="24"/>
  <c r="V51" i="24"/>
  <c r="Y51" i="24"/>
  <c r="BG51" i="24"/>
  <c r="BC51" i="24"/>
  <c r="AY51" i="24"/>
  <c r="AU51" i="24"/>
  <c r="AQ51" i="24"/>
  <c r="AM51" i="24"/>
  <c r="AI51" i="24"/>
  <c r="AA51" i="24"/>
  <c r="AG51" i="24"/>
  <c r="AC51" i="24"/>
  <c r="AE51" i="24"/>
  <c r="X58" i="24"/>
  <c r="BE58" i="24"/>
  <c r="BA58" i="24"/>
  <c r="AW58" i="24"/>
  <c r="AS58" i="24"/>
  <c r="AO58" i="24"/>
  <c r="AK58" i="24"/>
  <c r="W58" i="24"/>
  <c r="V58" i="24"/>
  <c r="BI58" i="24"/>
  <c r="BI60" i="24" s="1"/>
  <c r="BG58" i="24"/>
  <c r="BC58" i="24"/>
  <c r="AY58" i="24"/>
  <c r="AU58" i="24"/>
  <c r="AQ58" i="24"/>
  <c r="AM58" i="24"/>
  <c r="AI58" i="24"/>
  <c r="AE58" i="24"/>
  <c r="Y58" i="24"/>
  <c r="AG58" i="24"/>
  <c r="AC58" i="24"/>
  <c r="AA58" i="24"/>
  <c r="X114" i="24"/>
  <c r="BG114" i="24"/>
  <c r="BC114" i="24"/>
  <c r="AY114" i="24"/>
  <c r="AU114" i="24"/>
  <c r="AQ114" i="24"/>
  <c r="AM114" i="24"/>
  <c r="AI114" i="24"/>
  <c r="W114" i="24"/>
  <c r="V114" i="24"/>
  <c r="BE114" i="24"/>
  <c r="BA114" i="24"/>
  <c r="AW114" i="24"/>
  <c r="AS114" i="24"/>
  <c r="AO114" i="24"/>
  <c r="AK114" i="24"/>
  <c r="AG114" i="24"/>
  <c r="Y114" i="24"/>
  <c r="BI114" i="24"/>
  <c r="AE114" i="24"/>
  <c r="AC114" i="24"/>
  <c r="AA114" i="24"/>
  <c r="BG16" i="24"/>
  <c r="BC16" i="24"/>
  <c r="AY16" i="24"/>
  <c r="AU16" i="24"/>
  <c r="AQ16" i="24"/>
  <c r="AM16" i="24"/>
  <c r="AI16" i="24"/>
  <c r="BI16" i="24"/>
  <c r="BE16" i="24"/>
  <c r="BA16" i="24"/>
  <c r="AW16" i="24"/>
  <c r="AS16" i="24"/>
  <c r="AO16" i="24"/>
  <c r="AK16" i="24"/>
  <c r="AG16" i="24"/>
  <c r="AA16" i="24"/>
  <c r="AE16" i="24"/>
  <c r="AC16" i="24"/>
  <c r="X28" i="24"/>
  <c r="BI28" i="24"/>
  <c r="BG28" i="24"/>
  <c r="BC28" i="24"/>
  <c r="AY28" i="24"/>
  <c r="AU28" i="24"/>
  <c r="AQ28" i="24"/>
  <c r="AM28" i="24"/>
  <c r="AI28" i="24"/>
  <c r="V28" i="24"/>
  <c r="Y28" i="24"/>
  <c r="BE28" i="24"/>
  <c r="BA28" i="24"/>
  <c r="AW28" i="24"/>
  <c r="AS28" i="24"/>
  <c r="AO28" i="24"/>
  <c r="AK28" i="24"/>
  <c r="AG28" i="24"/>
  <c r="AC28" i="24"/>
  <c r="AA28" i="24"/>
  <c r="AE28" i="24"/>
  <c r="X33" i="24"/>
  <c r="BI33" i="24"/>
  <c r="BG33" i="24"/>
  <c r="BC33" i="24"/>
  <c r="AY33" i="24"/>
  <c r="AU33" i="24"/>
  <c r="AQ33" i="24"/>
  <c r="AM33" i="24"/>
  <c r="AI33" i="24"/>
  <c r="V33" i="24"/>
  <c r="BE33" i="24"/>
  <c r="BA33" i="24"/>
  <c r="AW33" i="24"/>
  <c r="AS33" i="24"/>
  <c r="AO33" i="24"/>
  <c r="AK33" i="24"/>
  <c r="AG33" i="24"/>
  <c r="Y33" i="24"/>
  <c r="AE33" i="24"/>
  <c r="AC33" i="24"/>
  <c r="AA33" i="24"/>
  <c r="X48" i="24"/>
  <c r="BE48" i="24"/>
  <c r="BA48" i="24"/>
  <c r="AW48" i="24"/>
  <c r="AS48" i="24"/>
  <c r="AO48" i="24"/>
  <c r="AK48" i="24"/>
  <c r="W48" i="24"/>
  <c r="V48" i="24"/>
  <c r="BG48" i="24"/>
  <c r="BC48" i="24"/>
  <c r="AY48" i="24"/>
  <c r="AU48" i="24"/>
  <c r="AQ48" i="24"/>
  <c r="AM48" i="24"/>
  <c r="AI48" i="24"/>
  <c r="AE48" i="24"/>
  <c r="Y48" i="24"/>
  <c r="BI48" i="24"/>
  <c r="AC48" i="24"/>
  <c r="AG48" i="24"/>
  <c r="AA48" i="24"/>
  <c r="X50" i="24"/>
  <c r="BG50" i="24"/>
  <c r="BC50" i="24"/>
  <c r="AY50" i="24"/>
  <c r="AU50" i="24"/>
  <c r="AQ50" i="24"/>
  <c r="AM50" i="24"/>
  <c r="AI50" i="24"/>
  <c r="W50" i="24"/>
  <c r="BI50" i="24"/>
  <c r="V50" i="24"/>
  <c r="BE50" i="24"/>
  <c r="BA50" i="24"/>
  <c r="AW50" i="24"/>
  <c r="AS50" i="24"/>
  <c r="AO50" i="24"/>
  <c r="AK50" i="24"/>
  <c r="AG50" i="24"/>
  <c r="Y50" i="24"/>
  <c r="AE50" i="24"/>
  <c r="AA50" i="24"/>
  <c r="AC50" i="24"/>
  <c r="W89" i="24"/>
  <c r="X89" i="24"/>
  <c r="BI89" i="24"/>
  <c r="BE89" i="24"/>
  <c r="BA89" i="24"/>
  <c r="AW89" i="24"/>
  <c r="AS89" i="24"/>
  <c r="AO89" i="24"/>
  <c r="AK89" i="24"/>
  <c r="Y89" i="24"/>
  <c r="V89" i="24"/>
  <c r="BG89" i="24"/>
  <c r="BC89" i="24"/>
  <c r="AY89" i="24"/>
  <c r="AU89" i="24"/>
  <c r="AQ89" i="24"/>
  <c r="AM89" i="24"/>
  <c r="AI89" i="24"/>
  <c r="AE89" i="24"/>
  <c r="AG89" i="24"/>
  <c r="AA89" i="24"/>
  <c r="AC89" i="24"/>
  <c r="X91" i="24"/>
  <c r="W91" i="24"/>
  <c r="BG91" i="24"/>
  <c r="BC91" i="24"/>
  <c r="AY91" i="24"/>
  <c r="AU91" i="24"/>
  <c r="AQ91" i="24"/>
  <c r="AM91" i="24"/>
  <c r="AI91" i="24"/>
  <c r="V91" i="24"/>
  <c r="Y91" i="24"/>
  <c r="BI91" i="24"/>
  <c r="BE91" i="24"/>
  <c r="BA91" i="24"/>
  <c r="AW91" i="24"/>
  <c r="AS91" i="24"/>
  <c r="AO91" i="24"/>
  <c r="AK91" i="24"/>
  <c r="AG91" i="24"/>
  <c r="AC91" i="24"/>
  <c r="AE91" i="24"/>
  <c r="AA91" i="24"/>
  <c r="N102" i="24"/>
  <c r="M102" i="24"/>
  <c r="BT102" i="24"/>
  <c r="BU102" i="24" s="1"/>
  <c r="BV102" i="24" s="1"/>
  <c r="L101" i="24"/>
  <c r="N31" i="24"/>
  <c r="L31" i="24"/>
  <c r="H31" i="24"/>
  <c r="N34" i="24"/>
  <c r="I34" i="24"/>
  <c r="J90" i="24"/>
  <c r="I90" i="24"/>
  <c r="Q90" i="24"/>
  <c r="G16" i="24"/>
  <c r="T53" i="24"/>
  <c r="U13" i="24"/>
  <c r="S16" i="24"/>
  <c r="W16" i="24" s="1"/>
  <c r="T15" i="24"/>
  <c r="X15" i="24" s="1"/>
  <c r="U14" i="24"/>
  <c r="Y14" i="24" s="1"/>
  <c r="G23" i="24"/>
  <c r="X23" i="24"/>
  <c r="BE23" i="24"/>
  <c r="BA23" i="24"/>
  <c r="AW23" i="24"/>
  <c r="AS23" i="24"/>
  <c r="AO23" i="24"/>
  <c r="AK23" i="24"/>
  <c r="AG23" i="24"/>
  <c r="V23" i="24"/>
  <c r="BI23" i="24"/>
  <c r="BG23" i="24"/>
  <c r="BC23" i="24"/>
  <c r="AY23" i="24"/>
  <c r="AU23" i="24"/>
  <c r="AQ23" i="24"/>
  <c r="AM23" i="24"/>
  <c r="AI23" i="24"/>
  <c r="AE23" i="24"/>
  <c r="Y23" i="24"/>
  <c r="AC23" i="24"/>
  <c r="AA23" i="24"/>
  <c r="X34" i="24"/>
  <c r="BE34" i="24"/>
  <c r="BA34" i="24"/>
  <c r="AW34" i="24"/>
  <c r="AS34" i="24"/>
  <c r="AO34" i="24"/>
  <c r="AK34" i="24"/>
  <c r="V34" i="24"/>
  <c r="Y34" i="24"/>
  <c r="BI34" i="24"/>
  <c r="BG34" i="24"/>
  <c r="BC34" i="24"/>
  <c r="AY34" i="24"/>
  <c r="AU34" i="24"/>
  <c r="AQ34" i="24"/>
  <c r="AM34" i="24"/>
  <c r="AI34" i="24"/>
  <c r="AE34" i="24"/>
  <c r="AG34" i="24"/>
  <c r="AC34" i="24"/>
  <c r="AA34" i="24"/>
  <c r="W47" i="24"/>
  <c r="X47" i="24"/>
  <c r="BE47" i="24"/>
  <c r="BA47" i="24"/>
  <c r="BA53" i="24" s="1"/>
  <c r="AW47" i="24"/>
  <c r="AS47" i="24"/>
  <c r="AO47" i="24"/>
  <c r="AK47" i="24"/>
  <c r="Y47" i="24"/>
  <c r="BI47" i="24"/>
  <c r="V47" i="24"/>
  <c r="BG47" i="24"/>
  <c r="BC47" i="24"/>
  <c r="AY47" i="24"/>
  <c r="AU47" i="24"/>
  <c r="AQ47" i="24"/>
  <c r="AM47" i="24"/>
  <c r="AI47" i="24"/>
  <c r="AG47" i="24"/>
  <c r="AE47" i="24"/>
  <c r="AC47" i="24"/>
  <c r="AA47" i="24"/>
  <c r="BE19" i="24"/>
  <c r="BA19" i="24"/>
  <c r="AW19" i="24"/>
  <c r="AS19" i="24"/>
  <c r="AO19" i="24"/>
  <c r="AK19" i="24"/>
  <c r="AG19" i="24"/>
  <c r="X19" i="24"/>
  <c r="BI19" i="24"/>
  <c r="Y19" i="24"/>
  <c r="BG19" i="24"/>
  <c r="BC19" i="24"/>
  <c r="AY19" i="24"/>
  <c r="AU19" i="24"/>
  <c r="AQ19" i="24"/>
  <c r="AM19" i="24"/>
  <c r="AI19" i="24"/>
  <c r="AE19" i="24"/>
  <c r="V19" i="24"/>
  <c r="AA19" i="24"/>
  <c r="AC19" i="24"/>
  <c r="X22" i="24"/>
  <c r="BE22" i="24"/>
  <c r="BA22" i="24"/>
  <c r="AW22" i="24"/>
  <c r="AS22" i="24"/>
  <c r="AO22" i="24"/>
  <c r="AK22" i="24"/>
  <c r="AG22" i="24"/>
  <c r="V22" i="24"/>
  <c r="Y22" i="24"/>
  <c r="BI22" i="24"/>
  <c r="BG22" i="24"/>
  <c r="BC22" i="24"/>
  <c r="AY22" i="24"/>
  <c r="AU22" i="24"/>
  <c r="AQ22" i="24"/>
  <c r="AM22" i="24"/>
  <c r="AI22" i="24"/>
  <c r="AE22" i="24"/>
  <c r="AC22" i="24"/>
  <c r="AA22" i="24"/>
  <c r="F27" i="24"/>
  <c r="G27" i="24" s="1"/>
  <c r="F35" i="24"/>
  <c r="G35" i="24" s="1"/>
  <c r="P35" i="24" s="1"/>
  <c r="X39" i="24"/>
  <c r="BE39" i="24"/>
  <c r="BA39" i="24"/>
  <c r="AW39" i="24"/>
  <c r="AS39" i="24"/>
  <c r="AO39" i="24"/>
  <c r="AK39" i="24"/>
  <c r="V39" i="24"/>
  <c r="BI39" i="24"/>
  <c r="BG39" i="24"/>
  <c r="BC39" i="24"/>
  <c r="AY39" i="24"/>
  <c r="AU39" i="24"/>
  <c r="AQ39" i="24"/>
  <c r="AM39" i="24"/>
  <c r="AI39" i="24"/>
  <c r="AE39" i="24"/>
  <c r="Y39" i="24"/>
  <c r="AC39" i="24"/>
  <c r="AA39" i="24"/>
  <c r="AG39" i="24"/>
  <c r="F41" i="24"/>
  <c r="G41" i="24" s="1"/>
  <c r="BP41" i="24" s="1"/>
  <c r="BR41" i="24" s="1"/>
  <c r="BV41" i="24" s="1"/>
  <c r="X64" i="24"/>
  <c r="X65" i="24" s="1"/>
  <c r="W64" i="24"/>
  <c r="W65" i="24" s="1"/>
  <c r="BI64" i="24"/>
  <c r="BI65" i="24" s="1"/>
  <c r="BG64" i="24"/>
  <c r="BG65" i="24" s="1"/>
  <c r="BC64" i="24"/>
  <c r="BC65" i="24" s="1"/>
  <c r="AY64" i="24"/>
  <c r="AY65" i="24" s="1"/>
  <c r="AU64" i="24"/>
  <c r="AU65" i="24" s="1"/>
  <c r="AQ64" i="24"/>
  <c r="AQ65" i="24" s="1"/>
  <c r="AM64" i="24"/>
  <c r="AM65" i="24" s="1"/>
  <c r="AI64" i="24"/>
  <c r="AI65" i="24" s="1"/>
  <c r="V64" i="24"/>
  <c r="V65" i="24" s="1"/>
  <c r="Y64" i="24"/>
  <c r="Y65" i="24" s="1"/>
  <c r="BE64" i="24"/>
  <c r="BE65" i="24" s="1"/>
  <c r="BA64" i="24"/>
  <c r="BA65" i="24" s="1"/>
  <c r="AW64" i="24"/>
  <c r="AW65" i="24" s="1"/>
  <c r="AS64" i="24"/>
  <c r="AS65" i="24" s="1"/>
  <c r="AO64" i="24"/>
  <c r="AO65" i="24" s="1"/>
  <c r="AK64" i="24"/>
  <c r="AK65" i="24" s="1"/>
  <c r="AG64" i="24"/>
  <c r="AG65" i="24" s="1"/>
  <c r="AC64" i="24"/>
  <c r="AC65" i="24" s="1"/>
  <c r="AA64" i="24"/>
  <c r="AA65" i="24" s="1"/>
  <c r="AE64" i="24"/>
  <c r="AE65" i="24" s="1"/>
  <c r="X85" i="24"/>
  <c r="BE85" i="24"/>
  <c r="BA85" i="24"/>
  <c r="AW85" i="24"/>
  <c r="AS85" i="24"/>
  <c r="AO85" i="24"/>
  <c r="AK85" i="24"/>
  <c r="W85" i="24"/>
  <c r="BI85" i="24"/>
  <c r="V85" i="24"/>
  <c r="BG85" i="24"/>
  <c r="BC85" i="24"/>
  <c r="AY85" i="24"/>
  <c r="AU85" i="24"/>
  <c r="AQ85" i="24"/>
  <c r="AM85" i="24"/>
  <c r="AI85" i="24"/>
  <c r="Y85" i="24"/>
  <c r="AC85" i="24"/>
  <c r="AA85" i="24"/>
  <c r="AA87" i="24" s="1"/>
  <c r="AG85" i="24"/>
  <c r="AE85" i="24"/>
  <c r="X110" i="24"/>
  <c r="BG110" i="24"/>
  <c r="BC110" i="24"/>
  <c r="AY110" i="24"/>
  <c r="AU110" i="24"/>
  <c r="AQ110" i="24"/>
  <c r="AM110" i="24"/>
  <c r="AI110" i="24"/>
  <c r="W110" i="24"/>
  <c r="V110" i="24"/>
  <c r="BE110" i="24"/>
  <c r="BA110" i="24"/>
  <c r="AW110" i="24"/>
  <c r="AS110" i="24"/>
  <c r="AO110" i="24"/>
  <c r="AK110" i="24"/>
  <c r="AG110" i="24"/>
  <c r="Y110" i="24"/>
  <c r="BI110" i="24"/>
  <c r="AE110" i="24"/>
  <c r="AC110" i="24"/>
  <c r="AA110" i="24"/>
  <c r="X108" i="24"/>
  <c r="BE108" i="24"/>
  <c r="BA108" i="24"/>
  <c r="AW108" i="24"/>
  <c r="AS108" i="24"/>
  <c r="AO108" i="24"/>
  <c r="AK108" i="24"/>
  <c r="W108" i="24"/>
  <c r="BI108" i="24"/>
  <c r="V108" i="24"/>
  <c r="BG108" i="24"/>
  <c r="BG116" i="24" s="1"/>
  <c r="BC108" i="24"/>
  <c r="AY108" i="24"/>
  <c r="AU108" i="24"/>
  <c r="AQ108" i="24"/>
  <c r="AM108" i="24"/>
  <c r="AI108" i="24"/>
  <c r="Y108" i="24"/>
  <c r="AC108" i="24"/>
  <c r="AA108" i="24"/>
  <c r="AG108" i="24"/>
  <c r="AE108" i="24"/>
  <c r="X37" i="24"/>
  <c r="BI37" i="24"/>
  <c r="BG37" i="24"/>
  <c r="BC37" i="24"/>
  <c r="AY37" i="24"/>
  <c r="AU37" i="24"/>
  <c r="AQ37" i="24"/>
  <c r="AM37" i="24"/>
  <c r="AI37" i="24"/>
  <c r="V37" i="24"/>
  <c r="BE37" i="24"/>
  <c r="BA37" i="24"/>
  <c r="AW37" i="24"/>
  <c r="AS37" i="24"/>
  <c r="AO37" i="24"/>
  <c r="AK37" i="24"/>
  <c r="AG37" i="24"/>
  <c r="Y37" i="24"/>
  <c r="AE37" i="24"/>
  <c r="AC37" i="24"/>
  <c r="AA37" i="24"/>
  <c r="X96" i="24"/>
  <c r="BG96" i="24"/>
  <c r="BC96" i="24"/>
  <c r="AY96" i="24"/>
  <c r="AU96" i="24"/>
  <c r="AQ96" i="24"/>
  <c r="AM96" i="24"/>
  <c r="AI96" i="24"/>
  <c r="W96" i="24"/>
  <c r="V96" i="24"/>
  <c r="BI96" i="24"/>
  <c r="BE96" i="24"/>
  <c r="BA96" i="24"/>
  <c r="AW96" i="24"/>
  <c r="AS96" i="24"/>
  <c r="AO96" i="24"/>
  <c r="AK96" i="24"/>
  <c r="AG96" i="24"/>
  <c r="Y96" i="24"/>
  <c r="AE96" i="24"/>
  <c r="AA96" i="24"/>
  <c r="AC96" i="24"/>
  <c r="O51" i="24"/>
  <c r="L102" i="24"/>
  <c r="K102" i="24"/>
  <c r="J31" i="24"/>
  <c r="Q31" i="24"/>
  <c r="J34" i="24"/>
  <c r="L34" i="24"/>
  <c r="P90" i="24"/>
  <c r="G49" i="24"/>
  <c r="BP49" i="24" s="1"/>
  <c r="BR49" i="24" s="1"/>
  <c r="BV49" i="24" s="1"/>
  <c r="BJ116" i="24"/>
  <c r="BV93" i="24"/>
  <c r="G47" i="24"/>
  <c r="R98" i="24"/>
  <c r="W28" i="24"/>
  <c r="Z40" i="38"/>
  <c r="Z42" i="38" s="1"/>
  <c r="V42" i="38"/>
  <c r="Z29" i="38"/>
  <c r="Z37" i="38" s="1"/>
  <c r="V37" i="38"/>
  <c r="W23" i="38"/>
  <c r="Y16" i="38"/>
  <c r="U20" i="38"/>
  <c r="I28" i="38"/>
  <c r="R28" i="38"/>
  <c r="R33" i="38"/>
  <c r="I33" i="38"/>
  <c r="R40" i="38"/>
  <c r="M40" i="38"/>
  <c r="U37" i="38"/>
  <c r="Y29" i="38"/>
  <c r="Y37" i="38" s="1"/>
  <c r="W12" i="38"/>
  <c r="Z12" i="38"/>
  <c r="Y12" i="38"/>
  <c r="X12" i="38"/>
  <c r="W19" i="38"/>
  <c r="Z19" i="38"/>
  <c r="Y19" i="38"/>
  <c r="X19" i="38"/>
  <c r="X47" i="38"/>
  <c r="H47" i="38"/>
  <c r="W47" i="38"/>
  <c r="Z47" i="38"/>
  <c r="Y47" i="38"/>
  <c r="S17" i="38"/>
  <c r="H17" i="38"/>
  <c r="T17" i="38"/>
  <c r="X17" i="38" s="1"/>
  <c r="V17" i="38"/>
  <c r="Z17" i="38" s="1"/>
  <c r="J30" i="38"/>
  <c r="R30" i="38"/>
  <c r="M30" i="38"/>
  <c r="I30" i="38"/>
  <c r="BW12" i="38"/>
  <c r="BW14" i="38"/>
  <c r="BV20" i="38"/>
  <c r="BV25" i="38"/>
  <c r="BU53" i="38"/>
  <c r="Y40" i="38"/>
  <c r="Y42" i="38" s="1"/>
  <c r="U42" i="38"/>
  <c r="W22" i="38"/>
  <c r="W29" i="38"/>
  <c r="W37" i="38" s="1"/>
  <c r="H29" i="38"/>
  <c r="X46" i="38"/>
  <c r="W46" i="38"/>
  <c r="H46" i="38"/>
  <c r="Z46" i="38"/>
  <c r="Y46" i="38"/>
  <c r="W16" i="38"/>
  <c r="H16" i="38"/>
  <c r="M35" i="38"/>
  <c r="R35" i="38"/>
  <c r="BP53" i="38"/>
  <c r="Z16" i="38"/>
  <c r="X40" i="38"/>
  <c r="X42" i="38" s="1"/>
  <c r="T42" i="38"/>
  <c r="X29" i="38"/>
  <c r="X37" i="38" s="1"/>
  <c r="T37" i="38"/>
  <c r="Z11" i="38"/>
  <c r="W11" i="38"/>
  <c r="X11" i="38"/>
  <c r="X13" i="38" s="1"/>
  <c r="Y11" i="38"/>
  <c r="X45" i="38"/>
  <c r="W45" i="38"/>
  <c r="Z45" i="38"/>
  <c r="H45" i="38"/>
  <c r="Y45" i="38"/>
  <c r="R36" i="38"/>
  <c r="M36" i="38"/>
  <c r="H19" i="38"/>
  <c r="J19" i="38" s="1"/>
  <c r="H34" i="28"/>
  <c r="J34" i="28"/>
  <c r="O53" i="28"/>
  <c r="L59" i="28"/>
  <c r="L57" i="28"/>
  <c r="BJ25" i="28"/>
  <c r="AG50" i="28"/>
  <c r="AY50" i="28"/>
  <c r="AQ50" i="28"/>
  <c r="AP73" i="28"/>
  <c r="I59" i="28"/>
  <c r="H57" i="28"/>
  <c r="AF17" i="28"/>
  <c r="AN17" i="28"/>
  <c r="W39" i="28"/>
  <c r="BI50" i="28"/>
  <c r="BK46" i="28"/>
  <c r="BQ17" i="28"/>
  <c r="BG50" i="28"/>
  <c r="AU25" i="28"/>
  <c r="X66" i="28"/>
  <c r="X67" i="28"/>
  <c r="BV11" i="28"/>
  <c r="BU25" i="28"/>
  <c r="F49" i="37"/>
  <c r="X49" i="37"/>
  <c r="AW49" i="37"/>
  <c r="AU49" i="37"/>
  <c r="V49" i="37"/>
  <c r="AY49" i="37"/>
  <c r="AO49" i="37"/>
  <c r="AK49" i="37"/>
  <c r="X50" i="37"/>
  <c r="AY50" i="37"/>
  <c r="AO50" i="37"/>
  <c r="AK50" i="37"/>
  <c r="Y50" i="37"/>
  <c r="V50" i="37"/>
  <c r="AW50" i="37"/>
  <c r="AU50" i="37"/>
  <c r="X40" i="37"/>
  <c r="AW40" i="37"/>
  <c r="AU40" i="37"/>
  <c r="Y40" i="37"/>
  <c r="V40" i="37"/>
  <c r="AY40" i="37"/>
  <c r="AO40" i="37"/>
  <c r="AK40" i="37"/>
  <c r="W40" i="37"/>
  <c r="AU13" i="37"/>
  <c r="AU38" i="37" s="1"/>
  <c r="W41" i="37"/>
  <c r="AW41" i="37"/>
  <c r="AU41" i="37"/>
  <c r="V41" i="37"/>
  <c r="Y41" i="37"/>
  <c r="AY41" i="37"/>
  <c r="AO41" i="37"/>
  <c r="AK41" i="37"/>
  <c r="X41" i="37"/>
  <c r="BO52" i="37"/>
  <c r="W44" i="37"/>
  <c r="F40" i="37"/>
  <c r="G40" i="37" s="1"/>
  <c r="P40" i="37" s="1"/>
  <c r="V44" i="37"/>
  <c r="AW44" i="37"/>
  <c r="AU44" i="37"/>
  <c r="AY44" i="37"/>
  <c r="AO44" i="37"/>
  <c r="AK44" i="37"/>
  <c r="BE51" i="37"/>
  <c r="BU51" i="37"/>
  <c r="BT52" i="37"/>
  <c r="V13" i="37"/>
  <c r="V38" i="37" s="1"/>
  <c r="AO13" i="37"/>
  <c r="AO38" i="37" s="1"/>
  <c r="AK13" i="37"/>
  <c r="AK38" i="37" s="1"/>
  <c r="BW63" i="32"/>
  <c r="AV62" i="28"/>
  <c r="AF62" i="28"/>
  <c r="G41" i="28"/>
  <c r="K41" i="28" s="1"/>
  <c r="J29" i="33"/>
  <c r="S11" i="34"/>
  <c r="R11" i="34"/>
  <c r="G20" i="34"/>
  <c r="L20" i="34" s="1"/>
  <c r="V20" i="34"/>
  <c r="Y20" i="34"/>
  <c r="X20" i="34"/>
  <c r="W20" i="34"/>
  <c r="V25" i="34"/>
  <c r="Y25" i="34"/>
  <c r="X25" i="34"/>
  <c r="W25" i="34"/>
  <c r="G40" i="34"/>
  <c r="V40" i="34"/>
  <c r="Y40" i="34"/>
  <c r="X40" i="34"/>
  <c r="W40" i="34"/>
  <c r="R12" i="34"/>
  <c r="V12" i="34" s="1"/>
  <c r="S12" i="34"/>
  <c r="W12" i="34" s="1"/>
  <c r="V46" i="34"/>
  <c r="W46" i="34"/>
  <c r="R13" i="34"/>
  <c r="V13" i="34" s="1"/>
  <c r="S13" i="34"/>
  <c r="W13" i="34" s="1"/>
  <c r="G19" i="34"/>
  <c r="V19" i="34"/>
  <c r="Y19" i="34"/>
  <c r="W19" i="34"/>
  <c r="X19" i="34"/>
  <c r="G24" i="34"/>
  <c r="M24" i="34" s="1"/>
  <c r="Y24" i="34"/>
  <c r="V24" i="34"/>
  <c r="W24" i="34"/>
  <c r="X24" i="34"/>
  <c r="G33" i="34"/>
  <c r="V33" i="34"/>
  <c r="Y33" i="34"/>
  <c r="Y36" i="34" s="1"/>
  <c r="X33" i="34"/>
  <c r="W33" i="34"/>
  <c r="G39" i="34"/>
  <c r="I39" i="34" s="1"/>
  <c r="V39" i="34"/>
  <c r="Y39" i="34"/>
  <c r="X39" i="34"/>
  <c r="W39" i="34"/>
  <c r="Y45" i="34"/>
  <c r="X45" i="34"/>
  <c r="V18" i="34"/>
  <c r="Y18" i="34"/>
  <c r="X18" i="34"/>
  <c r="W18" i="34"/>
  <c r="G38" i="34"/>
  <c r="K38" i="34" s="1"/>
  <c r="Y38" i="34"/>
  <c r="V38" i="34"/>
  <c r="W38" i="34"/>
  <c r="X38" i="34"/>
  <c r="V42" i="34"/>
  <c r="Y42" i="34"/>
  <c r="X42" i="34"/>
  <c r="W42" i="34"/>
  <c r="G26" i="34"/>
  <c r="K26" i="34" s="1"/>
  <c r="V26" i="34"/>
  <c r="Y26" i="34"/>
  <c r="X26" i="34"/>
  <c r="W26" i="34"/>
  <c r="Y17" i="34"/>
  <c r="V17" i="34"/>
  <c r="W17" i="34"/>
  <c r="X17" i="34"/>
  <c r="G21" i="34"/>
  <c r="K21" i="34" s="1"/>
  <c r="V21" i="34"/>
  <c r="Y21" i="34"/>
  <c r="X21" i="34"/>
  <c r="W21" i="34"/>
  <c r="G29" i="34"/>
  <c r="H29" i="34" s="1"/>
  <c r="Y29" i="34"/>
  <c r="V29" i="34"/>
  <c r="X29" i="34"/>
  <c r="G41" i="34"/>
  <c r="M41" i="34" s="1"/>
  <c r="V41" i="34"/>
  <c r="Y41" i="34"/>
  <c r="X41" i="34"/>
  <c r="W41" i="34"/>
  <c r="V30" i="34"/>
  <c r="V36" i="34" s="1"/>
  <c r="Y30" i="34"/>
  <c r="X30" i="34"/>
  <c r="W30" i="34"/>
  <c r="O90" i="25"/>
  <c r="BS82" i="24"/>
  <c r="BU82" i="24" s="1"/>
  <c r="BV82" i="24" s="1"/>
  <c r="H82" i="24"/>
  <c r="K82" i="24"/>
  <c r="Q82" i="24"/>
  <c r="J82" i="24"/>
  <c r="I82" i="24"/>
  <c r="L82" i="24"/>
  <c r="BS79" i="24"/>
  <c r="BU79" i="24" s="1"/>
  <c r="BV79" i="24" s="1"/>
  <c r="Q79" i="24"/>
  <c r="I79" i="24"/>
  <c r="P79" i="24"/>
  <c r="H79" i="24"/>
  <c r="F87" i="24"/>
  <c r="G69" i="24"/>
  <c r="P69" i="24" s="1"/>
  <c r="BK42" i="25"/>
  <c r="G37" i="25"/>
  <c r="Q37" i="25" s="1"/>
  <c r="F46" i="25"/>
  <c r="G38" i="25"/>
  <c r="I38" i="25" s="1"/>
  <c r="G39" i="25"/>
  <c r="M39" i="25" s="1"/>
  <c r="G40" i="25"/>
  <c r="O40" i="25" s="1"/>
  <c r="BK82" i="25"/>
  <c r="BK99" i="25"/>
  <c r="G12" i="25"/>
  <c r="G43" i="25"/>
  <c r="G44" i="25"/>
  <c r="BK76" i="25"/>
  <c r="BU66" i="25"/>
  <c r="G42" i="25"/>
  <c r="BK31" i="25"/>
  <c r="BK75" i="24"/>
  <c r="BK79" i="24"/>
  <c r="BK83" i="24"/>
  <c r="BJ97" i="24"/>
  <c r="S98" i="24"/>
  <c r="BJ17" i="24"/>
  <c r="BK36" i="24"/>
  <c r="BK111" i="24"/>
  <c r="BK113" i="24"/>
  <c r="BR87" i="24"/>
  <c r="P51" i="24"/>
  <c r="K101" i="24"/>
  <c r="J70" i="24"/>
  <c r="Q70" i="24"/>
  <c r="I93" i="24"/>
  <c r="Q93" i="24"/>
  <c r="G50" i="24"/>
  <c r="K50" i="24" s="1"/>
  <c r="BJ87" i="24"/>
  <c r="BK77" i="24"/>
  <c r="L47" i="24"/>
  <c r="M47" i="24"/>
  <c r="I47" i="24"/>
  <c r="N51" i="24"/>
  <c r="K51" i="24"/>
  <c r="BP51" i="24"/>
  <c r="BR51" i="24" s="1"/>
  <c r="BV51" i="24" s="1"/>
  <c r="P110" i="24"/>
  <c r="Q110" i="24"/>
  <c r="I101" i="24"/>
  <c r="H101" i="24"/>
  <c r="J64" i="24"/>
  <c r="P70" i="24"/>
  <c r="O70" i="24"/>
  <c r="J112" i="24"/>
  <c r="I112" i="24"/>
  <c r="Q112" i="24"/>
  <c r="N89" i="24"/>
  <c r="M89" i="24"/>
  <c r="BS89" i="24"/>
  <c r="BU89" i="24" s="1"/>
  <c r="BV89" i="24" s="1"/>
  <c r="P93" i="24"/>
  <c r="O93" i="24"/>
  <c r="N42" i="24"/>
  <c r="N95" i="24"/>
  <c r="H95" i="24"/>
  <c r="M106" i="24"/>
  <c r="P94" i="24"/>
  <c r="Q94" i="24"/>
  <c r="N37" i="24"/>
  <c r="N28" i="24"/>
  <c r="L28" i="24"/>
  <c r="O20" i="24"/>
  <c r="P25" i="24"/>
  <c r="M34" i="24"/>
  <c r="P34" i="24"/>
  <c r="M26" i="24"/>
  <c r="M104" i="24"/>
  <c r="L104" i="24"/>
  <c r="P108" i="24"/>
  <c r="L108" i="24"/>
  <c r="Q108" i="24"/>
  <c r="G40" i="24"/>
  <c r="P111" i="24"/>
  <c r="O111" i="24"/>
  <c r="L107" i="24"/>
  <c r="K107" i="24"/>
  <c r="H107" i="24"/>
  <c r="J103" i="24"/>
  <c r="I103" i="24"/>
  <c r="Q103" i="24"/>
  <c r="P82" i="24"/>
  <c r="O82" i="24"/>
  <c r="L79" i="24"/>
  <c r="O79" i="24"/>
  <c r="L78" i="24"/>
  <c r="K78" i="24"/>
  <c r="I78" i="24"/>
  <c r="O75" i="24"/>
  <c r="N74" i="24"/>
  <c r="M74" i="24"/>
  <c r="BS74" i="24"/>
  <c r="BU74" i="24" s="1"/>
  <c r="BV74" i="24" s="1"/>
  <c r="M51" i="24"/>
  <c r="J101" i="24"/>
  <c r="H70" i="24"/>
  <c r="J93" i="24"/>
  <c r="I95" i="24"/>
  <c r="J106" i="24"/>
  <c r="O106" i="24"/>
  <c r="I94" i="24"/>
  <c r="BS94" i="24"/>
  <c r="BU94" i="24" s="1"/>
  <c r="BV94" i="24" s="1"/>
  <c r="BH117" i="24"/>
  <c r="BK63" i="24"/>
  <c r="J47" i="24"/>
  <c r="K47" i="24"/>
  <c r="L51" i="24"/>
  <c r="I51" i="24"/>
  <c r="L110" i="24"/>
  <c r="O110" i="24"/>
  <c r="P101" i="24"/>
  <c r="Q101" i="24"/>
  <c r="N70" i="24"/>
  <c r="M70" i="24"/>
  <c r="P112" i="24"/>
  <c r="L89" i="24"/>
  <c r="K89" i="24"/>
  <c r="N93" i="24"/>
  <c r="M93" i="24"/>
  <c r="L42" i="24"/>
  <c r="L95" i="24"/>
  <c r="N94" i="24"/>
  <c r="BK100" i="24"/>
  <c r="P20" i="24"/>
  <c r="O104" i="24"/>
  <c r="K104" i="24"/>
  <c r="O108" i="24"/>
  <c r="G114" i="24"/>
  <c r="G86" i="24"/>
  <c r="N111" i="24"/>
  <c r="M111" i="24"/>
  <c r="J107" i="24"/>
  <c r="I107" i="24"/>
  <c r="P103" i="24"/>
  <c r="N82" i="24"/>
  <c r="M82" i="24"/>
  <c r="J79" i="24"/>
  <c r="K79" i="24"/>
  <c r="J78" i="24"/>
  <c r="H78" i="24"/>
  <c r="H75" i="24"/>
  <c r="L74" i="24"/>
  <c r="K74" i="24"/>
  <c r="BK30" i="24"/>
  <c r="BK93" i="24"/>
  <c r="BN98" i="24"/>
  <c r="BT98" i="24"/>
  <c r="BR116" i="24"/>
  <c r="N52" i="24"/>
  <c r="K52" i="24"/>
  <c r="BP52" i="24"/>
  <c r="BR52" i="24" s="1"/>
  <c r="BV52" i="24" s="1"/>
  <c r="J52" i="24"/>
  <c r="Q52" i="24"/>
  <c r="P52" i="24"/>
  <c r="O52" i="24"/>
  <c r="M52" i="24"/>
  <c r="J42" i="34"/>
  <c r="BP42" i="34"/>
  <c r="BR42" i="34" s="1"/>
  <c r="BV42" i="34" s="1"/>
  <c r="BU15" i="34"/>
  <c r="H25" i="34"/>
  <c r="BP25" i="34"/>
  <c r="BR25" i="34" s="1"/>
  <c r="BV25" i="34" s="1"/>
  <c r="U27" i="34"/>
  <c r="G30" i="34"/>
  <c r="T22" i="34"/>
  <c r="S22" i="34"/>
  <c r="Q25" i="34"/>
  <c r="O25" i="34"/>
  <c r="M25" i="34"/>
  <c r="G48" i="34"/>
  <c r="BU22" i="34"/>
  <c r="BU27" i="34"/>
  <c r="BU36" i="34"/>
  <c r="U47" i="37"/>
  <c r="Z129" i="32"/>
  <c r="G34" i="7"/>
  <c r="L33" i="7"/>
  <c r="BS33" i="7"/>
  <c r="BV33" i="7" s="1"/>
  <c r="BZ33" i="7" s="1"/>
  <c r="H43" i="7"/>
  <c r="BS43" i="7"/>
  <c r="BV43" i="7" s="1"/>
  <c r="BZ43" i="7" s="1"/>
  <c r="M11" i="7"/>
  <c r="L22" i="24"/>
  <c r="M92" i="24"/>
  <c r="L92" i="24"/>
  <c r="P33" i="7"/>
  <c r="H33" i="7"/>
  <c r="O11" i="7"/>
  <c r="P11" i="7"/>
  <c r="Q11" i="7"/>
  <c r="AQ63" i="7"/>
  <c r="AQ69" i="7" s="1"/>
  <c r="AI63" i="7"/>
  <c r="AI69" i="7" s="1"/>
  <c r="H94" i="24"/>
  <c r="K94" i="24"/>
  <c r="L94" i="24"/>
  <c r="O32" i="24"/>
  <c r="N32" i="24"/>
  <c r="BT106" i="24"/>
  <c r="BU106" i="24" s="1"/>
  <c r="BV106" i="24" s="1"/>
  <c r="I106" i="24"/>
  <c r="BS95" i="24"/>
  <c r="BU95" i="24" s="1"/>
  <c r="BV95" i="24" s="1"/>
  <c r="K95" i="24"/>
  <c r="J95" i="24"/>
  <c r="Y129" i="32"/>
  <c r="BS42" i="7"/>
  <c r="BV42" i="7" s="1"/>
  <c r="BZ42" i="7" s="1"/>
  <c r="J33" i="24"/>
  <c r="S34" i="7"/>
  <c r="Q22" i="24"/>
  <c r="O22" i="24"/>
  <c r="N22" i="24"/>
  <c r="J83" i="24"/>
  <c r="H83" i="24"/>
  <c r="N110" i="24"/>
  <c r="M110" i="24"/>
  <c r="N101" i="24"/>
  <c r="M101" i="24"/>
  <c r="M25" i="24"/>
  <c r="K25" i="24"/>
  <c r="N35" i="24"/>
  <c r="G58" i="24"/>
  <c r="G71" i="24"/>
  <c r="N79" i="24"/>
  <c r="M79" i="24"/>
  <c r="L75" i="24"/>
  <c r="K75" i="24"/>
  <c r="I75" i="24"/>
  <c r="N12" i="25"/>
  <c r="J25" i="24"/>
  <c r="Q25" i="24"/>
  <c r="N75" i="24"/>
  <c r="M75" i="24"/>
  <c r="F15" i="7"/>
  <c r="BJ29" i="7"/>
  <c r="G54" i="25"/>
  <c r="N53" i="25"/>
  <c r="N54" i="25" s="1"/>
  <c r="I53" i="25"/>
  <c r="I54" i="25" s="1"/>
  <c r="J53" i="25"/>
  <c r="J54" i="25" s="1"/>
  <c r="M53" i="25"/>
  <c r="M54" i="25" s="1"/>
  <c r="H38" i="25"/>
  <c r="L38" i="25"/>
  <c r="J41" i="25"/>
  <c r="F36" i="7"/>
  <c r="F44" i="7" s="1"/>
  <c r="BJ44" i="7"/>
  <c r="AA27" i="26"/>
  <c r="AH42" i="26"/>
  <c r="AX42" i="26"/>
  <c r="P38" i="28"/>
  <c r="Q38" i="28"/>
  <c r="N38" i="28"/>
  <c r="BO38" i="28"/>
  <c r="BR38" i="28" s="1"/>
  <c r="BV38" i="28" s="1"/>
  <c r="L38" i="28"/>
  <c r="I38" i="28"/>
  <c r="H37" i="28"/>
  <c r="I15" i="33"/>
  <c r="M18" i="34"/>
  <c r="P18" i="34"/>
  <c r="L18" i="34"/>
  <c r="J18" i="34"/>
  <c r="O18" i="34"/>
  <c r="BP18" i="34"/>
  <c r="BR18" i="34" s="1"/>
  <c r="BV18" i="34" s="1"/>
  <c r="H18" i="34"/>
  <c r="K18" i="34"/>
  <c r="BV30" i="33"/>
  <c r="BU32" i="33"/>
  <c r="BN35" i="33"/>
  <c r="BO117" i="24"/>
  <c r="BN66" i="24"/>
  <c r="BN117" i="24" s="1"/>
  <c r="BT66" i="24"/>
  <c r="G21" i="33"/>
  <c r="X21" i="33"/>
  <c r="X22" i="33" s="1"/>
  <c r="W21" i="33"/>
  <c r="V21" i="33"/>
  <c r="V22" i="33" s="1"/>
  <c r="BJ71" i="7"/>
  <c r="F70" i="7"/>
  <c r="G70" i="7" s="1"/>
  <c r="AI34" i="7"/>
  <c r="BA34" i="7"/>
  <c r="BK16" i="25"/>
  <c r="G34" i="25"/>
  <c r="BP34" i="25" s="1"/>
  <c r="BR34" i="25" s="1"/>
  <c r="BV34" i="25" s="1"/>
  <c r="G35" i="25"/>
  <c r="O35" i="25" s="1"/>
  <c r="Z55" i="25"/>
  <c r="AH55" i="25"/>
  <c r="AP55" i="25"/>
  <c r="AX55" i="25"/>
  <c r="BF55" i="25"/>
  <c r="BO42" i="28"/>
  <c r="BR42" i="28" s="1"/>
  <c r="BV42" i="28" s="1"/>
  <c r="H38" i="28"/>
  <c r="K23" i="28"/>
  <c r="L53" i="28"/>
  <c r="I53" i="28"/>
  <c r="K53" i="28"/>
  <c r="Q53" i="28"/>
  <c r="J53" i="28"/>
  <c r="X12" i="28"/>
  <c r="W12" i="28"/>
  <c r="Y12" i="28"/>
  <c r="V12" i="28"/>
  <c r="W13" i="28"/>
  <c r="W14" i="28" s="1"/>
  <c r="W17" i="28" s="1"/>
  <c r="X13" i="28"/>
  <c r="X14" i="28" s="1"/>
  <c r="X17" i="28" s="1"/>
  <c r="V13" i="28"/>
  <c r="V14" i="28" s="1"/>
  <c r="V17" i="28" s="1"/>
  <c r="Y13" i="28"/>
  <c r="Y14" i="28" s="1"/>
  <c r="Y17" i="28" s="1"/>
  <c r="V22" i="28"/>
  <c r="X22" i="28"/>
  <c r="W22" i="28"/>
  <c r="Y22" i="28"/>
  <c r="G22" i="28"/>
  <c r="I22" i="28" s="1"/>
  <c r="Y23" i="28"/>
  <c r="W23" i="28"/>
  <c r="X23" i="28"/>
  <c r="V23" i="28"/>
  <c r="X24" i="28"/>
  <c r="Y24" i="28"/>
  <c r="G24" i="28"/>
  <c r="N24" i="28" s="1"/>
  <c r="X27" i="28"/>
  <c r="W27" i="28"/>
  <c r="Y27" i="28"/>
  <c r="V27" i="28"/>
  <c r="X28" i="28"/>
  <c r="Y28" i="28"/>
  <c r="AS28" i="28"/>
  <c r="AS30" i="28" s="1"/>
  <c r="AQ28" i="28"/>
  <c r="AQ30" i="28" s="1"/>
  <c r="AQ31" i="28" s="1"/>
  <c r="X40" i="28"/>
  <c r="G40" i="28"/>
  <c r="W42" i="28"/>
  <c r="X42" i="28"/>
  <c r="V42" i="28"/>
  <c r="Y42" i="28"/>
  <c r="X52" i="28"/>
  <c r="W52" i="28"/>
  <c r="Y52" i="28"/>
  <c r="V52" i="28"/>
  <c r="BP34" i="33"/>
  <c r="BR33" i="33"/>
  <c r="Q18" i="34"/>
  <c r="W24" i="33"/>
  <c r="X24" i="33"/>
  <c r="X33" i="33"/>
  <c r="X34" i="33" s="1"/>
  <c r="T34" i="33"/>
  <c r="BR53" i="38"/>
  <c r="G26" i="25"/>
  <c r="BK92" i="25"/>
  <c r="K38" i="28"/>
  <c r="O66" i="28"/>
  <c r="O27" i="28"/>
  <c r="AA28" i="28"/>
  <c r="AA30" i="28" s="1"/>
  <c r="BO13" i="33"/>
  <c r="L24" i="33"/>
  <c r="L26" i="33" s="1"/>
  <c r="K24" i="33"/>
  <c r="BA50" i="28"/>
  <c r="AF57" i="7"/>
  <c r="AH57" i="7"/>
  <c r="AR57" i="7"/>
  <c r="AR72" i="7" s="1"/>
  <c r="AV57" i="7"/>
  <c r="AV72" i="7" s="1"/>
  <c r="BG12" i="7"/>
  <c r="BF57" i="7"/>
  <c r="BK29" i="7"/>
  <c r="BI34" i="7"/>
  <c r="AK44" i="7"/>
  <c r="AS44" i="7"/>
  <c r="BA44" i="7"/>
  <c r="BI44" i="7"/>
  <c r="BK20" i="24"/>
  <c r="BK32" i="24"/>
  <c r="BK43" i="24"/>
  <c r="G48" i="24"/>
  <c r="N48" i="24" s="1"/>
  <c r="BK59" i="24"/>
  <c r="G22" i="25"/>
  <c r="G25" i="25"/>
  <c r="Z88" i="25"/>
  <c r="BJ111" i="25"/>
  <c r="M53" i="28"/>
  <c r="J38" i="28"/>
  <c r="O38" i="28"/>
  <c r="H56" i="28"/>
  <c r="M56" i="28"/>
  <c r="I54" i="28"/>
  <c r="P54" i="28"/>
  <c r="G39" i="28"/>
  <c r="Q39" i="28" s="1"/>
  <c r="BG28" i="28"/>
  <c r="BG30" i="28" s="1"/>
  <c r="BG31" i="28" s="1"/>
  <c r="W36" i="28"/>
  <c r="X36" i="28"/>
  <c r="Y36" i="28"/>
  <c r="BK37" i="28"/>
  <c r="BK38" i="28"/>
  <c r="W46" i="28"/>
  <c r="V46" i="28"/>
  <c r="W47" i="28"/>
  <c r="V47" i="28"/>
  <c r="G47" i="28"/>
  <c r="Q47" i="28" s="1"/>
  <c r="M55" i="28"/>
  <c r="I55" i="28"/>
  <c r="I18" i="34"/>
  <c r="I13" i="33"/>
  <c r="Y56" i="7"/>
  <c r="G54" i="7"/>
  <c r="P54" i="7" s="1"/>
  <c r="P56" i="7" s="1"/>
  <c r="AE25" i="28"/>
  <c r="BK21" i="28"/>
  <c r="X100" i="32"/>
  <c r="H100" i="32"/>
  <c r="R100" i="32" s="1"/>
  <c r="Y90" i="32"/>
  <c r="H90" i="32"/>
  <c r="W71" i="32"/>
  <c r="H71" i="32"/>
  <c r="X71" i="32"/>
  <c r="W67" i="32"/>
  <c r="H67" i="32"/>
  <c r="H64" i="32"/>
  <c r="S56" i="32"/>
  <c r="W56" i="32" s="1"/>
  <c r="T56" i="32"/>
  <c r="X56" i="32" s="1"/>
  <c r="U56" i="32"/>
  <c r="Y56" i="32" s="1"/>
  <c r="V56" i="32"/>
  <c r="Z56" i="32" s="1"/>
  <c r="H56" i="32"/>
  <c r="R56" i="32" s="1"/>
  <c r="S50" i="32"/>
  <c r="W50" i="32" s="1"/>
  <c r="T50" i="32"/>
  <c r="X50" i="32" s="1"/>
  <c r="U50" i="32"/>
  <c r="Y50" i="32" s="1"/>
  <c r="V50" i="32"/>
  <c r="Z50" i="32" s="1"/>
  <c r="H50" i="32"/>
  <c r="BO50" i="32" s="1"/>
  <c r="BS50" i="32" s="1"/>
  <c r="BW50" i="32" s="1"/>
  <c r="S40" i="32"/>
  <c r="T40" i="32"/>
  <c r="U40" i="32"/>
  <c r="V40" i="32"/>
  <c r="H40" i="32"/>
  <c r="S30" i="32"/>
  <c r="W30" i="32" s="1"/>
  <c r="T30" i="32"/>
  <c r="X30" i="32" s="1"/>
  <c r="U30" i="32"/>
  <c r="Y30" i="32" s="1"/>
  <c r="H30" i="32"/>
  <c r="N30" i="32" s="1"/>
  <c r="V30" i="32"/>
  <c r="Z30" i="32" s="1"/>
  <c r="V25" i="32"/>
  <c r="U25" i="32"/>
  <c r="T25" i="32"/>
  <c r="H25" i="32"/>
  <c r="S25" i="32"/>
  <c r="H18" i="32"/>
  <c r="U13" i="32"/>
  <c r="Y13" i="32" s="1"/>
  <c r="V13" i="32"/>
  <c r="Z13" i="32" s="1"/>
  <c r="S13" i="32"/>
  <c r="W13" i="32" s="1"/>
  <c r="H13" i="32"/>
  <c r="T13" i="32"/>
  <c r="X13" i="32" s="1"/>
  <c r="BD31" i="28"/>
  <c r="AV31" i="28"/>
  <c r="AN31" i="28"/>
  <c r="AF31" i="28"/>
  <c r="AH17" i="28"/>
  <c r="W29" i="28"/>
  <c r="X29" i="28"/>
  <c r="V29" i="28"/>
  <c r="Y29" i="28"/>
  <c r="W37" i="28"/>
  <c r="X37" i="28"/>
  <c r="V37" i="28"/>
  <c r="W38" i="28"/>
  <c r="X38" i="28"/>
  <c r="V38" i="28"/>
  <c r="Y38" i="28"/>
  <c r="F45" i="28"/>
  <c r="G45" i="28" s="1"/>
  <c r="K45" i="28" s="1"/>
  <c r="BJ50" i="28"/>
  <c r="U50" i="28"/>
  <c r="Y46" i="28"/>
  <c r="Y47" i="28"/>
  <c r="AA61" i="28"/>
  <c r="AI61" i="28"/>
  <c r="AQ61" i="28"/>
  <c r="AY61" i="28"/>
  <c r="BG61" i="28"/>
  <c r="BW24" i="32"/>
  <c r="K30" i="33"/>
  <c r="K32" i="33" s="1"/>
  <c r="H11" i="38"/>
  <c r="BX57" i="7"/>
  <c r="BV15" i="32"/>
  <c r="BV136" i="32" s="1"/>
  <c r="BU38" i="37"/>
  <c r="BV58" i="25"/>
  <c r="BV60" i="25"/>
  <c r="BV62" i="25"/>
  <c r="BV64" i="25"/>
  <c r="BV69" i="25"/>
  <c r="BJ62" i="7"/>
  <c r="AD57" i="7"/>
  <c r="AD72" i="7" s="1"/>
  <c r="AI50" i="28"/>
  <c r="G20" i="33"/>
  <c r="W20" i="33"/>
  <c r="BK23" i="37"/>
  <c r="AE50" i="28"/>
  <c r="BC50" i="28"/>
  <c r="BK42" i="7"/>
  <c r="AA56" i="7"/>
  <c r="BK54" i="7"/>
  <c r="BK56" i="7" s="1"/>
  <c r="Y82" i="32"/>
  <c r="W82" i="32"/>
  <c r="H82" i="32"/>
  <c r="R82" i="32" s="1"/>
  <c r="H74" i="32"/>
  <c r="R74" i="32" s="1"/>
  <c r="X74" i="32"/>
  <c r="H70" i="32"/>
  <c r="H66" i="32"/>
  <c r="W66" i="32"/>
  <c r="S43" i="32"/>
  <c r="W43" i="32" s="1"/>
  <c r="T43" i="32"/>
  <c r="X43" i="32" s="1"/>
  <c r="U43" i="32"/>
  <c r="Y43" i="32" s="1"/>
  <c r="V43" i="32"/>
  <c r="Z43" i="32" s="1"/>
  <c r="H43" i="32"/>
  <c r="BO43" i="32" s="1"/>
  <c r="BS43" i="32" s="1"/>
  <c r="BW43" i="32" s="1"/>
  <c r="S55" i="32"/>
  <c r="T55" i="32"/>
  <c r="X55" i="32" s="1"/>
  <c r="U55" i="32"/>
  <c r="Y55" i="32" s="1"/>
  <c r="V55" i="32"/>
  <c r="Z55" i="32" s="1"/>
  <c r="S49" i="32"/>
  <c r="W49" i="32" s="1"/>
  <c r="H49" i="32"/>
  <c r="T49" i="32"/>
  <c r="X49" i="32" s="1"/>
  <c r="U49" i="32"/>
  <c r="Y49" i="32" s="1"/>
  <c r="V49" i="32"/>
  <c r="Z49" i="32" s="1"/>
  <c r="S36" i="32"/>
  <c r="W36" i="32" s="1"/>
  <c r="T36" i="32"/>
  <c r="X36" i="32" s="1"/>
  <c r="U36" i="32"/>
  <c r="Y36" i="32" s="1"/>
  <c r="V36" i="32"/>
  <c r="Z36" i="32" s="1"/>
  <c r="H36" i="32"/>
  <c r="S28" i="32"/>
  <c r="W28" i="32" s="1"/>
  <c r="T28" i="32"/>
  <c r="X28" i="32" s="1"/>
  <c r="U28" i="32"/>
  <c r="Y28" i="32" s="1"/>
  <c r="H28" i="32"/>
  <c r="BO28" i="32" s="1"/>
  <c r="BS28" i="32" s="1"/>
  <c r="BW28" i="32" s="1"/>
  <c r="V28" i="32"/>
  <c r="Z28" i="32" s="1"/>
  <c r="H89" i="32"/>
  <c r="BQ89" i="32" s="1"/>
  <c r="BS89" i="32" s="1"/>
  <c r="BW89" i="32" s="1"/>
  <c r="BF73" i="28"/>
  <c r="AX73" i="28"/>
  <c r="W13" i="33"/>
  <c r="T26" i="33"/>
  <c r="X25" i="33"/>
  <c r="AA48" i="28"/>
  <c r="W48" i="28"/>
  <c r="X48" i="28"/>
  <c r="V48" i="28"/>
  <c r="Y48" i="28"/>
  <c r="BK54" i="28"/>
  <c r="BK55" i="28"/>
  <c r="BK56" i="28"/>
  <c r="BK57" i="28"/>
  <c r="BK58" i="28"/>
  <c r="BK59" i="28"/>
  <c r="BK60" i="28"/>
  <c r="X34" i="28"/>
  <c r="W34" i="28"/>
  <c r="Y34" i="28"/>
  <c r="V34" i="28"/>
  <c r="BY29" i="7"/>
  <c r="BU72" i="7"/>
  <c r="BR18" i="25"/>
  <c r="BS55" i="25"/>
  <c r="BK64" i="7"/>
  <c r="BK50" i="7"/>
  <c r="BK52" i="7" s="1"/>
  <c r="AM50" i="28"/>
  <c r="AU50" i="28"/>
  <c r="AK50" i="28"/>
  <c r="H116" i="32"/>
  <c r="X81" i="32"/>
  <c r="H81" i="32"/>
  <c r="Y81" i="32"/>
  <c r="W73" i="32"/>
  <c r="Y73" i="32"/>
  <c r="H73" i="32"/>
  <c r="W69" i="32"/>
  <c r="H69" i="32"/>
  <c r="S58" i="32"/>
  <c r="W58" i="32" s="1"/>
  <c r="H58" i="32"/>
  <c r="T58" i="32"/>
  <c r="X58" i="32" s="1"/>
  <c r="U58" i="32"/>
  <c r="Y58" i="32" s="1"/>
  <c r="V58" i="32"/>
  <c r="Z58" i="32" s="1"/>
  <c r="S53" i="32"/>
  <c r="W53" i="32" s="1"/>
  <c r="H53" i="32"/>
  <c r="M53" i="32" s="1"/>
  <c r="T53" i="32"/>
  <c r="X53" i="32" s="1"/>
  <c r="U53" i="32"/>
  <c r="Y53" i="32" s="1"/>
  <c r="V53" i="32"/>
  <c r="Z53" i="32" s="1"/>
  <c r="V47" i="32"/>
  <c r="Z47" i="32" s="1"/>
  <c r="U47" i="32"/>
  <c r="Y47" i="32" s="1"/>
  <c r="T47" i="32"/>
  <c r="S47" i="32"/>
  <c r="H47" i="32"/>
  <c r="N47" i="32" s="1"/>
  <c r="S35" i="32"/>
  <c r="T35" i="32"/>
  <c r="X35" i="32" s="1"/>
  <c r="U35" i="32"/>
  <c r="Y35" i="32" s="1"/>
  <c r="H35" i="32"/>
  <c r="BO35" i="32" s="1"/>
  <c r="V35" i="32"/>
  <c r="Z35" i="32" s="1"/>
  <c r="S27" i="32"/>
  <c r="W27" i="32" s="1"/>
  <c r="T27" i="32"/>
  <c r="X27" i="32" s="1"/>
  <c r="U27" i="32"/>
  <c r="Y27" i="32" s="1"/>
  <c r="V27" i="32"/>
  <c r="Z27" i="32" s="1"/>
  <c r="H27" i="32"/>
  <c r="BO27" i="32" s="1"/>
  <c r="H21" i="32"/>
  <c r="W14" i="33"/>
  <c r="W31" i="33"/>
  <c r="W32" i="33" s="1"/>
  <c r="V34" i="7"/>
  <c r="Y34" i="7"/>
  <c r="W34" i="7"/>
  <c r="AA65" i="7"/>
  <c r="BK65" i="7" s="1"/>
  <c r="BJ65" i="7"/>
  <c r="F65" i="7" s="1"/>
  <c r="AO50" i="28"/>
  <c r="G13" i="28"/>
  <c r="M13" i="28" s="1"/>
  <c r="W24" i="28"/>
  <c r="X41" i="28"/>
  <c r="W53" i="28"/>
  <c r="X53" i="28"/>
  <c r="V53" i="28"/>
  <c r="Y53" i="28"/>
  <c r="W54" i="28"/>
  <c r="X54" i="28"/>
  <c r="V54" i="28"/>
  <c r="Y54" i="28"/>
  <c r="W55" i="28"/>
  <c r="X55" i="28"/>
  <c r="V55" i="28"/>
  <c r="Y55" i="28"/>
  <c r="W56" i="28"/>
  <c r="X56" i="28"/>
  <c r="V56" i="28"/>
  <c r="Y56" i="28"/>
  <c r="W57" i="28"/>
  <c r="X57" i="28"/>
  <c r="V57" i="28"/>
  <c r="Y57" i="28"/>
  <c r="W58" i="28"/>
  <c r="X58" i="28"/>
  <c r="V58" i="28"/>
  <c r="Y58" i="28"/>
  <c r="W59" i="28"/>
  <c r="X59" i="28"/>
  <c r="V59" i="28"/>
  <c r="Y59" i="28"/>
  <c r="W60" i="28"/>
  <c r="X60" i="28"/>
  <c r="V60" i="28"/>
  <c r="Y60" i="28"/>
  <c r="J30" i="33"/>
  <c r="O30" i="33"/>
  <c r="Q30" i="33"/>
  <c r="BY44" i="7"/>
  <c r="BY52" i="7"/>
  <c r="BY57" i="7" s="1"/>
  <c r="BW72" i="7"/>
  <c r="BS17" i="28"/>
  <c r="BU50" i="28"/>
  <c r="BU62" i="28" s="1"/>
  <c r="BQ55" i="25"/>
  <c r="BV11" i="26"/>
  <c r="BV15" i="26"/>
  <c r="BV38" i="26"/>
  <c r="BU23" i="26"/>
  <c r="BU39" i="26"/>
  <c r="G22" i="7"/>
  <c r="AW50" i="28"/>
  <c r="BK30" i="37"/>
  <c r="AC50" i="28"/>
  <c r="AS50" i="28"/>
  <c r="BK41" i="7"/>
  <c r="AA66" i="7"/>
  <c r="BK66" i="7" s="1"/>
  <c r="BJ66" i="7"/>
  <c r="F66" i="7" s="1"/>
  <c r="G66" i="7" s="1"/>
  <c r="H128" i="32"/>
  <c r="U135" i="32"/>
  <c r="Y92" i="32"/>
  <c r="X92" i="32"/>
  <c r="H92" i="32"/>
  <c r="I92" i="32" s="1"/>
  <c r="X79" i="32"/>
  <c r="H79" i="32"/>
  <c r="BQ79" i="32" s="1"/>
  <c r="BS79" i="32" s="1"/>
  <c r="BW79" i="32" s="1"/>
  <c r="Y72" i="32"/>
  <c r="W72" i="32"/>
  <c r="X72" i="32"/>
  <c r="H72" i="32"/>
  <c r="W68" i="32"/>
  <c r="H68" i="32"/>
  <c r="BQ68" i="32" s="1"/>
  <c r="X65" i="32"/>
  <c r="H65" i="32"/>
  <c r="W57" i="32"/>
  <c r="X57" i="32"/>
  <c r="Y57" i="32"/>
  <c r="H57" i="32"/>
  <c r="Z57" i="32"/>
  <c r="S51" i="32"/>
  <c r="W51" i="32" s="1"/>
  <c r="T51" i="32"/>
  <c r="X51" i="32" s="1"/>
  <c r="U51" i="32"/>
  <c r="Y51" i="32" s="1"/>
  <c r="H51" i="32"/>
  <c r="BO51" i="32" s="1"/>
  <c r="V51" i="32"/>
  <c r="Z51" i="32" s="1"/>
  <c r="S41" i="32"/>
  <c r="W41" i="32" s="1"/>
  <c r="T41" i="32"/>
  <c r="X41" i="32" s="1"/>
  <c r="U41" i="32"/>
  <c r="Y41" i="32" s="1"/>
  <c r="V41" i="32"/>
  <c r="Z41" i="32" s="1"/>
  <c r="H41" i="32"/>
  <c r="N41" i="32" s="1"/>
  <c r="S31" i="32"/>
  <c r="W31" i="32" s="1"/>
  <c r="T31" i="32"/>
  <c r="X31" i="32" s="1"/>
  <c r="U31" i="32"/>
  <c r="Y31" i="32" s="1"/>
  <c r="V31" i="32"/>
  <c r="Z31" i="32" s="1"/>
  <c r="H31" i="32"/>
  <c r="N31" i="32" s="1"/>
  <c r="S26" i="32"/>
  <c r="W26" i="32" s="1"/>
  <c r="T26" i="32"/>
  <c r="X26" i="32" s="1"/>
  <c r="U26" i="32"/>
  <c r="Y26" i="32" s="1"/>
  <c r="H26" i="32"/>
  <c r="N26" i="32" s="1"/>
  <c r="V26" i="32"/>
  <c r="Z26" i="32" s="1"/>
  <c r="H20" i="32"/>
  <c r="U14" i="32"/>
  <c r="Y14" i="32" s="1"/>
  <c r="V14" i="32"/>
  <c r="Z14" i="32" s="1"/>
  <c r="S14" i="32"/>
  <c r="W14" i="32" s="1"/>
  <c r="T14" i="32"/>
  <c r="X14" i="32" s="1"/>
  <c r="H14" i="32"/>
  <c r="BE50" i="28"/>
  <c r="AP62" i="28"/>
  <c r="AH62" i="28"/>
  <c r="AG17" i="28"/>
  <c r="AA17" i="28"/>
  <c r="BK12" i="28"/>
  <c r="F30" i="28"/>
  <c r="S25" i="28"/>
  <c r="N67" i="28"/>
  <c r="AX17" i="28"/>
  <c r="BF17" i="28"/>
  <c r="BK23" i="28"/>
  <c r="BK24" i="28"/>
  <c r="AG61" i="28"/>
  <c r="AW17" i="28"/>
  <c r="BK52" i="28"/>
  <c r="BI17" i="28"/>
  <c r="BI30" i="28"/>
  <c r="Q13" i="28"/>
  <c r="U25" i="28"/>
  <c r="U69" i="28"/>
  <c r="L21" i="28"/>
  <c r="H21" i="28"/>
  <c r="P21" i="28"/>
  <c r="BO21" i="28"/>
  <c r="BR21" i="28" s="1"/>
  <c r="BV21" i="28" s="1"/>
  <c r="M21" i="28"/>
  <c r="J21" i="28"/>
  <c r="Q21" i="28"/>
  <c r="O21" i="28"/>
  <c r="I21" i="28"/>
  <c r="N21" i="28"/>
  <c r="K21" i="28"/>
  <c r="BJ43" i="28"/>
  <c r="F36" i="28"/>
  <c r="BJ61" i="28"/>
  <c r="F52" i="28"/>
  <c r="F61" i="28" s="1"/>
  <c r="Y41" i="28"/>
  <c r="Y40" i="28"/>
  <c r="W65" i="28"/>
  <c r="V67" i="28"/>
  <c r="L54" i="28"/>
  <c r="J54" i="28"/>
  <c r="Q54" i="28"/>
  <c r="N59" i="28"/>
  <c r="H59" i="28"/>
  <c r="O59" i="28"/>
  <c r="L60" i="28"/>
  <c r="Q60" i="28"/>
  <c r="L55" i="28"/>
  <c r="K55" i="28"/>
  <c r="O55" i="28"/>
  <c r="Q57" i="28"/>
  <c r="J57" i="28"/>
  <c r="AY17" i="28"/>
  <c r="BK29" i="28"/>
  <c r="AZ62" i="28"/>
  <c r="AJ62" i="28"/>
  <c r="V24" i="28"/>
  <c r="Y39" i="28"/>
  <c r="V65" i="28"/>
  <c r="W67" i="28"/>
  <c r="V66" i="28"/>
  <c r="F15" i="28"/>
  <c r="BJ16" i="28"/>
  <c r="BJ72" i="28"/>
  <c r="BJ73" i="28" s="1"/>
  <c r="F71" i="28"/>
  <c r="H54" i="28"/>
  <c r="O54" i="28"/>
  <c r="M54" i="28"/>
  <c r="J59" i="28"/>
  <c r="Q59" i="28"/>
  <c r="K59" i="28"/>
  <c r="H60" i="28"/>
  <c r="M60" i="28"/>
  <c r="P57" i="28"/>
  <c r="M57" i="28"/>
  <c r="F25" i="28"/>
  <c r="AI17" i="28"/>
  <c r="BK22" i="28"/>
  <c r="BK40" i="28"/>
  <c r="BI43" i="28"/>
  <c r="BI62" i="28" s="1"/>
  <c r="BK42" i="28"/>
  <c r="AO61" i="28"/>
  <c r="AW61" i="28"/>
  <c r="BE61" i="28"/>
  <c r="W41" i="28"/>
  <c r="V41" i="28"/>
  <c r="BD62" i="28"/>
  <c r="AN62" i="28"/>
  <c r="BB62" i="28"/>
  <c r="X39" i="28"/>
  <c r="W40" i="28"/>
  <c r="X47" i="28"/>
  <c r="W66" i="28"/>
  <c r="K54" i="28"/>
  <c r="M59" i="28"/>
  <c r="I47" i="28"/>
  <c r="L47" i="28"/>
  <c r="N57" i="28"/>
  <c r="I57" i="28"/>
  <c r="G12" i="28"/>
  <c r="H12" i="28" s="1"/>
  <c r="BK47" i="28"/>
  <c r="BU14" i="28"/>
  <c r="BU17" i="28" s="1"/>
  <c r="AC31" i="28"/>
  <c r="T17" i="28"/>
  <c r="S17" i="28"/>
  <c r="N29" i="28"/>
  <c r="J29" i="28"/>
  <c r="O29" i="28"/>
  <c r="M29" i="28"/>
  <c r="Q29" i="28"/>
  <c r="AF72" i="7"/>
  <c r="V29" i="7"/>
  <c r="X48" i="7"/>
  <c r="Y48" i="7"/>
  <c r="BJ57" i="7"/>
  <c r="N50" i="7"/>
  <c r="N52" i="7" s="1"/>
  <c r="P50" i="7"/>
  <c r="P52" i="7" s="1"/>
  <c r="BS50" i="7"/>
  <c r="BV50" i="7" s="1"/>
  <c r="BZ50" i="7" s="1"/>
  <c r="G52" i="7"/>
  <c r="S29" i="7"/>
  <c r="BS24" i="7"/>
  <c r="BV24" i="7" s="1"/>
  <c r="J24" i="7"/>
  <c r="N14" i="7"/>
  <c r="J11" i="7"/>
  <c r="H11" i="7"/>
  <c r="H32" i="7"/>
  <c r="BS27" i="7"/>
  <c r="BV27" i="7" s="1"/>
  <c r="O27" i="7"/>
  <c r="P37" i="7"/>
  <c r="I37" i="7"/>
  <c r="M24" i="7"/>
  <c r="O14" i="7"/>
  <c r="J14" i="7"/>
  <c r="I14" i="7"/>
  <c r="BK43" i="7"/>
  <c r="I24" i="7"/>
  <c r="I27" i="7"/>
  <c r="Q27" i="7"/>
  <c r="Q37" i="7"/>
  <c r="H37" i="7"/>
  <c r="I43" i="7"/>
  <c r="Q24" i="7"/>
  <c r="K24" i="7"/>
  <c r="P24" i="7"/>
  <c r="Q14" i="7"/>
  <c r="M21" i="7"/>
  <c r="N24" i="7"/>
  <c r="Q21" i="7"/>
  <c r="P10" i="7"/>
  <c r="O10" i="7"/>
  <c r="M10" i="7"/>
  <c r="G12" i="7"/>
  <c r="I10" i="7"/>
  <c r="I12" i="7" s="1"/>
  <c r="L10" i="7"/>
  <c r="P16" i="7"/>
  <c r="M16" i="7"/>
  <c r="K16" i="7"/>
  <c r="U48" i="34"/>
  <c r="J37" i="7"/>
  <c r="L37" i="7"/>
  <c r="L44" i="7" s="1"/>
  <c r="H42" i="7"/>
  <c r="L50" i="7"/>
  <c r="L52" i="7" s="1"/>
  <c r="K32" i="7"/>
  <c r="K34" i="7" s="1"/>
  <c r="Q32" i="7"/>
  <c r="N32" i="7"/>
  <c r="N31" i="7"/>
  <c r="T52" i="7"/>
  <c r="J31" i="7"/>
  <c r="Q31" i="7"/>
  <c r="BC63" i="7"/>
  <c r="BA63" i="7"/>
  <c r="BA69" i="7" s="1"/>
  <c r="AY63" i="7"/>
  <c r="I20" i="24"/>
  <c r="BP20" i="24"/>
  <c r="BR20" i="24" s="1"/>
  <c r="BV20" i="24" s="1"/>
  <c r="I42" i="34"/>
  <c r="O42" i="34"/>
  <c r="K42" i="34"/>
  <c r="M42" i="34"/>
  <c r="N42" i="34"/>
  <c r="P42" i="34"/>
  <c r="L42" i="34"/>
  <c r="H50" i="7"/>
  <c r="H52" i="7" s="1"/>
  <c r="M50" i="7"/>
  <c r="M52" i="7" s="1"/>
  <c r="I50" i="7"/>
  <c r="I52" i="7" s="1"/>
  <c r="O50" i="7"/>
  <c r="O52" i="7" s="1"/>
  <c r="BS32" i="7"/>
  <c r="BV32" i="7" s="1"/>
  <c r="BZ32" i="7" s="1"/>
  <c r="L32" i="7"/>
  <c r="G13" i="34"/>
  <c r="M31" i="7"/>
  <c r="O31" i="7"/>
  <c r="H31" i="7"/>
  <c r="AE63" i="7"/>
  <c r="AE69" i="7" s="1"/>
  <c r="AC63" i="7"/>
  <c r="AA63" i="7"/>
  <c r="H32" i="24"/>
  <c r="J32" i="24"/>
  <c r="BP32" i="24"/>
  <c r="BR32" i="24" s="1"/>
  <c r="BV32" i="24" s="1"/>
  <c r="H106" i="24"/>
  <c r="K106" i="24"/>
  <c r="L106" i="24"/>
  <c r="O95" i="24"/>
  <c r="P95" i="24"/>
  <c r="Q92" i="24"/>
  <c r="I92" i="24"/>
  <c r="J92" i="24"/>
  <c r="BP22" i="24"/>
  <c r="BR22" i="24" s="1"/>
  <c r="BV22" i="24" s="1"/>
  <c r="P22" i="24"/>
  <c r="M22" i="24"/>
  <c r="K22" i="24"/>
  <c r="H22" i="24"/>
  <c r="J22" i="24"/>
  <c r="M12" i="7"/>
  <c r="H20" i="24"/>
  <c r="L20" i="24"/>
  <c r="N20" i="24"/>
  <c r="K20" i="24"/>
  <c r="M20" i="24"/>
  <c r="H23" i="24"/>
  <c r="L23" i="24"/>
  <c r="N23" i="24"/>
  <c r="K23" i="24"/>
  <c r="M23" i="24"/>
  <c r="M82" i="25"/>
  <c r="L82" i="25"/>
  <c r="K82" i="25"/>
  <c r="P30" i="38"/>
  <c r="U34" i="7"/>
  <c r="Q50" i="7"/>
  <c r="Q52" i="7" s="1"/>
  <c r="J50" i="7"/>
  <c r="J52" i="7" s="1"/>
  <c r="AW63" i="7"/>
  <c r="AU63" i="7"/>
  <c r="AU69" i="7" s="1"/>
  <c r="AS63" i="7"/>
  <c r="P24" i="24"/>
  <c r="Q100" i="24"/>
  <c r="H100" i="24"/>
  <c r="J100" i="24"/>
  <c r="L29" i="24"/>
  <c r="Q55" i="24"/>
  <c r="H55" i="24"/>
  <c r="J55" i="24"/>
  <c r="K30" i="24"/>
  <c r="H30" i="24"/>
  <c r="J30" i="24"/>
  <c r="BP30" i="24"/>
  <c r="BR30" i="24" s="1"/>
  <c r="BV30" i="24" s="1"/>
  <c r="P30" i="24"/>
  <c r="M30" i="24"/>
  <c r="S32" i="25"/>
  <c r="W32" i="25" s="1"/>
  <c r="G32" i="25"/>
  <c r="O30" i="26"/>
  <c r="J30" i="26"/>
  <c r="N30" i="26"/>
  <c r="I30" i="26"/>
  <c r="Q30" i="26"/>
  <c r="BO30" i="26"/>
  <c r="BR30" i="26" s="1"/>
  <c r="BV30" i="26" s="1"/>
  <c r="P30" i="26"/>
  <c r="L30" i="26"/>
  <c r="M30" i="26"/>
  <c r="AK57" i="7"/>
  <c r="BE57" i="7"/>
  <c r="AX57" i="7"/>
  <c r="H36" i="26"/>
  <c r="L36" i="26"/>
  <c r="K36" i="26"/>
  <c r="O36" i="26"/>
  <c r="J36" i="26"/>
  <c r="N36" i="26"/>
  <c r="I36" i="26"/>
  <c r="Q36" i="26"/>
  <c r="O42" i="28"/>
  <c r="H42" i="28"/>
  <c r="J42" i="28"/>
  <c r="P42" i="28"/>
  <c r="Q42" i="28"/>
  <c r="N42" i="28"/>
  <c r="K42" i="28"/>
  <c r="M42" i="28"/>
  <c r="I56" i="28"/>
  <c r="K56" i="28"/>
  <c r="N56" i="28"/>
  <c r="P56" i="28"/>
  <c r="Q56" i="28"/>
  <c r="J56" i="28"/>
  <c r="L56" i="28"/>
  <c r="V33" i="26"/>
  <c r="AE61" i="28"/>
  <c r="BK53" i="28"/>
  <c r="J80" i="24"/>
  <c r="H80" i="24"/>
  <c r="J76" i="24"/>
  <c r="H76" i="24"/>
  <c r="J72" i="24"/>
  <c r="H72" i="24"/>
  <c r="G45" i="25"/>
  <c r="J22" i="26"/>
  <c r="L22" i="26"/>
  <c r="BO22" i="26"/>
  <c r="BR22" i="26" s="1"/>
  <c r="BV22" i="26" s="1"/>
  <c r="O22" i="26"/>
  <c r="AJ57" i="7"/>
  <c r="AJ72" i="7" s="1"/>
  <c r="AL57" i="7"/>
  <c r="AL72" i="7" s="1"/>
  <c r="AT57" i="7"/>
  <c r="AT72" i="7" s="1"/>
  <c r="U55" i="25"/>
  <c r="K13" i="28"/>
  <c r="BO39" i="28"/>
  <c r="BR39" i="28" s="1"/>
  <c r="BV39" i="28" s="1"/>
  <c r="G46" i="28"/>
  <c r="AD55" i="25"/>
  <c r="AL55" i="25"/>
  <c r="AT55" i="25"/>
  <c r="BB55" i="25"/>
  <c r="R55" i="25"/>
  <c r="BK93" i="25"/>
  <c r="BK101" i="25"/>
  <c r="BK102" i="25"/>
  <c r="W27" i="26"/>
  <c r="I60" i="28"/>
  <c r="K60" i="28"/>
  <c r="N60" i="28"/>
  <c r="P60" i="28"/>
  <c r="BG17" i="28"/>
  <c r="J55" i="28"/>
  <c r="P55" i="28"/>
  <c r="H55" i="28"/>
  <c r="Q55" i="28"/>
  <c r="BC28" i="28"/>
  <c r="BC30" i="28" s="1"/>
  <c r="BC31" i="28" s="1"/>
  <c r="AM28" i="28"/>
  <c r="AM30" i="28" s="1"/>
  <c r="AM31" i="28" s="1"/>
  <c r="BE28" i="28"/>
  <c r="BE30" i="28" s="1"/>
  <c r="BE31" i="28" s="1"/>
  <c r="AO28" i="28"/>
  <c r="AO30" i="28" s="1"/>
  <c r="G28" i="28"/>
  <c r="AY28" i="28"/>
  <c r="AY30" i="28" s="1"/>
  <c r="AY31" i="28" s="1"/>
  <c r="AI28" i="28"/>
  <c r="AI30" i="28" s="1"/>
  <c r="BA28" i="28"/>
  <c r="BA30" i="28" s="1"/>
  <c r="BA31" i="28" s="1"/>
  <c r="AK28" i="28"/>
  <c r="AK30" i="28" s="1"/>
  <c r="AK31" i="28" s="1"/>
  <c r="AU28" i="28"/>
  <c r="AU30" i="28" s="1"/>
  <c r="AE28" i="28"/>
  <c r="AW28" i="28"/>
  <c r="AW30" i="28" s="1"/>
  <c r="AW31" i="28" s="1"/>
  <c r="AG28" i="28"/>
  <c r="AG30" i="28" s="1"/>
  <c r="AG31" i="28" s="1"/>
  <c r="AM73" i="28"/>
  <c r="N24" i="34"/>
  <c r="Q24" i="34"/>
  <c r="O24" i="34"/>
  <c r="AG12" i="7"/>
  <c r="AI12" i="7"/>
  <c r="AK34" i="7"/>
  <c r="AY12" i="7"/>
  <c r="BG34" i="7"/>
  <c r="BH57" i="7"/>
  <c r="AF55" i="25"/>
  <c r="AN55" i="25"/>
  <c r="AV55" i="25"/>
  <c r="BD55" i="25"/>
  <c r="BJ33" i="26"/>
  <c r="BJ39" i="26"/>
  <c r="H13" i="28"/>
  <c r="BO37" i="28"/>
  <c r="L37" i="28"/>
  <c r="BE73" i="28"/>
  <c r="AE14" i="28"/>
  <c r="AE17" i="28" s="1"/>
  <c r="AM14" i="28"/>
  <c r="AM17" i="28" s="1"/>
  <c r="AU14" i="28"/>
  <c r="BC14" i="28"/>
  <c r="BC17" i="28" s="1"/>
  <c r="BJ14" i="28"/>
  <c r="BE17" i="28"/>
  <c r="BK27" i="28"/>
  <c r="AU61" i="28"/>
  <c r="BC61" i="28"/>
  <c r="O31" i="33"/>
  <c r="M31" i="33"/>
  <c r="O29" i="33"/>
  <c r="P29" i="33"/>
  <c r="P32" i="33" s="1"/>
  <c r="AO13" i="33"/>
  <c r="AW13" i="33"/>
  <c r="BE13" i="33"/>
  <c r="BA13" i="33"/>
  <c r="AQ13" i="33"/>
  <c r="AI13" i="33"/>
  <c r="AE13" i="33"/>
  <c r="AA13" i="33"/>
  <c r="AY13" i="33"/>
  <c r="AU13" i="33"/>
  <c r="AK13" i="33"/>
  <c r="BI13" i="33"/>
  <c r="BC13" i="33"/>
  <c r="AC13" i="33"/>
  <c r="BG13" i="33"/>
  <c r="AG13" i="33"/>
  <c r="AS13" i="33"/>
  <c r="AM13" i="33"/>
  <c r="AC30" i="33"/>
  <c r="AU30" i="33"/>
  <c r="BE30" i="33"/>
  <c r="AS30" i="33"/>
  <c r="AQ30" i="33"/>
  <c r="AY30" i="33"/>
  <c r="AE30" i="33"/>
  <c r="AO30" i="33"/>
  <c r="BI30" i="33"/>
  <c r="BG30" i="33"/>
  <c r="BC30" i="33"/>
  <c r="BA30" i="33"/>
  <c r="AM30" i="33"/>
  <c r="AI30" i="33"/>
  <c r="AW30" i="33"/>
  <c r="AK30" i="33"/>
  <c r="AG30" i="33"/>
  <c r="AA30" i="33"/>
  <c r="AC17" i="28"/>
  <c r="AP17" i="28"/>
  <c r="BG14" i="33"/>
  <c r="BC14" i="33"/>
  <c r="AS14" i="33"/>
  <c r="AM14" i="33"/>
  <c r="AG14" i="33"/>
  <c r="AC14" i="33"/>
  <c r="AY14" i="33"/>
  <c r="AO14" i="33"/>
  <c r="AW14" i="33"/>
  <c r="AU14" i="33"/>
  <c r="BE14" i="33"/>
  <c r="BA14" i="33"/>
  <c r="AQ14" i="33"/>
  <c r="AI14" i="33"/>
  <c r="AE14" i="33"/>
  <c r="AA14" i="33"/>
  <c r="AK14" i="33"/>
  <c r="BI14" i="33"/>
  <c r="G14" i="33"/>
  <c r="I14" i="33" s="1"/>
  <c r="AO31" i="33"/>
  <c r="AW31" i="33"/>
  <c r="AU31" i="33"/>
  <c r="AK31" i="33"/>
  <c r="BI31" i="33"/>
  <c r="BG31" i="33"/>
  <c r="BE31" i="33"/>
  <c r="BC31" i="33"/>
  <c r="BA31" i="33"/>
  <c r="AS31" i="33"/>
  <c r="AQ31" i="33"/>
  <c r="AM31" i="33"/>
  <c r="AI31" i="33"/>
  <c r="AG31" i="33"/>
  <c r="AA31" i="33"/>
  <c r="AC31" i="33"/>
  <c r="AY31" i="33"/>
  <c r="AE31" i="33"/>
  <c r="AK17" i="28"/>
  <c r="AC73" i="28"/>
  <c r="BD17" i="28"/>
  <c r="BJ30" i="28"/>
  <c r="BJ31" i="28" s="1"/>
  <c r="BE36" i="28"/>
  <c r="AW36" i="28"/>
  <c r="AO36" i="28"/>
  <c r="AG36" i="28"/>
  <c r="BA36" i="28"/>
  <c r="AC36" i="28"/>
  <c r="AC43" i="28" s="1"/>
  <c r="AQ36" i="28"/>
  <c r="BC36" i="28"/>
  <c r="AU36" i="28"/>
  <c r="AM36" i="28"/>
  <c r="AE36" i="28"/>
  <c r="AK36" i="28"/>
  <c r="AY36" i="28"/>
  <c r="AA36" i="28"/>
  <c r="AS36" i="28"/>
  <c r="BG36" i="28"/>
  <c r="AI36" i="28"/>
  <c r="BE41" i="28"/>
  <c r="AW41" i="28"/>
  <c r="AO41" i="28"/>
  <c r="AG41" i="28"/>
  <c r="AQ41" i="28"/>
  <c r="AA41" i="28"/>
  <c r="BC41" i="28"/>
  <c r="AU41" i="28"/>
  <c r="AM41" i="28"/>
  <c r="AE41" i="28"/>
  <c r="AY41" i="28"/>
  <c r="BA41" i="28"/>
  <c r="AS41" i="28"/>
  <c r="AK41" i="28"/>
  <c r="BG41" i="28"/>
  <c r="AI41" i="28"/>
  <c r="BK65" i="28"/>
  <c r="AI73" i="28"/>
  <c r="AO24" i="33"/>
  <c r="AW24" i="33"/>
  <c r="AY24" i="33"/>
  <c r="AU24" i="33"/>
  <c r="AK24" i="33"/>
  <c r="BI24" i="33"/>
  <c r="BG24" i="33"/>
  <c r="BE24" i="33"/>
  <c r="BC24" i="33"/>
  <c r="BA24" i="33"/>
  <c r="AS24" i="33"/>
  <c r="AQ24" i="33"/>
  <c r="AM24" i="33"/>
  <c r="AI24" i="33"/>
  <c r="AG24" i="33"/>
  <c r="AA24" i="33"/>
  <c r="AC24" i="33"/>
  <c r="BE12" i="33"/>
  <c r="BA12" i="33"/>
  <c r="AQ12" i="33"/>
  <c r="AI12" i="33"/>
  <c r="AE12" i="33"/>
  <c r="AA12" i="33"/>
  <c r="AY12" i="33"/>
  <c r="AU12" i="33"/>
  <c r="AK12" i="33"/>
  <c r="BI12" i="33"/>
  <c r="AO12" i="33"/>
  <c r="AW12" i="33"/>
  <c r="BG12" i="33"/>
  <c r="BC12" i="33"/>
  <c r="AS12" i="33"/>
  <c r="AM12" i="33"/>
  <c r="AG12" i="33"/>
  <c r="AC12" i="33"/>
  <c r="R35" i="33"/>
  <c r="AC25" i="33"/>
  <c r="AY25" i="33"/>
  <c r="BI25" i="33"/>
  <c r="BG25" i="33"/>
  <c r="BC25" i="33"/>
  <c r="BA25" i="33"/>
  <c r="AM25" i="33"/>
  <c r="AI25" i="33"/>
  <c r="AE25" i="33"/>
  <c r="AU25" i="33"/>
  <c r="AK25" i="33"/>
  <c r="AS25" i="33"/>
  <c r="AQ25" i="33"/>
  <c r="AO25" i="33"/>
  <c r="AW25" i="33"/>
  <c r="BE25" i="33"/>
  <c r="AA25" i="33"/>
  <c r="AG25" i="33"/>
  <c r="AY29" i="33"/>
  <c r="AE29" i="33"/>
  <c r="AO29" i="33"/>
  <c r="AW29" i="33"/>
  <c r="AU29" i="33"/>
  <c r="AK29" i="33"/>
  <c r="BI29" i="33"/>
  <c r="BG29" i="33"/>
  <c r="BE29" i="33"/>
  <c r="BC29" i="33"/>
  <c r="BA29" i="33"/>
  <c r="AS29" i="33"/>
  <c r="AQ29" i="33"/>
  <c r="AM29" i="33"/>
  <c r="AI29" i="33"/>
  <c r="AG29" i="33"/>
  <c r="AA29" i="33"/>
  <c r="AC29" i="33"/>
  <c r="BN62" i="28"/>
  <c r="BN74" i="28" s="1"/>
  <c r="BT62" i="28"/>
  <c r="BT74" i="28" s="1"/>
  <c r="BV49" i="38"/>
  <c r="BU71" i="25"/>
  <c r="BP88" i="25"/>
  <c r="BU111" i="25"/>
  <c r="BN42" i="26"/>
  <c r="BT42" i="26"/>
  <c r="N21" i="7"/>
  <c r="G20" i="7"/>
  <c r="BS20" i="7" s="1"/>
  <c r="BV20" i="7" s="1"/>
  <c r="S56" i="7"/>
  <c r="S57" i="7" s="1"/>
  <c r="AW20" i="33"/>
  <c r="AE20" i="33"/>
  <c r="BE20" i="33"/>
  <c r="AO20" i="33"/>
  <c r="AY20" i="33"/>
  <c r="AU20" i="33"/>
  <c r="AK20" i="33"/>
  <c r="BI20" i="33"/>
  <c r="BC20" i="33"/>
  <c r="AA20" i="33"/>
  <c r="BG20" i="33"/>
  <c r="BA20" i="33"/>
  <c r="AS20" i="33"/>
  <c r="AQ20" i="33"/>
  <c r="AM20" i="33"/>
  <c r="AI20" i="33"/>
  <c r="AG20" i="33"/>
  <c r="AC20" i="33"/>
  <c r="BF31" i="28"/>
  <c r="AX31" i="28"/>
  <c r="AP31" i="28"/>
  <c r="AH31" i="28"/>
  <c r="Z31" i="28"/>
  <c r="BF62" i="28"/>
  <c r="G33" i="37"/>
  <c r="AA13" i="37"/>
  <c r="AA38" i="37" s="1"/>
  <c r="BI13" i="37"/>
  <c r="BI38" i="37" s="1"/>
  <c r="BE13" i="37"/>
  <c r="BE38" i="37" s="1"/>
  <c r="AC13" i="37"/>
  <c r="AC38" i="37" s="1"/>
  <c r="BA13" i="37"/>
  <c r="BA38" i="37" s="1"/>
  <c r="AQ13" i="37"/>
  <c r="AQ38" i="37" s="1"/>
  <c r="AI13" i="37"/>
  <c r="AI38" i="37" s="1"/>
  <c r="BC13" i="37"/>
  <c r="BC38" i="37" s="1"/>
  <c r="AS13" i="37"/>
  <c r="AS38" i="37" s="1"/>
  <c r="AM13" i="37"/>
  <c r="AM38" i="37" s="1"/>
  <c r="AE13" i="37"/>
  <c r="AE38" i="37" s="1"/>
  <c r="BG13" i="37"/>
  <c r="BG38" i="37" s="1"/>
  <c r="BG41" i="37"/>
  <c r="AG41" i="37"/>
  <c r="BI41" i="37"/>
  <c r="G41" i="37"/>
  <c r="BC41" i="37"/>
  <c r="AS41" i="37"/>
  <c r="AM41" i="37"/>
  <c r="AE41" i="37"/>
  <c r="BE41" i="37"/>
  <c r="AC41" i="37"/>
  <c r="BA41" i="37"/>
  <c r="AQ41" i="37"/>
  <c r="AI41" i="37"/>
  <c r="AA41" i="37"/>
  <c r="BA49" i="37"/>
  <c r="AQ49" i="37"/>
  <c r="AI49" i="37"/>
  <c r="AA49" i="37"/>
  <c r="BC49" i="37"/>
  <c r="AM49" i="37"/>
  <c r="BG49" i="37"/>
  <c r="AG49" i="37"/>
  <c r="BI49" i="37"/>
  <c r="AC49" i="37"/>
  <c r="AS49" i="37"/>
  <c r="AE49" i="37"/>
  <c r="BI50" i="37"/>
  <c r="AC50" i="37"/>
  <c r="BG50" i="37"/>
  <c r="BA50" i="37"/>
  <c r="AQ50" i="37"/>
  <c r="AI50" i="37"/>
  <c r="AA50" i="37"/>
  <c r="G50" i="37"/>
  <c r="Q50" i="37" s="1"/>
  <c r="BC50" i="37"/>
  <c r="AS50" i="37"/>
  <c r="AM50" i="37"/>
  <c r="AE50" i="37"/>
  <c r="AG50" i="37"/>
  <c r="BU46" i="25"/>
  <c r="BN55" i="25"/>
  <c r="BR66" i="25"/>
  <c r="BV59" i="25"/>
  <c r="BV61" i="25"/>
  <c r="BV63" i="25"/>
  <c r="BV65" i="25"/>
  <c r="BV68" i="25"/>
  <c r="BV70" i="25"/>
  <c r="BR78" i="25"/>
  <c r="BQ88" i="25"/>
  <c r="BS42" i="26"/>
  <c r="AE57" i="7"/>
  <c r="BS21" i="7"/>
  <c r="BV21" i="7" s="1"/>
  <c r="BG81" i="7"/>
  <c r="G44" i="37"/>
  <c r="BC44" i="37"/>
  <c r="AS44" i="37"/>
  <c r="AM44" i="37"/>
  <c r="AE44" i="37"/>
  <c r="BA44" i="37"/>
  <c r="BI44" i="37"/>
  <c r="BE44" i="37"/>
  <c r="AC44" i="37"/>
  <c r="AI44" i="37"/>
  <c r="BG44" i="37"/>
  <c r="AG44" i="37"/>
  <c r="AQ44" i="37"/>
  <c r="AA44" i="37"/>
  <c r="BN88" i="25"/>
  <c r="BT88" i="25"/>
  <c r="BQ42" i="26"/>
  <c r="BU31" i="28"/>
  <c r="BS62" i="28"/>
  <c r="BV37" i="38"/>
  <c r="BR87" i="25"/>
  <c r="BO88" i="25"/>
  <c r="BR106" i="25"/>
  <c r="BV13" i="26"/>
  <c r="AC12" i="7"/>
  <c r="J21" i="7"/>
  <c r="K21" i="7"/>
  <c r="BC40" i="37"/>
  <c r="AS40" i="37"/>
  <c r="AM40" i="37"/>
  <c r="AE40" i="37"/>
  <c r="AQ40" i="37"/>
  <c r="AI40" i="37"/>
  <c r="AA40" i="37"/>
  <c r="BI40" i="37"/>
  <c r="BE40" i="37"/>
  <c r="AC40" i="37"/>
  <c r="BA40" i="37"/>
  <c r="BG40" i="37"/>
  <c r="AG40" i="37"/>
  <c r="AO21" i="33"/>
  <c r="BI21" i="33"/>
  <c r="BG21" i="33"/>
  <c r="BE21" i="33"/>
  <c r="BC21" i="33"/>
  <c r="BA21" i="33"/>
  <c r="AS21" i="33"/>
  <c r="AQ21" i="33"/>
  <c r="AM21" i="33"/>
  <c r="AI21" i="33"/>
  <c r="AG21" i="33"/>
  <c r="AA21" i="33"/>
  <c r="AW21" i="33"/>
  <c r="AC21" i="33"/>
  <c r="AY21" i="33"/>
  <c r="AU21" i="33"/>
  <c r="AK21" i="33"/>
  <c r="AE21" i="33"/>
  <c r="BH31" i="28"/>
  <c r="BH74" i="28" s="1"/>
  <c r="AZ31" i="28"/>
  <c r="AR31" i="28"/>
  <c r="AR74" i="28" s="1"/>
  <c r="AJ31" i="28"/>
  <c r="AB31" i="28"/>
  <c r="R11" i="38"/>
  <c r="M11" i="38"/>
  <c r="N11" i="38"/>
  <c r="BJ11" i="38"/>
  <c r="BF11" i="38"/>
  <c r="BB11" i="38"/>
  <c r="AX11" i="38"/>
  <c r="AT11" i="38"/>
  <c r="AP11" i="38"/>
  <c r="AL11" i="38"/>
  <c r="AH11" i="38"/>
  <c r="AD11" i="38"/>
  <c r="BH11" i="38"/>
  <c r="BD11" i="38"/>
  <c r="AZ11" i="38"/>
  <c r="AV11" i="38"/>
  <c r="AR11" i="38"/>
  <c r="AN11" i="38"/>
  <c r="AJ11" i="38"/>
  <c r="AF11" i="38"/>
  <c r="AB11" i="38"/>
  <c r="BJ23" i="38"/>
  <c r="BF23" i="38"/>
  <c r="BB23" i="38"/>
  <c r="AX23" i="38"/>
  <c r="AT23" i="38"/>
  <c r="AP23" i="38"/>
  <c r="AL23" i="38"/>
  <c r="AH23" i="38"/>
  <c r="AD23" i="38"/>
  <c r="BH23" i="38"/>
  <c r="BD23" i="38"/>
  <c r="AZ23" i="38"/>
  <c r="AV23" i="38"/>
  <c r="AR23" i="38"/>
  <c r="AN23" i="38"/>
  <c r="AJ23" i="38"/>
  <c r="AF23" i="38"/>
  <c r="AB23" i="38"/>
  <c r="O27" i="38"/>
  <c r="K27" i="38"/>
  <c r="BJ47" i="38"/>
  <c r="BF47" i="38"/>
  <c r="BB47" i="38"/>
  <c r="AX47" i="38"/>
  <c r="AT47" i="38"/>
  <c r="AP47" i="38"/>
  <c r="AL47" i="38"/>
  <c r="AH47" i="38"/>
  <c r="AD47" i="38"/>
  <c r="BH47" i="38"/>
  <c r="BD47" i="38"/>
  <c r="AZ47" i="38"/>
  <c r="AV47" i="38"/>
  <c r="AR47" i="38"/>
  <c r="AN47" i="38"/>
  <c r="AJ47" i="38"/>
  <c r="AF47" i="38"/>
  <c r="AB47" i="38"/>
  <c r="BH16" i="38"/>
  <c r="BD16" i="38"/>
  <c r="AZ16" i="38"/>
  <c r="AV16" i="38"/>
  <c r="AR16" i="38"/>
  <c r="AN16" i="38"/>
  <c r="AJ16" i="38"/>
  <c r="AF16" i="38"/>
  <c r="AB16" i="38"/>
  <c r="BJ16" i="38"/>
  <c r="BF16" i="38"/>
  <c r="BB16" i="38"/>
  <c r="AX16" i="38"/>
  <c r="AT16" i="38"/>
  <c r="AP16" i="38"/>
  <c r="AL16" i="38"/>
  <c r="AH16" i="38"/>
  <c r="AD16" i="38"/>
  <c r="BK25" i="38"/>
  <c r="G22" i="38"/>
  <c r="H22" i="38" s="1"/>
  <c r="AB46" i="38"/>
  <c r="BJ46" i="38"/>
  <c r="BF46" i="38"/>
  <c r="BB46" i="38"/>
  <c r="AX46" i="38"/>
  <c r="AT46" i="38"/>
  <c r="AP46" i="38"/>
  <c r="AL46" i="38"/>
  <c r="AH46" i="38"/>
  <c r="AD46" i="38"/>
  <c r="BH46" i="38"/>
  <c r="BD46" i="38"/>
  <c r="AV46" i="38"/>
  <c r="AR46" i="38"/>
  <c r="AN46" i="38"/>
  <c r="AJ46" i="38"/>
  <c r="AF46" i="38"/>
  <c r="BJ12" i="38"/>
  <c r="BF12" i="38"/>
  <c r="BB12" i="38"/>
  <c r="AX12" i="38"/>
  <c r="AT12" i="38"/>
  <c r="AP12" i="38"/>
  <c r="AL12" i="38"/>
  <c r="AH12" i="38"/>
  <c r="AD12" i="38"/>
  <c r="BH12" i="38"/>
  <c r="BD12" i="38"/>
  <c r="AZ12" i="38"/>
  <c r="AV12" i="38"/>
  <c r="AR12" i="38"/>
  <c r="AN12" i="38"/>
  <c r="AJ12" i="38"/>
  <c r="AF12" i="38"/>
  <c r="AB12" i="38"/>
  <c r="AB19" i="38"/>
  <c r="BH19" i="38"/>
  <c r="BD19" i="38"/>
  <c r="AZ19" i="38"/>
  <c r="AV19" i="38"/>
  <c r="AR19" i="38"/>
  <c r="AN19" i="38"/>
  <c r="AJ19" i="38"/>
  <c r="BJ19" i="38"/>
  <c r="BF19" i="38"/>
  <c r="BB19" i="38"/>
  <c r="AX19" i="38"/>
  <c r="AT19" i="38"/>
  <c r="AP19" i="38"/>
  <c r="AL19" i="38"/>
  <c r="AH19" i="38"/>
  <c r="AD19" i="38"/>
  <c r="BJ22" i="38"/>
  <c r="BF22" i="38"/>
  <c r="BB22" i="38"/>
  <c r="AX22" i="38"/>
  <c r="AT22" i="38"/>
  <c r="AP22" i="38"/>
  <c r="AL22" i="38"/>
  <c r="AH22" i="38"/>
  <c r="AD22" i="38"/>
  <c r="AB22" i="38"/>
  <c r="BH22" i="38"/>
  <c r="BD22" i="38"/>
  <c r="AZ22" i="38"/>
  <c r="AV22" i="38"/>
  <c r="AR22" i="38"/>
  <c r="AN22" i="38"/>
  <c r="AN25" i="38" s="1"/>
  <c r="AJ22" i="38"/>
  <c r="AF22" i="38"/>
  <c r="BH29" i="38"/>
  <c r="BH37" i="38" s="1"/>
  <c r="BD29" i="38"/>
  <c r="BD37" i="38" s="1"/>
  <c r="AZ29" i="38"/>
  <c r="AZ37" i="38" s="1"/>
  <c r="AV29" i="38"/>
  <c r="AV37" i="38" s="1"/>
  <c r="AR29" i="38"/>
  <c r="AR37" i="38" s="1"/>
  <c r="AN29" i="38"/>
  <c r="AN37" i="38" s="1"/>
  <c r="AJ29" i="38"/>
  <c r="AJ37" i="38" s="1"/>
  <c r="AF29" i="38"/>
  <c r="AF37" i="38" s="1"/>
  <c r="AB29" i="38"/>
  <c r="BJ29" i="38"/>
  <c r="BJ37" i="38" s="1"/>
  <c r="BF29" i="38"/>
  <c r="BF37" i="38" s="1"/>
  <c r="BB29" i="38"/>
  <c r="BB37" i="38" s="1"/>
  <c r="AX29" i="38"/>
  <c r="AX37" i="38" s="1"/>
  <c r="AT29" i="38"/>
  <c r="AT37" i="38" s="1"/>
  <c r="AP29" i="38"/>
  <c r="AP37" i="38" s="1"/>
  <c r="AL29" i="38"/>
  <c r="AL37" i="38" s="1"/>
  <c r="AH29" i="38"/>
  <c r="AH37" i="38" s="1"/>
  <c r="AD29" i="38"/>
  <c r="AD37" i="38" s="1"/>
  <c r="BH45" i="38"/>
  <c r="BD45" i="38"/>
  <c r="AZ45" i="38"/>
  <c r="AV45" i="38"/>
  <c r="AR45" i="38"/>
  <c r="AN45" i="38"/>
  <c r="AJ45" i="38"/>
  <c r="AF45" i="38"/>
  <c r="AB45" i="38"/>
  <c r="BJ45" i="38"/>
  <c r="BF45" i="38"/>
  <c r="BB45" i="38"/>
  <c r="AX45" i="38"/>
  <c r="AT45" i="38"/>
  <c r="AP45" i="38"/>
  <c r="AL45" i="38"/>
  <c r="AH45" i="38"/>
  <c r="AD45" i="38"/>
  <c r="G23" i="38"/>
  <c r="V23" i="38" s="1"/>
  <c r="Z23" i="38" s="1"/>
  <c r="G15" i="38"/>
  <c r="H15" i="38" s="1"/>
  <c r="I15" i="38" s="1"/>
  <c r="BK20" i="38"/>
  <c r="M27" i="38"/>
  <c r="J27" i="38"/>
  <c r="Q27" i="38"/>
  <c r="BO27" i="38"/>
  <c r="BS27" i="38" s="1"/>
  <c r="BW27" i="38" s="1"/>
  <c r="L27" i="38"/>
  <c r="N27" i="38"/>
  <c r="P27" i="38"/>
  <c r="G32" i="38"/>
  <c r="H32" i="38" s="1"/>
  <c r="BK37" i="38"/>
  <c r="Q121" i="32"/>
  <c r="BW46" i="32"/>
  <c r="AA136" i="32"/>
  <c r="Y15" i="37"/>
  <c r="X15" i="37"/>
  <c r="W15" i="37"/>
  <c r="W14" i="37"/>
  <c r="X14" i="37"/>
  <c r="Y14" i="37"/>
  <c r="P25" i="37"/>
  <c r="BN25" i="37"/>
  <c r="BR25" i="37" s="1"/>
  <c r="BV25" i="37" s="1"/>
  <c r="H25" i="37"/>
  <c r="I25" i="37"/>
  <c r="O42" i="37"/>
  <c r="P42" i="37"/>
  <c r="J42" i="37"/>
  <c r="N42" i="37"/>
  <c r="H42" i="37"/>
  <c r="L42" i="37"/>
  <c r="M42" i="37"/>
  <c r="Q42" i="37"/>
  <c r="K42" i="37"/>
  <c r="BN42" i="37"/>
  <c r="BR42" i="37" s="1"/>
  <c r="BV42" i="37" s="1"/>
  <c r="I42" i="37"/>
  <c r="I40" i="37"/>
  <c r="K40" i="37"/>
  <c r="P23" i="37"/>
  <c r="H23" i="37"/>
  <c r="BN23" i="37"/>
  <c r="BR23" i="37" s="1"/>
  <c r="BV23" i="37" s="1"/>
  <c r="I23" i="37"/>
  <c r="BN20" i="37"/>
  <c r="BR20" i="37" s="1"/>
  <c r="BV20" i="37" s="1"/>
  <c r="I20" i="37"/>
  <c r="H20" i="37"/>
  <c r="P20" i="37"/>
  <c r="BN35" i="37"/>
  <c r="BR35" i="37" s="1"/>
  <c r="BV35" i="37" s="1"/>
  <c r="H35" i="37"/>
  <c r="I35" i="37"/>
  <c r="P35" i="37"/>
  <c r="G51" i="38"/>
  <c r="H51" i="38" s="1"/>
  <c r="BK52" i="38"/>
  <c r="BL52" i="38"/>
  <c r="AA53" i="38"/>
  <c r="BK49" i="38"/>
  <c r="G44" i="38"/>
  <c r="G39" i="38"/>
  <c r="G12" i="38"/>
  <c r="BK13" i="38"/>
  <c r="L30" i="38"/>
  <c r="BL36" i="38"/>
  <c r="H18" i="38"/>
  <c r="I18" i="38" s="1"/>
  <c r="T16" i="38"/>
  <c r="BJ52" i="25"/>
  <c r="BJ55" i="25" s="1"/>
  <c r="BK75" i="25"/>
  <c r="BK77" i="25"/>
  <c r="P24" i="38"/>
  <c r="M24" i="38"/>
  <c r="L24" i="38"/>
  <c r="K24" i="38"/>
  <c r="BO24" i="38"/>
  <c r="BS24" i="38" s="1"/>
  <c r="BW24" i="38" s="1"/>
  <c r="N24" i="38"/>
  <c r="R24" i="38"/>
  <c r="Q24" i="38"/>
  <c r="J24" i="38"/>
  <c r="BO33" i="38"/>
  <c r="BS33" i="38" s="1"/>
  <c r="BW33" i="38" s="1"/>
  <c r="M33" i="38"/>
  <c r="I11" i="38"/>
  <c r="L11" i="38"/>
  <c r="Q11" i="38"/>
  <c r="K11" i="38"/>
  <c r="J11" i="38"/>
  <c r="P11" i="38"/>
  <c r="AE18" i="34"/>
  <c r="AC18" i="34"/>
  <c r="AA18" i="34"/>
  <c r="BE18" i="34"/>
  <c r="AK18" i="34"/>
  <c r="BI18" i="34"/>
  <c r="BG18" i="34"/>
  <c r="BC18" i="34"/>
  <c r="BA18" i="34"/>
  <c r="AY18" i="34"/>
  <c r="AW18" i="34"/>
  <c r="AU18" i="34"/>
  <c r="AS18" i="34"/>
  <c r="AQ18" i="34"/>
  <c r="AO18" i="34"/>
  <c r="AM18" i="34"/>
  <c r="AI18" i="34"/>
  <c r="AG18" i="34"/>
  <c r="BI25" i="34"/>
  <c r="BG25" i="34"/>
  <c r="BC25" i="34"/>
  <c r="BA25" i="34"/>
  <c r="AY25" i="34"/>
  <c r="AW25" i="34"/>
  <c r="AU25" i="34"/>
  <c r="AS25" i="34"/>
  <c r="AQ25" i="34"/>
  <c r="AO25" i="34"/>
  <c r="AM25" i="34"/>
  <c r="AI25" i="34"/>
  <c r="AG25" i="34"/>
  <c r="AE25" i="34"/>
  <c r="AC25" i="34"/>
  <c r="AA25" i="34"/>
  <c r="BE25" i="34"/>
  <c r="AK25" i="34"/>
  <c r="BI38" i="34"/>
  <c r="BG38" i="34"/>
  <c r="BC38" i="34"/>
  <c r="BA38" i="34"/>
  <c r="AY38" i="34"/>
  <c r="AW38" i="34"/>
  <c r="AU38" i="34"/>
  <c r="AS38" i="34"/>
  <c r="AQ38" i="34"/>
  <c r="AO38" i="34"/>
  <c r="AM38" i="34"/>
  <c r="AI38" i="34"/>
  <c r="AG38" i="34"/>
  <c r="AE38" i="34"/>
  <c r="AC38" i="34"/>
  <c r="AA38" i="34"/>
  <c r="BE38" i="34"/>
  <c r="AK38" i="34"/>
  <c r="BI42" i="34"/>
  <c r="BG42" i="34"/>
  <c r="BC42" i="34"/>
  <c r="BA42" i="34"/>
  <c r="AY42" i="34"/>
  <c r="AW42" i="34"/>
  <c r="AU42" i="34"/>
  <c r="AS42" i="34"/>
  <c r="AQ42" i="34"/>
  <c r="AO42" i="34"/>
  <c r="AM42" i="34"/>
  <c r="AI42" i="34"/>
  <c r="AG42" i="34"/>
  <c r="AE42" i="34"/>
  <c r="AC42" i="34"/>
  <c r="AA42" i="34"/>
  <c r="BE42" i="34"/>
  <c r="AK42" i="34"/>
  <c r="BI48" i="34"/>
  <c r="BI49" i="34" s="1"/>
  <c r="BG48" i="34"/>
  <c r="BG49" i="34" s="1"/>
  <c r="BC48" i="34"/>
  <c r="BC49" i="34" s="1"/>
  <c r="BA48" i="34"/>
  <c r="BA49" i="34" s="1"/>
  <c r="AY48" i="34"/>
  <c r="AY49" i="34" s="1"/>
  <c r="AW48" i="34"/>
  <c r="AW49" i="34" s="1"/>
  <c r="AU48" i="34"/>
  <c r="AU49" i="34" s="1"/>
  <c r="AS48" i="34"/>
  <c r="AS49" i="34" s="1"/>
  <c r="AQ48" i="34"/>
  <c r="AQ49" i="34" s="1"/>
  <c r="AO48" i="34"/>
  <c r="AO49" i="34" s="1"/>
  <c r="AM48" i="34"/>
  <c r="AM49" i="34" s="1"/>
  <c r="AI48" i="34"/>
  <c r="AI49" i="34" s="1"/>
  <c r="AG48" i="34"/>
  <c r="AG49" i="34" s="1"/>
  <c r="AE48" i="34"/>
  <c r="AE49" i="34" s="1"/>
  <c r="AC48" i="34"/>
  <c r="AC49" i="34" s="1"/>
  <c r="AA48" i="34"/>
  <c r="BE48" i="34"/>
  <c r="BE49" i="34" s="1"/>
  <c r="AK48" i="34"/>
  <c r="AK49" i="34" s="1"/>
  <c r="BG17" i="34"/>
  <c r="BC17" i="34"/>
  <c r="BA17" i="34"/>
  <c r="AY17" i="34"/>
  <c r="AW17" i="34"/>
  <c r="AU17" i="34"/>
  <c r="AS17" i="34"/>
  <c r="AQ17" i="34"/>
  <c r="AO17" i="34"/>
  <c r="AM17" i="34"/>
  <c r="AI17" i="34"/>
  <c r="AG17" i="34"/>
  <c r="AE17" i="34"/>
  <c r="AC17" i="34"/>
  <c r="AA17" i="34"/>
  <c r="BE17" i="34"/>
  <c r="AK17" i="34"/>
  <c r="BI17" i="34"/>
  <c r="BG21" i="34"/>
  <c r="BC21" i="34"/>
  <c r="BA21" i="34"/>
  <c r="AY21" i="34"/>
  <c r="AW21" i="34"/>
  <c r="AU21" i="34"/>
  <c r="AS21" i="34"/>
  <c r="AQ21" i="34"/>
  <c r="AO21" i="34"/>
  <c r="AM21" i="34"/>
  <c r="AI21" i="34"/>
  <c r="AG21" i="34"/>
  <c r="AE21" i="34"/>
  <c r="AC21" i="34"/>
  <c r="AA21" i="34"/>
  <c r="BE21" i="34"/>
  <c r="AK21" i="34"/>
  <c r="BI21" i="34"/>
  <c r="BE24" i="34"/>
  <c r="AK24" i="34"/>
  <c r="BI24" i="34"/>
  <c r="BG24" i="34"/>
  <c r="BC24" i="34"/>
  <c r="BA24" i="34"/>
  <c r="AY24" i="34"/>
  <c r="AW24" i="34"/>
  <c r="AU24" i="34"/>
  <c r="AS24" i="34"/>
  <c r="AQ24" i="34"/>
  <c r="AO24" i="34"/>
  <c r="AM24" i="34"/>
  <c r="AI24" i="34"/>
  <c r="AG24" i="34"/>
  <c r="AE24" i="34"/>
  <c r="AC24" i="34"/>
  <c r="AA24" i="34"/>
  <c r="BE41" i="34"/>
  <c r="AK41" i="34"/>
  <c r="BI41" i="34"/>
  <c r="BG41" i="34"/>
  <c r="BC41" i="34"/>
  <c r="BA41" i="34"/>
  <c r="AY41" i="34"/>
  <c r="AW41" i="34"/>
  <c r="AU41" i="34"/>
  <c r="AS41" i="34"/>
  <c r="AQ41" i="34"/>
  <c r="AO41" i="34"/>
  <c r="AM41" i="34"/>
  <c r="AI41" i="34"/>
  <c r="AG41" i="34"/>
  <c r="AE41" i="34"/>
  <c r="AC41" i="34"/>
  <c r="AA41" i="34"/>
  <c r="BG26" i="34"/>
  <c r="BC26" i="34"/>
  <c r="BA26" i="34"/>
  <c r="AY26" i="34"/>
  <c r="AW26" i="34"/>
  <c r="AU26" i="34"/>
  <c r="AS26" i="34"/>
  <c r="AQ26" i="34"/>
  <c r="AO26" i="34"/>
  <c r="AM26" i="34"/>
  <c r="AI26" i="34"/>
  <c r="AG26" i="34"/>
  <c r="AE26" i="34"/>
  <c r="AC26" i="34"/>
  <c r="AA26" i="34"/>
  <c r="BE26" i="34"/>
  <c r="AK26" i="34"/>
  <c r="BI26" i="34"/>
  <c r="BI20" i="34"/>
  <c r="BG20" i="34"/>
  <c r="BC20" i="34"/>
  <c r="BA20" i="34"/>
  <c r="AY20" i="34"/>
  <c r="AW20" i="34"/>
  <c r="AU20" i="34"/>
  <c r="AS20" i="34"/>
  <c r="AQ20" i="34"/>
  <c r="AO20" i="34"/>
  <c r="AM20" i="34"/>
  <c r="AI20" i="34"/>
  <c r="AG20" i="34"/>
  <c r="AE20" i="34"/>
  <c r="AC20" i="34"/>
  <c r="AA20" i="34"/>
  <c r="BE20" i="34"/>
  <c r="AK20" i="34"/>
  <c r="BE29" i="34"/>
  <c r="AK29" i="34"/>
  <c r="BI29" i="34"/>
  <c r="BG29" i="34"/>
  <c r="BC29" i="34"/>
  <c r="BA29" i="34"/>
  <c r="AY29" i="34"/>
  <c r="AW29" i="34"/>
  <c r="AU29" i="34"/>
  <c r="AS29" i="34"/>
  <c r="AQ29" i="34"/>
  <c r="AO29" i="34"/>
  <c r="AM29" i="34"/>
  <c r="AI29" i="34"/>
  <c r="AG29" i="34"/>
  <c r="AE29" i="34"/>
  <c r="AC29" i="34"/>
  <c r="AA29" i="34"/>
  <c r="AE40" i="34"/>
  <c r="AC40" i="34"/>
  <c r="AA40" i="34"/>
  <c r="BE40" i="34"/>
  <c r="AK40" i="34"/>
  <c r="BI40" i="34"/>
  <c r="BG40" i="34"/>
  <c r="BC40" i="34"/>
  <c r="BA40" i="34"/>
  <c r="AY40" i="34"/>
  <c r="AW40" i="34"/>
  <c r="AU40" i="34"/>
  <c r="AS40" i="34"/>
  <c r="AQ40" i="34"/>
  <c r="AO40" i="34"/>
  <c r="AM40" i="34"/>
  <c r="AI40" i="34"/>
  <c r="AG40" i="34"/>
  <c r="BE19" i="34"/>
  <c r="AK19" i="34"/>
  <c r="BI19" i="34"/>
  <c r="BG19" i="34"/>
  <c r="BC19" i="34"/>
  <c r="BA19" i="34"/>
  <c r="AY19" i="34"/>
  <c r="AW19" i="34"/>
  <c r="AU19" i="34"/>
  <c r="AS19" i="34"/>
  <c r="AQ19" i="34"/>
  <c r="AO19" i="34"/>
  <c r="AM19" i="34"/>
  <c r="AI19" i="34"/>
  <c r="AG19" i="34"/>
  <c r="AE19" i="34"/>
  <c r="AC19" i="34"/>
  <c r="AA19" i="34"/>
  <c r="AE33" i="34"/>
  <c r="AE36" i="34" s="1"/>
  <c r="AC33" i="34"/>
  <c r="AA33" i="34"/>
  <c r="AA36" i="34" s="1"/>
  <c r="BE33" i="34"/>
  <c r="AK33" i="34"/>
  <c r="AK36" i="34" s="1"/>
  <c r="BI33" i="34"/>
  <c r="BG33" i="34"/>
  <c r="BG36" i="34" s="1"/>
  <c r="BC33" i="34"/>
  <c r="BA33" i="34"/>
  <c r="BA36" i="34" s="1"/>
  <c r="AY33" i="34"/>
  <c r="AW33" i="34"/>
  <c r="AU33" i="34"/>
  <c r="AS33" i="34"/>
  <c r="AS36" i="34" s="1"/>
  <c r="AQ33" i="34"/>
  <c r="AQ36" i="34" s="1"/>
  <c r="AO33" i="34"/>
  <c r="AM33" i="34"/>
  <c r="AM36" i="34" s="1"/>
  <c r="AI33" i="34"/>
  <c r="AI36" i="34" s="1"/>
  <c r="AG33" i="34"/>
  <c r="AG36" i="34" s="1"/>
  <c r="BG39" i="34"/>
  <c r="BC39" i="34"/>
  <c r="BA39" i="34"/>
  <c r="AY39" i="34"/>
  <c r="AW39" i="34"/>
  <c r="AU39" i="34"/>
  <c r="AS39" i="34"/>
  <c r="AQ39" i="34"/>
  <c r="AO39" i="34"/>
  <c r="AM39" i="34"/>
  <c r="AI39" i="34"/>
  <c r="AG39" i="34"/>
  <c r="AE39" i="34"/>
  <c r="AC39" i="34"/>
  <c r="AA39" i="34"/>
  <c r="BE39" i="34"/>
  <c r="AK39" i="34"/>
  <c r="BI39" i="34"/>
  <c r="AE45" i="34"/>
  <c r="AC45" i="34"/>
  <c r="AA45" i="34"/>
  <c r="BE45" i="34"/>
  <c r="AK45" i="34"/>
  <c r="BI45" i="34"/>
  <c r="BG45" i="34"/>
  <c r="BC45" i="34"/>
  <c r="BA45" i="34"/>
  <c r="AY45" i="34"/>
  <c r="AW45" i="34"/>
  <c r="AU45" i="34"/>
  <c r="AS45" i="34"/>
  <c r="AQ45" i="34"/>
  <c r="AO45" i="34"/>
  <c r="AM45" i="34"/>
  <c r="AI45" i="34"/>
  <c r="AG45" i="34"/>
  <c r="BI30" i="34"/>
  <c r="BG30" i="34"/>
  <c r="BC30" i="34"/>
  <c r="BA30" i="34"/>
  <c r="AY30" i="34"/>
  <c r="AW30" i="34"/>
  <c r="AU30" i="34"/>
  <c r="AS30" i="34"/>
  <c r="AQ30" i="34"/>
  <c r="AO30" i="34"/>
  <c r="AM30" i="34"/>
  <c r="AI30" i="34"/>
  <c r="AG30" i="34"/>
  <c r="AE30" i="34"/>
  <c r="AC30" i="34"/>
  <c r="AA30" i="34"/>
  <c r="BE30" i="34"/>
  <c r="AK30" i="34"/>
  <c r="AK46" i="34"/>
  <c r="BI46" i="34"/>
  <c r="BG46" i="34"/>
  <c r="BC46" i="34"/>
  <c r="BA46" i="34"/>
  <c r="AY46" i="34"/>
  <c r="AW46" i="34"/>
  <c r="AS46" i="34"/>
  <c r="AQ46" i="34"/>
  <c r="AO46" i="34"/>
  <c r="AM46" i="34"/>
  <c r="AI46" i="34"/>
  <c r="AG46" i="34"/>
  <c r="AA46" i="34"/>
  <c r="G17" i="34"/>
  <c r="O17" i="34" s="1"/>
  <c r="L13" i="34"/>
  <c r="J12" i="34"/>
  <c r="Q12" i="34"/>
  <c r="M12" i="34"/>
  <c r="P12" i="34"/>
  <c r="N12" i="34"/>
  <c r="H12" i="34"/>
  <c r="O12" i="34"/>
  <c r="I12" i="34"/>
  <c r="L12" i="34"/>
  <c r="G11" i="34"/>
  <c r="G15" i="34" s="1"/>
  <c r="S29" i="34"/>
  <c r="F47" i="34"/>
  <c r="U46" i="34"/>
  <c r="T46" i="34"/>
  <c r="K12" i="34"/>
  <c r="BO12" i="34"/>
  <c r="I29" i="33"/>
  <c r="L29" i="33"/>
  <c r="N29" i="33"/>
  <c r="N32" i="33" s="1"/>
  <c r="H29" i="33"/>
  <c r="P24" i="33"/>
  <c r="G26" i="33"/>
  <c r="O25" i="33"/>
  <c r="P25" i="33"/>
  <c r="M25" i="33"/>
  <c r="N25" i="33"/>
  <c r="BO25" i="33"/>
  <c r="I25" i="33"/>
  <c r="BP15" i="33"/>
  <c r="BR15" i="33" s="1"/>
  <c r="BV15" i="33" s="1"/>
  <c r="BP14" i="33"/>
  <c r="BD12" i="32"/>
  <c r="AP12" i="32"/>
  <c r="AD12" i="32"/>
  <c r="AB12" i="32"/>
  <c r="BF12" i="32"/>
  <c r="BB12" i="32"/>
  <c r="AZ12" i="32"/>
  <c r="AN12" i="32"/>
  <c r="AL12" i="32"/>
  <c r="AJ12" i="32"/>
  <c r="AH12" i="32"/>
  <c r="BJ12" i="32"/>
  <c r="BH12" i="32"/>
  <c r="AX12" i="32"/>
  <c r="AV12" i="32"/>
  <c r="AT12" i="32"/>
  <c r="AF12" i="32"/>
  <c r="AR12" i="32"/>
  <c r="BB21" i="32"/>
  <c r="AN21" i="32"/>
  <c r="BJ21" i="32"/>
  <c r="BD21" i="32"/>
  <c r="AZ21" i="32"/>
  <c r="AX21" i="32"/>
  <c r="AL21" i="32"/>
  <c r="AJ21" i="32"/>
  <c r="AH21" i="32"/>
  <c r="BH21" i="32"/>
  <c r="BF21" i="32"/>
  <c r="AV21" i="32"/>
  <c r="AT21" i="32"/>
  <c r="AR21" i="32"/>
  <c r="AD21" i="32"/>
  <c r="AB21" i="32"/>
  <c r="AP21" i="32"/>
  <c r="AF21" i="32"/>
  <c r="G125" i="32"/>
  <c r="G119" i="32"/>
  <c r="G91" i="32"/>
  <c r="BH14" i="32"/>
  <c r="BF14" i="32"/>
  <c r="AV14" i="32"/>
  <c r="AT14" i="32"/>
  <c r="AR14" i="32"/>
  <c r="AD14" i="32"/>
  <c r="AP14" i="32"/>
  <c r="AB14" i="32"/>
  <c r="BB14" i="32"/>
  <c r="AN14" i="32"/>
  <c r="BJ14" i="32"/>
  <c r="BD14" i="32"/>
  <c r="AZ14" i="32"/>
  <c r="AX14" i="32"/>
  <c r="AL14" i="32"/>
  <c r="AJ14" i="32"/>
  <c r="AH14" i="32"/>
  <c r="AF14" i="32"/>
  <c r="AP20" i="32"/>
  <c r="AF20" i="32"/>
  <c r="BB20" i="32"/>
  <c r="AN20" i="32"/>
  <c r="BJ20" i="32"/>
  <c r="BD20" i="32"/>
  <c r="AZ20" i="32"/>
  <c r="AX20" i="32"/>
  <c r="AL20" i="32"/>
  <c r="AJ20" i="32"/>
  <c r="AH20" i="32"/>
  <c r="BH20" i="32"/>
  <c r="BF20" i="32"/>
  <c r="AV20" i="32"/>
  <c r="AT20" i="32"/>
  <c r="AR20" i="32"/>
  <c r="AD20" i="32"/>
  <c r="AB20" i="32"/>
  <c r="G112" i="32"/>
  <c r="G103" i="32"/>
  <c r="G101" i="32"/>
  <c r="G96" i="32"/>
  <c r="G86" i="32"/>
  <c r="BJ13" i="32"/>
  <c r="BD13" i="32"/>
  <c r="AZ13" i="32"/>
  <c r="AX13" i="32"/>
  <c r="AL13" i="32"/>
  <c r="AJ13" i="32"/>
  <c r="AH13" i="32"/>
  <c r="AF13" i="32"/>
  <c r="BH13" i="32"/>
  <c r="BF13" i="32"/>
  <c r="AV13" i="32"/>
  <c r="AT13" i="32"/>
  <c r="AR13" i="32"/>
  <c r="AD13" i="32"/>
  <c r="AP13" i="32"/>
  <c r="AB13" i="32"/>
  <c r="BB13" i="32"/>
  <c r="AN13" i="32"/>
  <c r="BJ18" i="32"/>
  <c r="BD18" i="32"/>
  <c r="AZ18" i="32"/>
  <c r="AX18" i="32"/>
  <c r="AL18" i="32"/>
  <c r="AJ18" i="32"/>
  <c r="AH18" i="32"/>
  <c r="BH18" i="32"/>
  <c r="BF18" i="32"/>
  <c r="AV18" i="32"/>
  <c r="AT18" i="32"/>
  <c r="AR18" i="32"/>
  <c r="AD18" i="32"/>
  <c r="AB18" i="32"/>
  <c r="AP18" i="32"/>
  <c r="AF18" i="32"/>
  <c r="BB18" i="32"/>
  <c r="AN18" i="32"/>
  <c r="G122" i="32"/>
  <c r="G117" i="32"/>
  <c r="G113" i="32"/>
  <c r="G99" i="32"/>
  <c r="G102" i="32"/>
  <c r="G93" i="32"/>
  <c r="G37" i="32"/>
  <c r="G12" i="32"/>
  <c r="G123" i="32"/>
  <c r="G118" i="32"/>
  <c r="G114" i="32"/>
  <c r="G104" i="32"/>
  <c r="G52" i="32"/>
  <c r="G48" i="32"/>
  <c r="G29" i="32"/>
  <c r="BQ69" i="32"/>
  <c r="BS69" i="32" s="1"/>
  <c r="BW69" i="32" s="1"/>
  <c r="BO127" i="32"/>
  <c r="BQ127" i="32"/>
  <c r="BQ111" i="32"/>
  <c r="BS111" i="32" s="1"/>
  <c r="BW111" i="32" s="1"/>
  <c r="Q111" i="32"/>
  <c r="I111" i="32"/>
  <c r="J111" i="32"/>
  <c r="J129" i="32"/>
  <c r="BQ129" i="32"/>
  <c r="I129" i="32"/>
  <c r="Q129" i="32"/>
  <c r="Y121" i="32"/>
  <c r="Y95" i="32"/>
  <c r="X95" i="32"/>
  <c r="X94" i="32"/>
  <c r="BJ46" i="25"/>
  <c r="BT15" i="25"/>
  <c r="BU15" i="25" s="1"/>
  <c r="BV15" i="25" s="1"/>
  <c r="AL62" i="28"/>
  <c r="BK39" i="28"/>
  <c r="BB17" i="28"/>
  <c r="AV17" i="28"/>
  <c r="AU17" i="28"/>
  <c r="AT17" i="28"/>
  <c r="AL17" i="28"/>
  <c r="AD17" i="28"/>
  <c r="Z17" i="28"/>
  <c r="BK13" i="28"/>
  <c r="BK14" i="28" s="1"/>
  <c r="BZ55" i="7"/>
  <c r="J17" i="7"/>
  <c r="O17" i="7"/>
  <c r="N17" i="7"/>
  <c r="I17" i="7"/>
  <c r="M17" i="7"/>
  <c r="P17" i="7"/>
  <c r="Q17" i="7"/>
  <c r="BS17" i="7"/>
  <c r="BV17" i="7" s="1"/>
  <c r="BZ17" i="7" s="1"/>
  <c r="K17" i="7"/>
  <c r="U56" i="7"/>
  <c r="U57" i="7" s="1"/>
  <c r="N23" i="7"/>
  <c r="J23" i="7"/>
  <c r="O23" i="7"/>
  <c r="Q23" i="7"/>
  <c r="M23" i="7"/>
  <c r="I23" i="7"/>
  <c r="P23" i="7"/>
  <c r="W29" i="7"/>
  <c r="BS16" i="7"/>
  <c r="BV16" i="7" s="1"/>
  <c r="BZ16" i="7" s="1"/>
  <c r="AM44" i="7"/>
  <c r="AS34" i="7"/>
  <c r="BB57" i="7"/>
  <c r="BG44" i="7"/>
  <c r="AA57" i="7"/>
  <c r="BY12" i="7"/>
  <c r="AU57" i="7"/>
  <c r="AM12" i="7"/>
  <c r="AP57" i="7"/>
  <c r="AP72" i="7" s="1"/>
  <c r="BE34" i="7"/>
  <c r="BJ34" i="7"/>
  <c r="BR57" i="7"/>
  <c r="K30" i="38"/>
  <c r="N30" i="38"/>
  <c r="O30" i="38"/>
  <c r="BO30" i="38"/>
  <c r="BN24" i="37"/>
  <c r="BR24" i="37" s="1"/>
  <c r="BV24" i="37" s="1"/>
  <c r="H24" i="37"/>
  <c r="P24" i="37"/>
  <c r="I24" i="37"/>
  <c r="J48" i="38"/>
  <c r="BO48" i="38"/>
  <c r="BS48" i="38" s="1"/>
  <c r="BW48" i="38" s="1"/>
  <c r="M28" i="38"/>
  <c r="K28" i="38"/>
  <c r="J28" i="38"/>
  <c r="O28" i="38"/>
  <c r="L28" i="38"/>
  <c r="P28" i="38"/>
  <c r="N28" i="38"/>
  <c r="P36" i="37"/>
  <c r="H36" i="37"/>
  <c r="BN36" i="37"/>
  <c r="BR36" i="37" s="1"/>
  <c r="BV36" i="37" s="1"/>
  <c r="I36" i="37"/>
  <c r="H26" i="37"/>
  <c r="I26" i="37"/>
  <c r="BN26" i="37"/>
  <c r="BR26" i="37" s="1"/>
  <c r="BV26" i="37" s="1"/>
  <c r="P26" i="37"/>
  <c r="I94" i="32"/>
  <c r="Q94" i="32"/>
  <c r="J94" i="32"/>
  <c r="BQ94" i="32"/>
  <c r="BS94" i="32" s="1"/>
  <c r="BW94" i="32" s="1"/>
  <c r="I35" i="25"/>
  <c r="P42" i="25"/>
  <c r="M42" i="25"/>
  <c r="L43" i="25"/>
  <c r="M43" i="25"/>
  <c r="N43" i="25"/>
  <c r="BP43" i="25"/>
  <c r="BR43" i="25" s="1"/>
  <c r="BV43" i="25" s="1"/>
  <c r="O43" i="25"/>
  <c r="P43" i="25"/>
  <c r="H43" i="25"/>
  <c r="I43" i="25"/>
  <c r="Q43" i="25"/>
  <c r="J43" i="25"/>
  <c r="K43" i="25"/>
  <c r="O62" i="25"/>
  <c r="K62" i="25"/>
  <c r="P62" i="25"/>
  <c r="L62" i="25"/>
  <c r="H62" i="25"/>
  <c r="Q62" i="25"/>
  <c r="M62" i="25"/>
  <c r="I62" i="25"/>
  <c r="N62" i="25"/>
  <c r="J62" i="25"/>
  <c r="O24" i="38"/>
  <c r="I24" i="38"/>
  <c r="P17" i="25"/>
  <c r="O17" i="25"/>
  <c r="I17" i="25"/>
  <c r="Q17" i="25"/>
  <c r="J17" i="25"/>
  <c r="N17" i="25"/>
  <c r="BP21" i="25"/>
  <c r="L69" i="25"/>
  <c r="H69" i="25"/>
  <c r="P69" i="25"/>
  <c r="N69" i="25"/>
  <c r="O69" i="25"/>
  <c r="J69" i="25"/>
  <c r="K11" i="7"/>
  <c r="L11" i="7"/>
  <c r="S39" i="24"/>
  <c r="W39" i="24" s="1"/>
  <c r="G39" i="24"/>
  <c r="N24" i="25"/>
  <c r="I65" i="25"/>
  <c r="K65" i="25"/>
  <c r="BS76" i="25"/>
  <c r="BU76" i="25" s="1"/>
  <c r="BV76" i="25" s="1"/>
  <c r="M76" i="25"/>
  <c r="I76" i="25"/>
  <c r="N76" i="25"/>
  <c r="J76" i="25"/>
  <c r="O76" i="25"/>
  <c r="K76" i="25"/>
  <c r="P76" i="25"/>
  <c r="L76" i="25"/>
  <c r="S17" i="25"/>
  <c r="W17" i="25" s="1"/>
  <c r="R17" i="25"/>
  <c r="V17" i="25" s="1"/>
  <c r="U17" i="25"/>
  <c r="Y17" i="25" s="1"/>
  <c r="T17" i="25"/>
  <c r="X17" i="25" s="1"/>
  <c r="G27" i="25"/>
  <c r="S27" i="25"/>
  <c r="W27" i="25" s="1"/>
  <c r="G29" i="25"/>
  <c r="X52" i="25"/>
  <c r="X55" i="25" s="1"/>
  <c r="Q51" i="25"/>
  <c r="O75" i="25"/>
  <c r="K75" i="25"/>
  <c r="P75" i="25"/>
  <c r="N75" i="25"/>
  <c r="J75" i="25"/>
  <c r="K77" i="25"/>
  <c r="I77" i="25"/>
  <c r="BS83" i="25"/>
  <c r="BU83" i="25" s="1"/>
  <c r="O83" i="25"/>
  <c r="K83" i="25"/>
  <c r="P83" i="25"/>
  <c r="L83" i="25"/>
  <c r="H83" i="25"/>
  <c r="Q83" i="25"/>
  <c r="M83" i="25"/>
  <c r="I83" i="25"/>
  <c r="N83" i="25"/>
  <c r="J83" i="25"/>
  <c r="P85" i="25"/>
  <c r="L85" i="25"/>
  <c r="H85" i="25"/>
  <c r="N85" i="25"/>
  <c r="J85" i="25"/>
  <c r="I93" i="25"/>
  <c r="BN110" i="25"/>
  <c r="BR110" i="25" s="1"/>
  <c r="BV110" i="25" s="1"/>
  <c r="Q110" i="25"/>
  <c r="M110" i="25"/>
  <c r="I110" i="25"/>
  <c r="N110" i="25"/>
  <c r="J110" i="25"/>
  <c r="O110" i="25"/>
  <c r="K110" i="25"/>
  <c r="P110" i="25"/>
  <c r="L110" i="25"/>
  <c r="H110" i="25"/>
  <c r="J13" i="26"/>
  <c r="O13" i="26"/>
  <c r="K13" i="26"/>
  <c r="P13" i="26"/>
  <c r="L13" i="26"/>
  <c r="Q13" i="26"/>
  <c r="M13" i="26"/>
  <c r="I13" i="26"/>
  <c r="N10" i="7"/>
  <c r="N12" i="7" s="1"/>
  <c r="J10" i="7"/>
  <c r="BT10" i="7"/>
  <c r="BK41" i="24"/>
  <c r="BK62" i="24"/>
  <c r="K50" i="25"/>
  <c r="Q50" i="25"/>
  <c r="N50" i="25"/>
  <c r="BS84" i="25"/>
  <c r="BU84" i="25" s="1"/>
  <c r="BV84" i="25" s="1"/>
  <c r="Q84" i="25"/>
  <c r="N84" i="25"/>
  <c r="J84" i="25"/>
  <c r="L84" i="25"/>
  <c r="P101" i="25"/>
  <c r="N101" i="25"/>
  <c r="J105" i="25"/>
  <c r="V18" i="26"/>
  <c r="X18" i="26"/>
  <c r="L31" i="26"/>
  <c r="J31" i="26"/>
  <c r="M32" i="26"/>
  <c r="L32" i="26"/>
  <c r="Q10" i="7"/>
  <c r="Q12" i="7" s="1"/>
  <c r="BK36" i="7"/>
  <c r="BK112" i="24"/>
  <c r="G30" i="25"/>
  <c r="S30" i="25"/>
  <c r="W30" i="25" s="1"/>
  <c r="T13" i="25"/>
  <c r="X13" i="25" s="1"/>
  <c r="U13" i="25"/>
  <c r="Y13" i="25" s="1"/>
  <c r="R13" i="25"/>
  <c r="V13" i="25" s="1"/>
  <c r="S13" i="25"/>
  <c r="W13" i="25" s="1"/>
  <c r="S16" i="25"/>
  <c r="W16" i="25" s="1"/>
  <c r="R16" i="25"/>
  <c r="V16" i="25" s="1"/>
  <c r="U16" i="25"/>
  <c r="Y16" i="25" s="1"/>
  <c r="T16" i="25"/>
  <c r="X16" i="25" s="1"/>
  <c r="O59" i="25"/>
  <c r="K59" i="25"/>
  <c r="P59" i="25"/>
  <c r="L59" i="25"/>
  <c r="H59" i="25"/>
  <c r="Q59" i="25"/>
  <c r="M59" i="25"/>
  <c r="I59" i="25"/>
  <c r="N59" i="25"/>
  <c r="J59" i="25"/>
  <c r="P64" i="25"/>
  <c r="I64" i="25"/>
  <c r="N70" i="25"/>
  <c r="J70" i="25"/>
  <c r="O70" i="25"/>
  <c r="K70" i="25"/>
  <c r="P70" i="25"/>
  <c r="L70" i="25"/>
  <c r="H70" i="25"/>
  <c r="Q70" i="25"/>
  <c r="M70" i="25"/>
  <c r="I70" i="25"/>
  <c r="BT95" i="25"/>
  <c r="BU95" i="25" s="1"/>
  <c r="BV95" i="25" s="1"/>
  <c r="O95" i="25"/>
  <c r="K95" i="25"/>
  <c r="P95" i="25"/>
  <c r="L95" i="25"/>
  <c r="H95" i="25"/>
  <c r="Q95" i="25"/>
  <c r="M95" i="25"/>
  <c r="I95" i="25"/>
  <c r="N95" i="25"/>
  <c r="J95" i="25"/>
  <c r="BT99" i="25"/>
  <c r="BU99" i="25" s="1"/>
  <c r="BV99" i="25" s="1"/>
  <c r="Q99" i="25"/>
  <c r="M99" i="25"/>
  <c r="I99" i="25"/>
  <c r="N99" i="25"/>
  <c r="J99" i="25"/>
  <c r="O99" i="25"/>
  <c r="K99" i="25"/>
  <c r="P99" i="25"/>
  <c r="L99" i="25"/>
  <c r="H99" i="25"/>
  <c r="J38" i="26"/>
  <c r="BK33" i="7"/>
  <c r="G28" i="25"/>
  <c r="S78" i="25"/>
  <c r="R78" i="25"/>
  <c r="U78" i="25"/>
  <c r="P50" i="37"/>
  <c r="T51" i="37"/>
  <c r="BK25" i="24"/>
  <c r="G85" i="24"/>
  <c r="G81" i="25"/>
  <c r="H32" i="37"/>
  <c r="BN32" i="37"/>
  <c r="BR32" i="37" s="1"/>
  <c r="BV32" i="37" s="1"/>
  <c r="I32" i="37"/>
  <c r="P32" i="37"/>
  <c r="G41" i="7"/>
  <c r="BS41" i="7" s="1"/>
  <c r="K37" i="28"/>
  <c r="AA73" i="28"/>
  <c r="L26" i="26"/>
  <c r="P26" i="26"/>
  <c r="K35" i="26"/>
  <c r="AI57" i="7"/>
  <c r="J22" i="7"/>
  <c r="O22" i="7"/>
  <c r="Q22" i="7"/>
  <c r="M22" i="7"/>
  <c r="H21" i="37"/>
  <c r="BN21" i="37"/>
  <c r="BR21" i="37" s="1"/>
  <c r="BV21" i="37" s="1"/>
  <c r="I21" i="37"/>
  <c r="P21" i="37"/>
  <c r="J28" i="7"/>
  <c r="O28" i="7"/>
  <c r="M28" i="7"/>
  <c r="I28" i="7"/>
  <c r="N28" i="7"/>
  <c r="G40" i="7"/>
  <c r="BS40" i="7" s="1"/>
  <c r="O26" i="26"/>
  <c r="BV83" i="25"/>
  <c r="BK37" i="7"/>
  <c r="M26" i="7"/>
  <c r="N26" i="7"/>
  <c r="BS26" i="7"/>
  <c r="BV26" i="7" s="1"/>
  <c r="H15" i="37"/>
  <c r="P15" i="37"/>
  <c r="BN15" i="37"/>
  <c r="I15" i="37"/>
  <c r="O11" i="38"/>
  <c r="J26" i="26"/>
  <c r="N26" i="26"/>
  <c r="BK11" i="34"/>
  <c r="BO35" i="38"/>
  <c r="BS35" i="38" s="1"/>
  <c r="BW35" i="38" s="1"/>
  <c r="K31" i="25"/>
  <c r="P31" i="25"/>
  <c r="O31" i="25"/>
  <c r="I31" i="25"/>
  <c r="BP31" i="25"/>
  <c r="BR31" i="25" s="1"/>
  <c r="M31" i="25"/>
  <c r="H31" i="25"/>
  <c r="J31" i="25"/>
  <c r="Q31" i="25"/>
  <c r="L31" i="25"/>
  <c r="N31" i="25"/>
  <c r="M26" i="26"/>
  <c r="G38" i="7"/>
  <c r="V57" i="7"/>
  <c r="AO34" i="7"/>
  <c r="AO72" i="7" s="1"/>
  <c r="W10" i="39" s="1"/>
  <c r="S31" i="25"/>
  <c r="W31" i="25" s="1"/>
  <c r="H33" i="25"/>
  <c r="O33" i="25"/>
  <c r="K33" i="25"/>
  <c r="BK33" i="25"/>
  <c r="BP33" i="25"/>
  <c r="BR33" i="25" s="1"/>
  <c r="Q21" i="24"/>
  <c r="M21" i="24"/>
  <c r="I21" i="24"/>
  <c r="BR71" i="25"/>
  <c r="P33" i="25"/>
  <c r="L33" i="25"/>
  <c r="N21" i="24"/>
  <c r="J21" i="24"/>
  <c r="I21" i="7"/>
  <c r="O21" i="7"/>
  <c r="Q33" i="25"/>
  <c r="M33" i="25"/>
  <c r="O21" i="24"/>
  <c r="K21" i="24"/>
  <c r="I33" i="25"/>
  <c r="N33" i="25"/>
  <c r="P21" i="24"/>
  <c r="L21" i="24"/>
  <c r="M54" i="7"/>
  <c r="M56" i="7" s="1"/>
  <c r="BV48" i="7"/>
  <c r="P34" i="7"/>
  <c r="BS23" i="7"/>
  <c r="BV23" i="7" s="1"/>
  <c r="K23" i="7"/>
  <c r="P15" i="25"/>
  <c r="O15" i="25"/>
  <c r="J15" i="25"/>
  <c r="K15" i="25"/>
  <c r="H15" i="25"/>
  <c r="I15" i="25"/>
  <c r="M15" i="25"/>
  <c r="N15" i="25"/>
  <c r="Q15" i="25"/>
  <c r="V15" i="25"/>
  <c r="S15" i="25"/>
  <c r="T15" i="25"/>
  <c r="U15" i="25"/>
  <c r="BU14" i="25"/>
  <c r="K14" i="7"/>
  <c r="BS14" i="7"/>
  <c r="BV38" i="24"/>
  <c r="L13" i="24"/>
  <c r="BO41" i="32" l="1"/>
  <c r="N50" i="32"/>
  <c r="S113" i="32"/>
  <c r="W113" i="32" s="1"/>
  <c r="T113" i="32"/>
  <c r="X113" i="32" s="1"/>
  <c r="U113" i="32"/>
  <c r="Y113" i="32" s="1"/>
  <c r="V113" i="32"/>
  <c r="Z113" i="32" s="1"/>
  <c r="BQ121" i="32"/>
  <c r="BS121" i="32" s="1"/>
  <c r="BW121" i="32" s="1"/>
  <c r="I121" i="32"/>
  <c r="I95" i="32"/>
  <c r="S122" i="32"/>
  <c r="W122" i="32" s="1"/>
  <c r="V122" i="32"/>
  <c r="Z122" i="32" s="1"/>
  <c r="T122" i="32"/>
  <c r="X122" i="32" s="1"/>
  <c r="U122" i="32"/>
  <c r="Y122" i="32" s="1"/>
  <c r="S91" i="32"/>
  <c r="W91" i="32" s="1"/>
  <c r="T91" i="32"/>
  <c r="U91" i="32"/>
  <c r="V91" i="32"/>
  <c r="Z91" i="32" s="1"/>
  <c r="J121" i="32"/>
  <c r="T123" i="32"/>
  <c r="U123" i="32"/>
  <c r="V123" i="32"/>
  <c r="Z123" i="32" s="1"/>
  <c r="S123" i="32"/>
  <c r="W123" i="32" s="1"/>
  <c r="S103" i="32"/>
  <c r="V103" i="32"/>
  <c r="Z103" i="32" s="1"/>
  <c r="T103" i="32"/>
  <c r="X103" i="32" s="1"/>
  <c r="U103" i="32"/>
  <c r="Y103" i="32" s="1"/>
  <c r="V112" i="32"/>
  <c r="Z112" i="32" s="1"/>
  <c r="U112" i="32"/>
  <c r="T112" i="32"/>
  <c r="X112" i="32" s="1"/>
  <c r="S112" i="32"/>
  <c r="BQ100" i="32"/>
  <c r="BS100" i="32" s="1"/>
  <c r="BW100" i="32" s="1"/>
  <c r="N51" i="32"/>
  <c r="Z111" i="32"/>
  <c r="S135" i="32"/>
  <c r="W128" i="32"/>
  <c r="W135" i="32" s="1"/>
  <c r="Z89" i="32"/>
  <c r="Q95" i="32"/>
  <c r="V93" i="32"/>
  <c r="Z93" i="32" s="1"/>
  <c r="T93" i="32"/>
  <c r="X93" i="32" s="1"/>
  <c r="S93" i="32"/>
  <c r="W93" i="32" s="1"/>
  <c r="U93" i="32"/>
  <c r="Y93" i="32" s="1"/>
  <c r="T86" i="32"/>
  <c r="U86" i="32"/>
  <c r="V86" i="32"/>
  <c r="Z86" i="32" s="1"/>
  <c r="S86" i="32"/>
  <c r="W86" i="32" s="1"/>
  <c r="V119" i="32"/>
  <c r="Z119" i="32" s="1"/>
  <c r="S119" i="32"/>
  <c r="W119" i="32" s="1"/>
  <c r="T119" i="32"/>
  <c r="X119" i="32" s="1"/>
  <c r="U119" i="32"/>
  <c r="J95" i="32"/>
  <c r="N35" i="32"/>
  <c r="T114" i="32"/>
  <c r="X114" i="32" s="1"/>
  <c r="U114" i="32"/>
  <c r="Y114" i="32" s="1"/>
  <c r="V114" i="32"/>
  <c r="Z114" i="32" s="1"/>
  <c r="S114" i="32"/>
  <c r="W114" i="32" s="1"/>
  <c r="V102" i="32"/>
  <c r="Z102" i="32" s="1"/>
  <c r="T102" i="32"/>
  <c r="X102" i="32" s="1"/>
  <c r="U102" i="32"/>
  <c r="Y102" i="32" s="1"/>
  <c r="S102" i="32"/>
  <c r="W102" i="32" s="1"/>
  <c r="V96" i="32"/>
  <c r="Z96" i="32" s="1"/>
  <c r="U96" i="32"/>
  <c r="S96" i="32"/>
  <c r="W96" i="32" s="1"/>
  <c r="T96" i="32"/>
  <c r="X96" i="32" s="1"/>
  <c r="S125" i="32"/>
  <c r="W125" i="32" s="1"/>
  <c r="T125" i="32"/>
  <c r="X125" i="32" s="1"/>
  <c r="V125" i="32"/>
  <c r="Z125" i="32" s="1"/>
  <c r="U125" i="32"/>
  <c r="Z79" i="32"/>
  <c r="Z87" i="32" s="1"/>
  <c r="V87" i="32"/>
  <c r="T117" i="32"/>
  <c r="X117" i="32" s="1"/>
  <c r="U117" i="32"/>
  <c r="Y117" i="32" s="1"/>
  <c r="V117" i="32"/>
  <c r="Z117" i="32" s="1"/>
  <c r="S117" i="32"/>
  <c r="W117" i="32" s="1"/>
  <c r="BO30" i="32"/>
  <c r="BS30" i="32" s="1"/>
  <c r="BW30" i="32" s="1"/>
  <c r="T104" i="32"/>
  <c r="U104" i="32"/>
  <c r="Y104" i="32" s="1"/>
  <c r="V104" i="32"/>
  <c r="Z104" i="32" s="1"/>
  <c r="S104" i="32"/>
  <c r="BQ74" i="32"/>
  <c r="BS74" i="32" s="1"/>
  <c r="BW74" i="32" s="1"/>
  <c r="BO53" i="32"/>
  <c r="BS53" i="32" s="1"/>
  <c r="BW53" i="32" s="1"/>
  <c r="V118" i="32"/>
  <c r="Z118" i="32" s="1"/>
  <c r="U118" i="32"/>
  <c r="Y118" i="32" s="1"/>
  <c r="S118" i="32"/>
  <c r="W118" i="32" s="1"/>
  <c r="T118" i="32"/>
  <c r="X118" i="32" s="1"/>
  <c r="V99" i="32"/>
  <c r="Z99" i="32" s="1"/>
  <c r="T99" i="32"/>
  <c r="X99" i="32" s="1"/>
  <c r="S99" i="32"/>
  <c r="W99" i="32" s="1"/>
  <c r="U99" i="32"/>
  <c r="Y99" i="32" s="1"/>
  <c r="T101" i="32"/>
  <c r="X101" i="32" s="1"/>
  <c r="U101" i="32"/>
  <c r="Y101" i="32" s="1"/>
  <c r="S101" i="32"/>
  <c r="W101" i="32" s="1"/>
  <c r="V101" i="32"/>
  <c r="Z101" i="32" s="1"/>
  <c r="Q27" i="32"/>
  <c r="Q33" i="32" s="1"/>
  <c r="T135" i="32"/>
  <c r="Z64" i="32"/>
  <c r="Z77" i="32" s="1"/>
  <c r="V77" i="32"/>
  <c r="BK36" i="34"/>
  <c r="I33" i="34"/>
  <c r="G36" i="34"/>
  <c r="BK49" i="34"/>
  <c r="BT13" i="24"/>
  <c r="L40" i="25"/>
  <c r="H27" i="28"/>
  <c r="I38" i="34"/>
  <c r="BI31" i="28"/>
  <c r="Q27" i="28"/>
  <c r="J50" i="24"/>
  <c r="K27" i="28"/>
  <c r="G96" i="24"/>
  <c r="M13" i="24"/>
  <c r="BK34" i="7"/>
  <c r="K40" i="25"/>
  <c r="L14" i="24"/>
  <c r="J27" i="28"/>
  <c r="J91" i="25"/>
  <c r="P27" i="28"/>
  <c r="O55" i="24"/>
  <c r="N55" i="24"/>
  <c r="N13" i="24"/>
  <c r="J40" i="25"/>
  <c r="M14" i="24"/>
  <c r="N27" i="28"/>
  <c r="N12" i="24"/>
  <c r="S55" i="24"/>
  <c r="W55" i="24" s="1"/>
  <c r="P40" i="25"/>
  <c r="P13" i="28"/>
  <c r="L27" i="28"/>
  <c r="BP34" i="28"/>
  <c r="BR98" i="24"/>
  <c r="BP40" i="25"/>
  <c r="BR40" i="25" s="1"/>
  <c r="BV40" i="25" s="1"/>
  <c r="L36" i="25"/>
  <c r="BL46" i="38"/>
  <c r="N13" i="28"/>
  <c r="M27" i="28"/>
  <c r="M58" i="28"/>
  <c r="BT112" i="24"/>
  <c r="BU112" i="24" s="1"/>
  <c r="BV112" i="24" s="1"/>
  <c r="P36" i="25"/>
  <c r="L13" i="28"/>
  <c r="AA50" i="28"/>
  <c r="BK48" i="28"/>
  <c r="I58" i="28"/>
  <c r="O112" i="24"/>
  <c r="J13" i="28"/>
  <c r="K58" i="28"/>
  <c r="I27" i="28"/>
  <c r="G18" i="33"/>
  <c r="H36" i="25"/>
  <c r="O13" i="24"/>
  <c r="K36" i="25"/>
  <c r="P13" i="24"/>
  <c r="O13" i="28"/>
  <c r="I29" i="24"/>
  <c r="Z13" i="38"/>
  <c r="V14" i="26"/>
  <c r="BC18" i="25"/>
  <c r="Q58" i="28"/>
  <c r="I13" i="24"/>
  <c r="H32" i="33"/>
  <c r="I18" i="33"/>
  <c r="O58" i="28"/>
  <c r="BK12" i="7"/>
  <c r="L112" i="24"/>
  <c r="W57" i="7"/>
  <c r="AZ72" i="7"/>
  <c r="AH72" i="7"/>
  <c r="P57" i="7"/>
  <c r="AU31" i="28"/>
  <c r="BB74" i="28"/>
  <c r="N37" i="28"/>
  <c r="I37" i="28"/>
  <c r="P37" i="28"/>
  <c r="M37" i="28"/>
  <c r="O37" i="28"/>
  <c r="J37" i="28"/>
  <c r="X129" i="32"/>
  <c r="X135" i="32" s="1"/>
  <c r="P38" i="34"/>
  <c r="BP38" i="34"/>
  <c r="N21" i="34"/>
  <c r="K20" i="34"/>
  <c r="K24" i="34"/>
  <c r="P20" i="34"/>
  <c r="M38" i="34"/>
  <c r="J20" i="34"/>
  <c r="X48" i="34"/>
  <c r="F98" i="24"/>
  <c r="M49" i="24"/>
  <c r="N49" i="24"/>
  <c r="L36" i="24"/>
  <c r="L16" i="7"/>
  <c r="L17" i="7"/>
  <c r="Q20" i="7"/>
  <c r="BQ48" i="28"/>
  <c r="BR48" i="28" s="1"/>
  <c r="BV48" i="28" s="1"/>
  <c r="Q34" i="28"/>
  <c r="L34" i="28"/>
  <c r="I34" i="28"/>
  <c r="O34" i="28"/>
  <c r="H110" i="24"/>
  <c r="J110" i="24"/>
  <c r="I110" i="24"/>
  <c r="I115" i="24"/>
  <c r="J91" i="24"/>
  <c r="O21" i="26"/>
  <c r="H102" i="25"/>
  <c r="L102" i="25"/>
  <c r="P102" i="25"/>
  <c r="N102" i="25"/>
  <c r="I102" i="25"/>
  <c r="Q66" i="28"/>
  <c r="M66" i="28"/>
  <c r="BP66" i="28"/>
  <c r="L66" i="28"/>
  <c r="N66" i="28"/>
  <c r="H66" i="28"/>
  <c r="P66" i="28"/>
  <c r="K66" i="28"/>
  <c r="N20" i="34"/>
  <c r="H20" i="34"/>
  <c r="O26" i="24"/>
  <c r="P26" i="24"/>
  <c r="Q26" i="24"/>
  <c r="I51" i="25"/>
  <c r="P24" i="25"/>
  <c r="J39" i="25"/>
  <c r="BD25" i="38"/>
  <c r="P24" i="28"/>
  <c r="I36" i="24"/>
  <c r="L64" i="24"/>
  <c r="K90" i="25"/>
  <c r="BK28" i="24"/>
  <c r="BK51" i="24"/>
  <c r="BK29" i="24"/>
  <c r="BS91" i="24"/>
  <c r="BU91" i="24" s="1"/>
  <c r="BV91" i="24" s="1"/>
  <c r="BV31" i="33"/>
  <c r="BU59" i="34"/>
  <c r="S12" i="37"/>
  <c r="W12" i="37" s="1"/>
  <c r="BP51" i="25"/>
  <c r="BR51" i="25" s="1"/>
  <c r="BV51" i="25" s="1"/>
  <c r="I24" i="25"/>
  <c r="AB74" i="28"/>
  <c r="L26" i="24"/>
  <c r="K26" i="24"/>
  <c r="P91" i="24"/>
  <c r="AQ72" i="7"/>
  <c r="X10" i="39" s="1"/>
  <c r="O36" i="24"/>
  <c r="M36" i="24"/>
  <c r="Q91" i="24"/>
  <c r="I90" i="25"/>
  <c r="G97" i="24"/>
  <c r="H91" i="24"/>
  <c r="AJ74" i="28"/>
  <c r="N36" i="24"/>
  <c r="N26" i="24"/>
  <c r="H26" i="24"/>
  <c r="P64" i="24"/>
  <c r="H64" i="24"/>
  <c r="N91" i="24"/>
  <c r="P90" i="25"/>
  <c r="P36" i="24"/>
  <c r="O91" i="24"/>
  <c r="AO31" i="28"/>
  <c r="Y57" i="7"/>
  <c r="BF72" i="7"/>
  <c r="J26" i="24"/>
  <c r="K36" i="24"/>
  <c r="I26" i="24"/>
  <c r="M91" i="24"/>
  <c r="I64" i="24"/>
  <c r="M64" i="24"/>
  <c r="BP64" i="24"/>
  <c r="BR64" i="24" s="1"/>
  <c r="BV64" i="24" s="1"/>
  <c r="Q36" i="24"/>
  <c r="I91" i="24"/>
  <c r="N64" i="24"/>
  <c r="G52" i="25"/>
  <c r="K51" i="25"/>
  <c r="L24" i="25"/>
  <c r="M57" i="7"/>
  <c r="O12" i="28"/>
  <c r="J12" i="28"/>
  <c r="N29" i="24"/>
  <c r="AV74" i="28"/>
  <c r="K33" i="24"/>
  <c r="L91" i="24"/>
  <c r="P15" i="24"/>
  <c r="BP26" i="24"/>
  <c r="BR26" i="24" s="1"/>
  <c r="BV26" i="24" s="1"/>
  <c r="K64" i="24"/>
  <c r="Q64" i="24"/>
  <c r="I66" i="28"/>
  <c r="K20" i="7"/>
  <c r="H50" i="37"/>
  <c r="Q39" i="25"/>
  <c r="I14" i="24"/>
  <c r="BS74" i="28"/>
  <c r="AO22" i="33"/>
  <c r="Q22" i="28"/>
  <c r="L38" i="34"/>
  <c r="Q20" i="34"/>
  <c r="I20" i="34"/>
  <c r="J39" i="34"/>
  <c r="BU66" i="24"/>
  <c r="X65" i="28"/>
  <c r="X69" i="28" s="1"/>
  <c r="F69" i="28"/>
  <c r="M50" i="37"/>
  <c r="O17" i="26"/>
  <c r="N39" i="25"/>
  <c r="P14" i="24"/>
  <c r="H22" i="28"/>
  <c r="K48" i="24"/>
  <c r="J22" i="28"/>
  <c r="J38" i="34"/>
  <c r="O38" i="34"/>
  <c r="O20" i="34"/>
  <c r="BP20" i="34"/>
  <c r="BR20" i="34" s="1"/>
  <c r="BV20" i="34" s="1"/>
  <c r="AN74" i="28"/>
  <c r="N47" i="28"/>
  <c r="BQ47" i="28"/>
  <c r="BR47" i="28" s="1"/>
  <c r="BV47" i="28" s="1"/>
  <c r="BO13" i="28"/>
  <c r="BO14" i="28" s="1"/>
  <c r="BO17" i="28" s="1"/>
  <c r="N41" i="34"/>
  <c r="K41" i="25"/>
  <c r="I35" i="24"/>
  <c r="M39" i="34"/>
  <c r="O15" i="24"/>
  <c r="G55" i="25"/>
  <c r="BP39" i="25"/>
  <c r="BR39" i="25" s="1"/>
  <c r="BV39" i="25" s="1"/>
  <c r="BA22" i="33"/>
  <c r="AC62" i="28"/>
  <c r="AC74" i="28" s="1"/>
  <c r="Q11" i="39" s="1"/>
  <c r="N22" i="28"/>
  <c r="BA72" i="7"/>
  <c r="AC10" i="39" s="1"/>
  <c r="P47" i="28"/>
  <c r="K47" i="28"/>
  <c r="K39" i="34"/>
  <c r="I41" i="34"/>
  <c r="I15" i="24"/>
  <c r="G68" i="28"/>
  <c r="I68" i="28" s="1"/>
  <c r="K50" i="37"/>
  <c r="Q17" i="26"/>
  <c r="BV71" i="25"/>
  <c r="J50" i="37"/>
  <c r="I17" i="26"/>
  <c r="AG22" i="33"/>
  <c r="P22" i="28"/>
  <c r="M20" i="34"/>
  <c r="M47" i="28"/>
  <c r="H35" i="24"/>
  <c r="L15" i="24"/>
  <c r="AA39" i="26"/>
  <c r="G65" i="28"/>
  <c r="BK69" i="28"/>
  <c r="BK73" i="28" s="1"/>
  <c r="BK50" i="28"/>
  <c r="G63" i="24"/>
  <c r="G12" i="37"/>
  <c r="T12" i="37"/>
  <c r="X12" i="37" s="1"/>
  <c r="K37" i="25"/>
  <c r="BA18" i="25"/>
  <c r="M12" i="28"/>
  <c r="M14" i="28" s="1"/>
  <c r="I70" i="32"/>
  <c r="J70" i="32"/>
  <c r="N70" i="32"/>
  <c r="BQ71" i="32"/>
  <c r="BS71" i="32" s="1"/>
  <c r="BW71" i="32" s="1"/>
  <c r="I71" i="32"/>
  <c r="J71" i="32"/>
  <c r="N71" i="32"/>
  <c r="BN12" i="32"/>
  <c r="H34" i="7"/>
  <c r="O12" i="7"/>
  <c r="AA53" i="24"/>
  <c r="W14" i="26"/>
  <c r="Y14" i="26"/>
  <c r="BK26" i="26"/>
  <c r="BK41" i="25"/>
  <c r="BK62" i="7"/>
  <c r="K12" i="28"/>
  <c r="K14" i="28" s="1"/>
  <c r="I63" i="24"/>
  <c r="I65" i="24" s="1"/>
  <c r="BJ98" i="24"/>
  <c r="X27" i="34"/>
  <c r="R15" i="34"/>
  <c r="W25" i="38"/>
  <c r="AG18" i="25"/>
  <c r="Q26" i="33"/>
  <c r="H36" i="24"/>
  <c r="BP36" i="24"/>
  <c r="BR36" i="24" s="1"/>
  <c r="BV36" i="24" s="1"/>
  <c r="AL49" i="38"/>
  <c r="AX25" i="38"/>
  <c r="L12" i="28"/>
  <c r="N68" i="32"/>
  <c r="I68" i="32"/>
  <c r="J68" i="32"/>
  <c r="J69" i="32"/>
  <c r="N69" i="32"/>
  <c r="I69" i="32"/>
  <c r="W11" i="34"/>
  <c r="W15" i="34" s="1"/>
  <c r="S15" i="34"/>
  <c r="H51" i="24"/>
  <c r="BN18" i="32"/>
  <c r="BN13" i="32"/>
  <c r="BN21" i="32"/>
  <c r="BB25" i="38"/>
  <c r="Q12" i="28"/>
  <c r="Q14" i="28" s="1"/>
  <c r="T35" i="33"/>
  <c r="H16" i="7"/>
  <c r="AM69" i="7"/>
  <c r="AM72" i="7" s="1"/>
  <c r="V10" i="39" s="1"/>
  <c r="I34" i="7"/>
  <c r="BN20" i="32"/>
  <c r="BN14" i="32"/>
  <c r="BP32" i="33"/>
  <c r="J17" i="26"/>
  <c r="M17" i="26"/>
  <c r="P17" i="26"/>
  <c r="N17" i="26"/>
  <c r="L17" i="26"/>
  <c r="N50" i="37"/>
  <c r="O50" i="37"/>
  <c r="L40" i="37"/>
  <c r="BP50" i="37"/>
  <c r="BR50" i="37" s="1"/>
  <c r="BV50" i="37" s="1"/>
  <c r="L50" i="37"/>
  <c r="AA47" i="37"/>
  <c r="I50" i="37"/>
  <c r="BU52" i="37"/>
  <c r="I61" i="25"/>
  <c r="L61" i="25"/>
  <c r="N61" i="25"/>
  <c r="H61" i="25"/>
  <c r="J61" i="25"/>
  <c r="I23" i="28"/>
  <c r="O23" i="28"/>
  <c r="N23" i="28"/>
  <c r="Q23" i="28"/>
  <c r="P23" i="28"/>
  <c r="BO23" i="28"/>
  <c r="BR23" i="28" s="1"/>
  <c r="BV23" i="28" s="1"/>
  <c r="H23" i="28"/>
  <c r="Q48" i="28"/>
  <c r="I48" i="28"/>
  <c r="H48" i="28"/>
  <c r="L48" i="28"/>
  <c r="J48" i="28"/>
  <c r="O48" i="28"/>
  <c r="N48" i="28"/>
  <c r="M105" i="25"/>
  <c r="I101" i="25"/>
  <c r="K101" i="25"/>
  <c r="N21" i="26"/>
  <c r="P61" i="25"/>
  <c r="P48" i="28"/>
  <c r="J23" i="28"/>
  <c r="O109" i="24"/>
  <c r="N13" i="26"/>
  <c r="H13" i="26"/>
  <c r="BK29" i="26"/>
  <c r="P41" i="25"/>
  <c r="O41" i="25"/>
  <c r="Q41" i="25"/>
  <c r="N51" i="25"/>
  <c r="N52" i="25" s="1"/>
  <c r="N55" i="25" s="1"/>
  <c r="H51" i="25"/>
  <c r="O51" i="25"/>
  <c r="M51" i="25"/>
  <c r="J51" i="25"/>
  <c r="M63" i="25"/>
  <c r="I63" i="25"/>
  <c r="N63" i="25"/>
  <c r="K63" i="25"/>
  <c r="BK36" i="25"/>
  <c r="Q24" i="25"/>
  <c r="BP24" i="25"/>
  <c r="BR24" i="25" s="1"/>
  <c r="BV24" i="25" s="1"/>
  <c r="H24" i="25"/>
  <c r="O24" i="25"/>
  <c r="M24" i="25"/>
  <c r="K24" i="25"/>
  <c r="L90" i="25"/>
  <c r="M90" i="25"/>
  <c r="H90" i="25"/>
  <c r="J90" i="25"/>
  <c r="L32" i="24"/>
  <c r="P32" i="24"/>
  <c r="I32" i="24"/>
  <c r="M32" i="24"/>
  <c r="Q32" i="24"/>
  <c r="K32" i="24"/>
  <c r="BO29" i="28"/>
  <c r="BR29" i="28" s="1"/>
  <c r="BV29" i="28" s="1"/>
  <c r="P29" i="28"/>
  <c r="I29" i="28"/>
  <c r="K29" i="28"/>
  <c r="H29" i="28"/>
  <c r="L29" i="28"/>
  <c r="M93" i="25"/>
  <c r="K93" i="25"/>
  <c r="I38" i="26"/>
  <c r="Q105" i="25"/>
  <c r="M101" i="25"/>
  <c r="O101" i="25"/>
  <c r="M21" i="26"/>
  <c r="O21" i="25"/>
  <c r="K61" i="25"/>
  <c r="N28" i="32"/>
  <c r="AI22" i="33"/>
  <c r="BA47" i="37"/>
  <c r="G25" i="28"/>
  <c r="M48" i="28"/>
  <c r="K26" i="33"/>
  <c r="H40" i="25"/>
  <c r="M40" i="25"/>
  <c r="I40" i="25"/>
  <c r="N40" i="25"/>
  <c r="Q40" i="25"/>
  <c r="P42" i="24"/>
  <c r="I42" i="24"/>
  <c r="X23" i="26"/>
  <c r="M44" i="37"/>
  <c r="J44" i="37"/>
  <c r="P44" i="37"/>
  <c r="R81" i="32"/>
  <c r="R87" i="32" s="1"/>
  <c r="BQ81" i="32"/>
  <c r="BS81" i="32" s="1"/>
  <c r="BW81" i="32" s="1"/>
  <c r="P35" i="26"/>
  <c r="H38" i="26"/>
  <c r="P105" i="25"/>
  <c r="Q101" i="25"/>
  <c r="BT101" i="25"/>
  <c r="BU101" i="25" s="1"/>
  <c r="BV101" i="25" s="1"/>
  <c r="I21" i="26"/>
  <c r="O61" i="25"/>
  <c r="I44" i="37"/>
  <c r="K39" i="25"/>
  <c r="L39" i="25"/>
  <c r="H39" i="25"/>
  <c r="O39" i="25"/>
  <c r="P39" i="25"/>
  <c r="I39" i="25"/>
  <c r="P39" i="34"/>
  <c r="O39" i="34"/>
  <c r="N39" i="34"/>
  <c r="K29" i="24"/>
  <c r="M29" i="24"/>
  <c r="P29" i="24"/>
  <c r="H29" i="24"/>
  <c r="H15" i="24"/>
  <c r="J15" i="24"/>
  <c r="I33" i="24"/>
  <c r="M33" i="24"/>
  <c r="N33" i="24"/>
  <c r="L33" i="24"/>
  <c r="O33" i="24"/>
  <c r="AA17" i="24"/>
  <c r="K21" i="25"/>
  <c r="J21" i="25"/>
  <c r="I21" i="25"/>
  <c r="Q21" i="25"/>
  <c r="P21" i="25"/>
  <c r="M21" i="25"/>
  <c r="J109" i="24"/>
  <c r="I109" i="24"/>
  <c r="K109" i="24"/>
  <c r="N109" i="24"/>
  <c r="BT109" i="24"/>
  <c r="BU109" i="24" s="1"/>
  <c r="BV109" i="24" s="1"/>
  <c r="L109" i="24"/>
  <c r="N35" i="26"/>
  <c r="N38" i="26"/>
  <c r="L38" i="26"/>
  <c r="K105" i="25"/>
  <c r="H101" i="25"/>
  <c r="BO21" i="26"/>
  <c r="BR21" i="26" s="1"/>
  <c r="BV21" i="26" s="1"/>
  <c r="H21" i="25"/>
  <c r="M61" i="25"/>
  <c r="M51" i="38"/>
  <c r="M52" i="38" s="1"/>
  <c r="R51" i="38"/>
  <c r="R52" i="38" s="1"/>
  <c r="P51" i="38"/>
  <c r="P52" i="38" s="1"/>
  <c r="O44" i="37"/>
  <c r="L15" i="38"/>
  <c r="O15" i="38"/>
  <c r="H109" i="24"/>
  <c r="L23" i="28"/>
  <c r="Z112" i="25"/>
  <c r="J24" i="28"/>
  <c r="K24" i="28"/>
  <c r="L24" i="28"/>
  <c r="Q40" i="37"/>
  <c r="O40" i="37"/>
  <c r="M40" i="37"/>
  <c r="BP40" i="37"/>
  <c r="BP47" i="37" s="1"/>
  <c r="J40" i="37"/>
  <c r="H40" i="37"/>
  <c r="I46" i="38"/>
  <c r="J46" i="38"/>
  <c r="M46" i="38"/>
  <c r="K14" i="24"/>
  <c r="O14" i="24"/>
  <c r="J14" i="24"/>
  <c r="N14" i="24"/>
  <c r="H14" i="24"/>
  <c r="L37" i="24"/>
  <c r="BP37" i="24"/>
  <c r="BR37" i="24" s="1"/>
  <c r="BV37" i="24" s="1"/>
  <c r="R73" i="32"/>
  <c r="BQ73" i="32"/>
  <c r="BS73" i="32" s="1"/>
  <c r="BW73" i="32" s="1"/>
  <c r="T47" i="37"/>
  <c r="X44" i="37"/>
  <c r="X47" i="37" s="1"/>
  <c r="L35" i="26"/>
  <c r="H35" i="26"/>
  <c r="O35" i="26"/>
  <c r="J101" i="25"/>
  <c r="N21" i="25"/>
  <c r="Q61" i="25"/>
  <c r="AT74" i="28"/>
  <c r="H44" i="37"/>
  <c r="N54" i="7"/>
  <c r="N56" i="7" s="1"/>
  <c r="N57" i="7" s="1"/>
  <c r="H54" i="7"/>
  <c r="H56" i="7" s="1"/>
  <c r="H57" i="7" s="1"/>
  <c r="AA31" i="28"/>
  <c r="BP26" i="25"/>
  <c r="BR26" i="25" s="1"/>
  <c r="BV26" i="25" s="1"/>
  <c r="I26" i="25"/>
  <c r="W26" i="33"/>
  <c r="BO22" i="28"/>
  <c r="BR22" i="28" s="1"/>
  <c r="O22" i="28"/>
  <c r="K22" i="28"/>
  <c r="M23" i="28"/>
  <c r="P109" i="24"/>
  <c r="K69" i="25"/>
  <c r="Q69" i="25"/>
  <c r="I69" i="25"/>
  <c r="M69" i="25"/>
  <c r="P50" i="25"/>
  <c r="P52" i="25" s="1"/>
  <c r="P55" i="25" s="1"/>
  <c r="I50" i="25"/>
  <c r="I52" i="25" s="1"/>
  <c r="I55" i="25" s="1"/>
  <c r="L75" i="25"/>
  <c r="M75" i="25"/>
  <c r="BS75" i="25"/>
  <c r="BU75" i="25" s="1"/>
  <c r="I75" i="25"/>
  <c r="I84" i="25"/>
  <c r="P84" i="25"/>
  <c r="BK17" i="28"/>
  <c r="I24" i="33"/>
  <c r="I26" i="33" s="1"/>
  <c r="L32" i="33"/>
  <c r="AI31" i="28"/>
  <c r="M34" i="7"/>
  <c r="O16" i="7"/>
  <c r="Y25" i="32"/>
  <c r="J24" i="33"/>
  <c r="J26" i="33" s="1"/>
  <c r="G116" i="24"/>
  <c r="AS18" i="25"/>
  <c r="BG18" i="25"/>
  <c r="BK85" i="25"/>
  <c r="BK17" i="25"/>
  <c r="BO112" i="25"/>
  <c r="BK45" i="25"/>
  <c r="L12" i="7"/>
  <c r="BG82" i="7"/>
  <c r="M32" i="33"/>
  <c r="AG72" i="7"/>
  <c r="S10" i="39" s="1"/>
  <c r="AA69" i="7"/>
  <c r="AA72" i="7" s="1"/>
  <c r="N16" i="7"/>
  <c r="J16" i="7"/>
  <c r="Z25" i="32"/>
  <c r="BK25" i="28"/>
  <c r="H24" i="33"/>
  <c r="H26" i="33" s="1"/>
  <c r="BU35" i="33"/>
  <c r="P12" i="7"/>
  <c r="AK47" i="37"/>
  <c r="BP43" i="28"/>
  <c r="BP62" i="28" s="1"/>
  <c r="BB72" i="7"/>
  <c r="N24" i="33"/>
  <c r="O24" i="33"/>
  <c r="O26" i="33" s="1"/>
  <c r="M24" i="33"/>
  <c r="G30" i="28"/>
  <c r="I16" i="7"/>
  <c r="BK37" i="24"/>
  <c r="AC116" i="24"/>
  <c r="AK116" i="24"/>
  <c r="BK39" i="24"/>
  <c r="AM53" i="24"/>
  <c r="BK50" i="24"/>
  <c r="BK115" i="24"/>
  <c r="BK109" i="24"/>
  <c r="BK49" i="24"/>
  <c r="AA33" i="26"/>
  <c r="Y23" i="26"/>
  <c r="W33" i="26"/>
  <c r="AM27" i="26"/>
  <c r="V27" i="26"/>
  <c r="F42" i="26"/>
  <c r="BK105" i="25"/>
  <c r="BK62" i="25"/>
  <c r="AW18" i="25"/>
  <c r="L24" i="34"/>
  <c r="J24" i="34"/>
  <c r="J41" i="34"/>
  <c r="P41" i="34"/>
  <c r="I24" i="34"/>
  <c r="K41" i="34"/>
  <c r="O41" i="34"/>
  <c r="I29" i="34"/>
  <c r="H24" i="34"/>
  <c r="P24" i="34"/>
  <c r="BP24" i="34"/>
  <c r="BR24" i="34" s="1"/>
  <c r="L41" i="34"/>
  <c r="J65" i="32"/>
  <c r="N65" i="32"/>
  <c r="W89" i="32"/>
  <c r="I66" i="32"/>
  <c r="N66" i="32"/>
  <c r="J66" i="32"/>
  <c r="R89" i="32"/>
  <c r="BO49" i="32"/>
  <c r="BS49" i="32" s="1"/>
  <c r="BW49" i="32" s="1"/>
  <c r="R49" i="32"/>
  <c r="N64" i="32"/>
  <c r="J64" i="32"/>
  <c r="I128" i="32"/>
  <c r="Y89" i="32"/>
  <c r="J67" i="32"/>
  <c r="N67" i="32"/>
  <c r="I67" i="32"/>
  <c r="Y128" i="32"/>
  <c r="Y135" i="32" s="1"/>
  <c r="X89" i="32"/>
  <c r="N43" i="32"/>
  <c r="M34" i="25"/>
  <c r="H12" i="24"/>
  <c r="I19" i="34"/>
  <c r="J19" i="34"/>
  <c r="M19" i="34"/>
  <c r="BP19" i="34"/>
  <c r="BR19" i="34" s="1"/>
  <c r="BV19" i="34" s="1"/>
  <c r="Q19" i="34"/>
  <c r="O19" i="34"/>
  <c r="G49" i="37"/>
  <c r="F51" i="37"/>
  <c r="G64" i="7"/>
  <c r="J64" i="7" s="1"/>
  <c r="H26" i="34"/>
  <c r="BP26" i="34"/>
  <c r="BR26" i="34" s="1"/>
  <c r="BV26" i="34" s="1"/>
  <c r="J26" i="34"/>
  <c r="L26" i="34"/>
  <c r="O26" i="34"/>
  <c r="O27" i="34" s="1"/>
  <c r="Q26" i="34"/>
  <c r="Q27" i="34" s="1"/>
  <c r="I26" i="34"/>
  <c r="BP67" i="28"/>
  <c r="BR67" i="28" s="1"/>
  <c r="BV67" i="28" s="1"/>
  <c r="I67" i="28"/>
  <c r="M67" i="28"/>
  <c r="O67" i="28"/>
  <c r="P67" i="28"/>
  <c r="H67" i="28"/>
  <c r="K67" i="28"/>
  <c r="G17" i="24"/>
  <c r="N32" i="26"/>
  <c r="L34" i="25"/>
  <c r="I39" i="28"/>
  <c r="Q67" i="28"/>
  <c r="L12" i="24"/>
  <c r="Q12" i="25"/>
  <c r="Q18" i="25" s="1"/>
  <c r="I12" i="25"/>
  <c r="I18" i="25" s="1"/>
  <c r="J12" i="25"/>
  <c r="G18" i="25"/>
  <c r="H12" i="25"/>
  <c r="H18" i="25" s="1"/>
  <c r="F66" i="25"/>
  <c r="F88" i="25" s="1"/>
  <c r="G58" i="25"/>
  <c r="BK110" i="25"/>
  <c r="BK95" i="25"/>
  <c r="H17" i="25"/>
  <c r="BT17" i="25"/>
  <c r="BU17" i="25" s="1"/>
  <c r="BV17" i="25" s="1"/>
  <c r="L17" i="25"/>
  <c r="M17" i="25"/>
  <c r="K17" i="25"/>
  <c r="H82" i="25"/>
  <c r="BS82" i="25"/>
  <c r="BU82" i="25" s="1"/>
  <c r="BV82" i="25" s="1"/>
  <c r="N82" i="25"/>
  <c r="P82" i="25"/>
  <c r="O82" i="25"/>
  <c r="Q82" i="25"/>
  <c r="BK70" i="25"/>
  <c r="S49" i="34"/>
  <c r="W48" i="34"/>
  <c r="BQ65" i="32"/>
  <c r="BS65" i="32" s="1"/>
  <c r="BW65" i="32" s="1"/>
  <c r="G65" i="7"/>
  <c r="O65" i="7" s="1"/>
  <c r="I40" i="34"/>
  <c r="L40" i="34"/>
  <c r="O40" i="34"/>
  <c r="J40" i="34"/>
  <c r="G43" i="34"/>
  <c r="P40" i="34"/>
  <c r="Q24" i="24"/>
  <c r="N18" i="25"/>
  <c r="BV34" i="7"/>
  <c r="BZ34" i="7" s="1"/>
  <c r="O34" i="25"/>
  <c r="BQ82" i="32"/>
  <c r="BS82" i="32" s="1"/>
  <c r="N39" i="28"/>
  <c r="K13" i="34"/>
  <c r="O13" i="34"/>
  <c r="K40" i="34"/>
  <c r="R90" i="32"/>
  <c r="BQ90" i="32"/>
  <c r="BS90" i="32" s="1"/>
  <c r="BW90" i="32" s="1"/>
  <c r="J67" i="28"/>
  <c r="BP42" i="25"/>
  <c r="BR42" i="25" s="1"/>
  <c r="BV42" i="25" s="1"/>
  <c r="K42" i="25"/>
  <c r="J37" i="25"/>
  <c r="P37" i="25"/>
  <c r="M37" i="25"/>
  <c r="K64" i="25"/>
  <c r="L64" i="25"/>
  <c r="M64" i="25"/>
  <c r="BK21" i="25"/>
  <c r="M91" i="25"/>
  <c r="N91" i="25"/>
  <c r="K91" i="25"/>
  <c r="BK38" i="25"/>
  <c r="I36" i="25"/>
  <c r="N36" i="25"/>
  <c r="O36" i="25"/>
  <c r="BP36" i="25"/>
  <c r="BR36" i="25" s="1"/>
  <c r="BV36" i="25" s="1"/>
  <c r="Q36" i="25"/>
  <c r="J36" i="25"/>
  <c r="J102" i="25"/>
  <c r="BT102" i="25"/>
  <c r="BU102" i="25" s="1"/>
  <c r="BV102" i="25" s="1"/>
  <c r="O102" i="25"/>
  <c r="Q102" i="25"/>
  <c r="K102" i="25"/>
  <c r="BS85" i="25"/>
  <c r="BU85" i="25" s="1"/>
  <c r="BV85" i="25" s="1"/>
  <c r="Q85" i="25"/>
  <c r="O85" i="25"/>
  <c r="M85" i="25"/>
  <c r="K85" i="25"/>
  <c r="I85" i="25"/>
  <c r="H12" i="7"/>
  <c r="BO26" i="32"/>
  <c r="BS26" i="32" s="1"/>
  <c r="BW26" i="32" s="1"/>
  <c r="N40" i="34"/>
  <c r="M39" i="28"/>
  <c r="J39" i="28"/>
  <c r="L39" i="28"/>
  <c r="H39" i="28"/>
  <c r="H26" i="25"/>
  <c r="Q26" i="25"/>
  <c r="L26" i="25"/>
  <c r="M26" i="25"/>
  <c r="N26" i="34"/>
  <c r="N27" i="34" s="1"/>
  <c r="M27" i="24"/>
  <c r="K27" i="24"/>
  <c r="BK48" i="24"/>
  <c r="L24" i="24"/>
  <c r="K24" i="24"/>
  <c r="I24" i="24"/>
  <c r="H24" i="24"/>
  <c r="O24" i="24"/>
  <c r="J24" i="24"/>
  <c r="BP24" i="24"/>
  <c r="BR24" i="24" s="1"/>
  <c r="BV24" i="24" s="1"/>
  <c r="M12" i="24"/>
  <c r="P12" i="24"/>
  <c r="J32" i="26"/>
  <c r="O32" i="26"/>
  <c r="Q32" i="26"/>
  <c r="P32" i="26"/>
  <c r="BK22" i="26"/>
  <c r="O31" i="26"/>
  <c r="M31" i="26"/>
  <c r="I31" i="26"/>
  <c r="N31" i="26"/>
  <c r="P31" i="26"/>
  <c r="BK13" i="26"/>
  <c r="BK20" i="26"/>
  <c r="V23" i="26"/>
  <c r="BK58" i="24"/>
  <c r="Q31" i="26"/>
  <c r="F44" i="24"/>
  <c r="O26" i="25"/>
  <c r="P26" i="34"/>
  <c r="M26" i="34"/>
  <c r="M27" i="34" s="1"/>
  <c r="R55" i="32"/>
  <c r="BO55" i="32"/>
  <c r="BS55" i="32" s="1"/>
  <c r="BW55" i="32" s="1"/>
  <c r="BI72" i="7"/>
  <c r="AG10" i="39" s="1"/>
  <c r="BI82" i="7"/>
  <c r="Q35" i="25"/>
  <c r="J35" i="25"/>
  <c r="K35" i="25"/>
  <c r="N35" i="25"/>
  <c r="N24" i="24"/>
  <c r="M40" i="34"/>
  <c r="N41" i="24"/>
  <c r="O41" i="24"/>
  <c r="M41" i="24"/>
  <c r="K41" i="24"/>
  <c r="BK47" i="24"/>
  <c r="BI53" i="24"/>
  <c r="BI66" i="24" s="1"/>
  <c r="O42" i="24"/>
  <c r="Q42" i="24"/>
  <c r="H42" i="24"/>
  <c r="J42" i="24"/>
  <c r="J35" i="26"/>
  <c r="I35" i="26"/>
  <c r="M35" i="26"/>
  <c r="Q38" i="26"/>
  <c r="K38" i="26"/>
  <c r="M38" i="26"/>
  <c r="P38" i="26"/>
  <c r="L21" i="26"/>
  <c r="J21" i="26"/>
  <c r="Q21" i="26"/>
  <c r="X39" i="26"/>
  <c r="AA14" i="26"/>
  <c r="BD49" i="38"/>
  <c r="AH25" i="38"/>
  <c r="AC47" i="37"/>
  <c r="AQ47" i="37"/>
  <c r="L34" i="7"/>
  <c r="BQ112" i="25"/>
  <c r="BK38" i="26"/>
  <c r="BK32" i="26"/>
  <c r="W39" i="26"/>
  <c r="BK37" i="26"/>
  <c r="BK64" i="25"/>
  <c r="BK35" i="25"/>
  <c r="BK63" i="25"/>
  <c r="BK61" i="25"/>
  <c r="BK43" i="25"/>
  <c r="O37" i="24"/>
  <c r="Q37" i="24"/>
  <c r="M37" i="24"/>
  <c r="I37" i="24"/>
  <c r="H37" i="24"/>
  <c r="J37" i="24"/>
  <c r="P37" i="24"/>
  <c r="K37" i="24"/>
  <c r="K15" i="38"/>
  <c r="N40" i="37"/>
  <c r="AL25" i="38"/>
  <c r="AE47" i="37"/>
  <c r="BC26" i="33"/>
  <c r="N12" i="28"/>
  <c r="O34" i="7"/>
  <c r="J34" i="7"/>
  <c r="Z20" i="38"/>
  <c r="AY53" i="24"/>
  <c r="AK53" i="24"/>
  <c r="X53" i="24"/>
  <c r="BK86" i="25"/>
  <c r="BK84" i="25"/>
  <c r="BK68" i="25"/>
  <c r="Y106" i="25"/>
  <c r="J12" i="7"/>
  <c r="K12" i="7"/>
  <c r="AD74" i="28"/>
  <c r="M26" i="33"/>
  <c r="BO15" i="38"/>
  <c r="BS15" i="38" s="1"/>
  <c r="BW15" i="38" s="1"/>
  <c r="BB49" i="38"/>
  <c r="AN49" i="38"/>
  <c r="AM47" i="37"/>
  <c r="Q32" i="33"/>
  <c r="Y25" i="28"/>
  <c r="V35" i="33"/>
  <c r="BK96" i="24"/>
  <c r="AQ116" i="24"/>
  <c r="BA116" i="24"/>
  <c r="BC53" i="24"/>
  <c r="BK35" i="26"/>
  <c r="BK60" i="25"/>
  <c r="BK58" i="25"/>
  <c r="BK103" i="25"/>
  <c r="BK65" i="25"/>
  <c r="BK40" i="25"/>
  <c r="BK34" i="25"/>
  <c r="G106" i="25"/>
  <c r="J13" i="24"/>
  <c r="H13" i="24"/>
  <c r="Q13" i="24"/>
  <c r="BL23" i="38"/>
  <c r="AS47" i="37"/>
  <c r="AX72" i="7"/>
  <c r="AI53" i="24"/>
  <c r="AS53" i="24"/>
  <c r="BJ88" i="25"/>
  <c r="AK18" i="25"/>
  <c r="AO18" i="25"/>
  <c r="AU18" i="25"/>
  <c r="BK83" i="25"/>
  <c r="BK97" i="25"/>
  <c r="W47" i="37"/>
  <c r="V47" i="37"/>
  <c r="BG47" i="37"/>
  <c r="BI47" i="37"/>
  <c r="BC47" i="37"/>
  <c r="AY47" i="37"/>
  <c r="AW47" i="37"/>
  <c r="AG47" i="37"/>
  <c r="BE47" i="37"/>
  <c r="BE52" i="37" s="1"/>
  <c r="AE22" i="39" s="1"/>
  <c r="AI47" i="37"/>
  <c r="AO47" i="37"/>
  <c r="AU47" i="37"/>
  <c r="AS18" i="33"/>
  <c r="AY18" i="33"/>
  <c r="O32" i="33"/>
  <c r="X26" i="33"/>
  <c r="X35" i="33" s="1"/>
  <c r="F7" i="40" s="1"/>
  <c r="J92" i="32"/>
  <c r="J128" i="32"/>
  <c r="BQ70" i="32"/>
  <c r="BS70" i="32" s="1"/>
  <c r="BW70" i="32" s="1"/>
  <c r="BQ92" i="32"/>
  <c r="BO56" i="32"/>
  <c r="BS56" i="32" s="1"/>
  <c r="BW56" i="32" s="1"/>
  <c r="Q79" i="32"/>
  <c r="M56" i="32"/>
  <c r="M62" i="32" s="1"/>
  <c r="Q92" i="32"/>
  <c r="BQ67" i="32"/>
  <c r="BS67" i="32" s="1"/>
  <c r="BW67" i="32" s="1"/>
  <c r="BQ66" i="32"/>
  <c r="BS66" i="32" s="1"/>
  <c r="BW66" i="32" s="1"/>
  <c r="BQ128" i="32"/>
  <c r="BS128" i="32" s="1"/>
  <c r="BW128" i="32" s="1"/>
  <c r="AF22" i="32"/>
  <c r="Q128" i="32"/>
  <c r="Q135" i="32" s="1"/>
  <c r="F47" i="37"/>
  <c r="AE22" i="33"/>
  <c r="BV32" i="33"/>
  <c r="N26" i="33"/>
  <c r="J32" i="33"/>
  <c r="Y35" i="33"/>
  <c r="G7" i="40" s="1"/>
  <c r="BK40" i="26"/>
  <c r="BK41" i="26" s="1"/>
  <c r="W23" i="26"/>
  <c r="AS116" i="24"/>
  <c r="BK110" i="24"/>
  <c r="X97" i="24"/>
  <c r="Q98" i="25"/>
  <c r="P98" i="25"/>
  <c r="L98" i="25"/>
  <c r="H98" i="25"/>
  <c r="BT98" i="25"/>
  <c r="BU98" i="25" s="1"/>
  <c r="BV98" i="25" s="1"/>
  <c r="O98" i="25"/>
  <c r="K98" i="25"/>
  <c r="I98" i="25"/>
  <c r="J98" i="25"/>
  <c r="M98" i="25"/>
  <c r="N98" i="25"/>
  <c r="V18" i="25"/>
  <c r="J18" i="25"/>
  <c r="Q52" i="25"/>
  <c r="Q55" i="25" s="1"/>
  <c r="P93" i="25"/>
  <c r="N93" i="25"/>
  <c r="BT93" i="25"/>
  <c r="BU93" i="25" s="1"/>
  <c r="N77" i="25"/>
  <c r="P77" i="25"/>
  <c r="G78" i="25"/>
  <c r="V78" i="25" s="1"/>
  <c r="P65" i="25"/>
  <c r="N65" i="25"/>
  <c r="H42" i="25"/>
  <c r="Q42" i="25"/>
  <c r="L42" i="25"/>
  <c r="I34" i="25"/>
  <c r="N34" i="25"/>
  <c r="Q34" i="25"/>
  <c r="AC18" i="25"/>
  <c r="AQ18" i="25"/>
  <c r="N64" i="25"/>
  <c r="O64" i="25"/>
  <c r="I105" i="25"/>
  <c r="BT105" i="25"/>
  <c r="BU105" i="25" s="1"/>
  <c r="BV105" i="25" s="1"/>
  <c r="O84" i="25"/>
  <c r="O50" i="25"/>
  <c r="O52" i="25" s="1"/>
  <c r="O55" i="25" s="1"/>
  <c r="H50" i="25"/>
  <c r="J93" i="25"/>
  <c r="L77" i="25"/>
  <c r="L65" i="25"/>
  <c r="J65" i="25"/>
  <c r="Q65" i="25"/>
  <c r="L63" i="25"/>
  <c r="J63" i="25"/>
  <c r="Q63" i="25"/>
  <c r="J42" i="25"/>
  <c r="I42" i="25"/>
  <c r="O42" i="25"/>
  <c r="P35" i="25"/>
  <c r="L35" i="25"/>
  <c r="BP35" i="25"/>
  <c r="BR35" i="25" s="1"/>
  <c r="BV35" i="25" s="1"/>
  <c r="J34" i="25"/>
  <c r="K34" i="25"/>
  <c r="N26" i="25"/>
  <c r="J26" i="25"/>
  <c r="P26" i="25"/>
  <c r="L91" i="25"/>
  <c r="BT91" i="25"/>
  <c r="BU91" i="25" s="1"/>
  <c r="BV91" i="25" s="1"/>
  <c r="N38" i="25"/>
  <c r="M38" i="25"/>
  <c r="BK25" i="25"/>
  <c r="AI18" i="25"/>
  <c r="BE18" i="25"/>
  <c r="AY18" i="25"/>
  <c r="R18" i="25"/>
  <c r="H64" i="25"/>
  <c r="L105" i="25"/>
  <c r="H84" i="25"/>
  <c r="M84" i="25"/>
  <c r="BP50" i="25"/>
  <c r="L93" i="25"/>
  <c r="Q93" i="25"/>
  <c r="J77" i="25"/>
  <c r="BS77" i="25"/>
  <c r="BU77" i="25" s="1"/>
  <c r="BV77" i="25" s="1"/>
  <c r="J64" i="25"/>
  <c r="Q64" i="25"/>
  <c r="N105" i="25"/>
  <c r="H105" i="25"/>
  <c r="K84" i="25"/>
  <c r="J50" i="25"/>
  <c r="M50" i="25"/>
  <c r="H93" i="25"/>
  <c r="O93" i="25"/>
  <c r="M77" i="25"/>
  <c r="H65" i="25"/>
  <c r="O65" i="25"/>
  <c r="H63" i="25"/>
  <c r="O63" i="25"/>
  <c r="N42" i="25"/>
  <c r="H35" i="25"/>
  <c r="M35" i="25"/>
  <c r="P34" i="25"/>
  <c r="H34" i="25"/>
  <c r="K26" i="25"/>
  <c r="BV66" i="25"/>
  <c r="Q91" i="25"/>
  <c r="O12" i="25"/>
  <c r="O18" i="25" s="1"/>
  <c r="AT49" i="38"/>
  <c r="BJ49" i="38"/>
  <c r="I19" i="38"/>
  <c r="BO18" i="38"/>
  <c r="BS18" i="38" s="1"/>
  <c r="J18" i="38"/>
  <c r="AV49" i="38"/>
  <c r="BL16" i="38"/>
  <c r="K19" i="34"/>
  <c r="N19" i="34"/>
  <c r="AK27" i="26"/>
  <c r="AG27" i="26"/>
  <c r="R19" i="38"/>
  <c r="Z49" i="38"/>
  <c r="Y49" i="38"/>
  <c r="X49" i="38"/>
  <c r="P19" i="34"/>
  <c r="H19" i="34"/>
  <c r="V47" i="34"/>
  <c r="L19" i="34"/>
  <c r="BP21" i="34"/>
  <c r="BR21" i="34" s="1"/>
  <c r="BV21" i="34" s="1"/>
  <c r="X43" i="34"/>
  <c r="BP41" i="34"/>
  <c r="BR41" i="34" s="1"/>
  <c r="BV41" i="34" s="1"/>
  <c r="Q41" i="34"/>
  <c r="H41" i="34"/>
  <c r="BP39" i="34"/>
  <c r="BR39" i="34" s="1"/>
  <c r="BV39" i="34" s="1"/>
  <c r="Q39" i="34"/>
  <c r="H39" i="34"/>
  <c r="N13" i="34"/>
  <c r="I13" i="34"/>
  <c r="H21" i="34"/>
  <c r="L21" i="34"/>
  <c r="Q21" i="34"/>
  <c r="N38" i="34"/>
  <c r="H38" i="34"/>
  <c r="Q38" i="34"/>
  <c r="H13" i="34"/>
  <c r="J13" i="34"/>
  <c r="P13" i="34"/>
  <c r="M21" i="34"/>
  <c r="K27" i="34"/>
  <c r="O21" i="34"/>
  <c r="BP40" i="34"/>
  <c r="BR40" i="34" s="1"/>
  <c r="BV40" i="34" s="1"/>
  <c r="Q40" i="34"/>
  <c r="H40" i="34"/>
  <c r="BO13" i="34"/>
  <c r="BR13" i="34" s="1"/>
  <c r="BV13" i="34" s="1"/>
  <c r="J21" i="34"/>
  <c r="I21" i="34"/>
  <c r="P21" i="34"/>
  <c r="G27" i="34"/>
  <c r="P26" i="33"/>
  <c r="I32" i="33"/>
  <c r="BG18" i="33"/>
  <c r="AK18" i="33"/>
  <c r="AC18" i="33"/>
  <c r="AU18" i="33"/>
  <c r="AI18" i="33"/>
  <c r="AW18" i="33"/>
  <c r="I20" i="33"/>
  <c r="H20" i="33"/>
  <c r="J20" i="33"/>
  <c r="AE18" i="33"/>
  <c r="BE18" i="33"/>
  <c r="L14" i="33"/>
  <c r="L18" i="33" s="1"/>
  <c r="H14" i="33"/>
  <c r="H18" i="33" s="1"/>
  <c r="BG26" i="33"/>
  <c r="AG18" i="33"/>
  <c r="BI18" i="33"/>
  <c r="AA18" i="33"/>
  <c r="BA18" i="33"/>
  <c r="W18" i="33"/>
  <c r="W22" i="33"/>
  <c r="H21" i="33"/>
  <c r="J21" i="33"/>
  <c r="BC18" i="33"/>
  <c r="AO18" i="33"/>
  <c r="F31" i="28"/>
  <c r="I13" i="28"/>
  <c r="AU72" i="7"/>
  <c r="Z10" i="39" s="1"/>
  <c r="AY69" i="7"/>
  <c r="AY72" i="7" s="1"/>
  <c r="AB10" i="39" s="1"/>
  <c r="AS69" i="7"/>
  <c r="AS72" i="7" s="1"/>
  <c r="Y10" i="39" s="1"/>
  <c r="H22" i="7"/>
  <c r="L22" i="7"/>
  <c r="F62" i="7"/>
  <c r="BJ69" i="7"/>
  <c r="BJ72" i="7" s="1"/>
  <c r="H64" i="7"/>
  <c r="BH69" i="7"/>
  <c r="BH72" i="7" s="1"/>
  <c r="L20" i="7"/>
  <c r="H20" i="7"/>
  <c r="AI72" i="7"/>
  <c r="T10" i="39" s="1"/>
  <c r="AE72" i="7"/>
  <c r="R10" i="39" s="1"/>
  <c r="AW69" i="7"/>
  <c r="AW72" i="7" s="1"/>
  <c r="AA10" i="39" s="1"/>
  <c r="AC69" i="7"/>
  <c r="AC72" i="7" s="1"/>
  <c r="Q10" i="39" s="1"/>
  <c r="BC69" i="7"/>
  <c r="BC72" i="7" s="1"/>
  <c r="AD10" i="39" s="1"/>
  <c r="H66" i="7"/>
  <c r="L66" i="7"/>
  <c r="L65" i="7"/>
  <c r="H65" i="7"/>
  <c r="Q64" i="32"/>
  <c r="I64" i="32"/>
  <c r="BK26" i="25"/>
  <c r="L96" i="25"/>
  <c r="Q96" i="25"/>
  <c r="O96" i="25"/>
  <c r="P96" i="25"/>
  <c r="K96" i="25"/>
  <c r="N96" i="25"/>
  <c r="BT96" i="25"/>
  <c r="BU96" i="25" s="1"/>
  <c r="BV96" i="25" s="1"/>
  <c r="J96" i="25"/>
  <c r="I96" i="25"/>
  <c r="H96" i="25"/>
  <c r="M96" i="25"/>
  <c r="Q103" i="25"/>
  <c r="L103" i="25"/>
  <c r="P103" i="25"/>
  <c r="BT103" i="25"/>
  <c r="BU103" i="25" s="1"/>
  <c r="BV103" i="25" s="1"/>
  <c r="K103" i="25"/>
  <c r="O103" i="25"/>
  <c r="I103" i="25"/>
  <c r="J103" i="25"/>
  <c r="M103" i="25"/>
  <c r="N103" i="25"/>
  <c r="H103" i="25"/>
  <c r="N86" i="25"/>
  <c r="Q86" i="25"/>
  <c r="I86" i="25"/>
  <c r="P86" i="25"/>
  <c r="H86" i="25"/>
  <c r="K86" i="25"/>
  <c r="BS86" i="25"/>
  <c r="BU86" i="25" s="1"/>
  <c r="BV86" i="25" s="1"/>
  <c r="J86" i="25"/>
  <c r="M86" i="25"/>
  <c r="L86" i="25"/>
  <c r="O86" i="25"/>
  <c r="AA52" i="25"/>
  <c r="AA55" i="25" s="1"/>
  <c r="BK50" i="25"/>
  <c r="BT97" i="25"/>
  <c r="BU97" i="25" s="1"/>
  <c r="BV97" i="25" s="1"/>
  <c r="K97" i="25"/>
  <c r="Q97" i="25"/>
  <c r="O97" i="25"/>
  <c r="H97" i="25"/>
  <c r="J97" i="25"/>
  <c r="L97" i="25"/>
  <c r="I97" i="25"/>
  <c r="N97" i="25"/>
  <c r="P97" i="25"/>
  <c r="M97" i="25"/>
  <c r="I82" i="25"/>
  <c r="J82" i="25"/>
  <c r="Q73" i="25"/>
  <c r="H73" i="25"/>
  <c r="BS73" i="25"/>
  <c r="BU73" i="25" s="1"/>
  <c r="BV73" i="25" s="1"/>
  <c r="M73" i="25"/>
  <c r="J73" i="25"/>
  <c r="I73" i="25"/>
  <c r="O73" i="25"/>
  <c r="K73" i="25"/>
  <c r="L73" i="25"/>
  <c r="P73" i="25"/>
  <c r="N73" i="25"/>
  <c r="V66" i="25"/>
  <c r="AM106" i="25"/>
  <c r="AU106" i="25"/>
  <c r="AG106" i="25"/>
  <c r="AW106" i="25"/>
  <c r="BI106" i="25"/>
  <c r="AC87" i="25"/>
  <c r="AQ87" i="25"/>
  <c r="AY87" i="25"/>
  <c r="BC87" i="25"/>
  <c r="BF112" i="25"/>
  <c r="BF113" i="25" s="1"/>
  <c r="AP112" i="25"/>
  <c r="AP113" i="25" s="1"/>
  <c r="AE111" i="25"/>
  <c r="AS111" i="25"/>
  <c r="AG111" i="25"/>
  <c r="BG111" i="25"/>
  <c r="BI111" i="25"/>
  <c r="AO52" i="25"/>
  <c r="AO55" i="25" s="1"/>
  <c r="AK52" i="25"/>
  <c r="AK55" i="25" s="1"/>
  <c r="BA52" i="25"/>
  <c r="BA55" i="25" s="1"/>
  <c r="BG52" i="25"/>
  <c r="BG55" i="25" s="1"/>
  <c r="BK59" i="25"/>
  <c r="AM46" i="25"/>
  <c r="AI46" i="25"/>
  <c r="BA46" i="25"/>
  <c r="V46" i="25"/>
  <c r="BC46" i="25"/>
  <c r="AE71" i="25"/>
  <c r="AK71" i="25"/>
  <c r="AS71" i="25"/>
  <c r="AY71" i="25"/>
  <c r="Y71" i="25"/>
  <c r="BB112" i="25"/>
  <c r="BB113" i="25" s="1"/>
  <c r="AL112" i="25"/>
  <c r="AL113" i="25" s="1"/>
  <c r="I41" i="25"/>
  <c r="L41" i="25"/>
  <c r="M41" i="25"/>
  <c r="H41" i="25"/>
  <c r="N41" i="25"/>
  <c r="R87" i="25"/>
  <c r="U87" i="25"/>
  <c r="S87" i="25"/>
  <c r="T87" i="25"/>
  <c r="AA106" i="25"/>
  <c r="BK91" i="25"/>
  <c r="W90" i="25"/>
  <c r="W106" i="25" s="1"/>
  <c r="S106" i="25"/>
  <c r="AA111" i="25"/>
  <c r="BK108" i="25"/>
  <c r="G108" i="25" s="1"/>
  <c r="AA46" i="25"/>
  <c r="BK20" i="25"/>
  <c r="N90" i="25"/>
  <c r="Q90" i="25"/>
  <c r="H75" i="25"/>
  <c r="Q75" i="25"/>
  <c r="BD112" i="25"/>
  <c r="BD113" i="25" s="1"/>
  <c r="AN112" i="25"/>
  <c r="AN113" i="25" s="1"/>
  <c r="Y66" i="25"/>
  <c r="AE106" i="25"/>
  <c r="AS106" i="25"/>
  <c r="BG106" i="25"/>
  <c r="BA106" i="25"/>
  <c r="AM87" i="25"/>
  <c r="AI87" i="25"/>
  <c r="AU87" i="25"/>
  <c r="BE87" i="25"/>
  <c r="BK69" i="25"/>
  <c r="BK44" i="25"/>
  <c r="AK111" i="25"/>
  <c r="AY111" i="25"/>
  <c r="BE111" i="25"/>
  <c r="BA111" i="25"/>
  <c r="AG52" i="25"/>
  <c r="AG55" i="25" s="1"/>
  <c r="AC52" i="25"/>
  <c r="AC55" i="25" s="1"/>
  <c r="AS52" i="25"/>
  <c r="AS55" i="25" s="1"/>
  <c r="AY52" i="25"/>
  <c r="AY55" i="25" s="1"/>
  <c r="BE52" i="25"/>
  <c r="BE55" i="25" s="1"/>
  <c r="AE46" i="25"/>
  <c r="AS46" i="25"/>
  <c r="BG46" i="25"/>
  <c r="Y46" i="25"/>
  <c r="AO71" i="25"/>
  <c r="AC71" i="25"/>
  <c r="AQ71" i="25"/>
  <c r="W71" i="25"/>
  <c r="BE71" i="25"/>
  <c r="G68" i="25"/>
  <c r="H23" i="25"/>
  <c r="Q23" i="25"/>
  <c r="J23" i="25"/>
  <c r="L23" i="25"/>
  <c r="M23" i="25"/>
  <c r="O23" i="25"/>
  <c r="BP23" i="25"/>
  <c r="BR23" i="25" s="1"/>
  <c r="BV23" i="25" s="1"/>
  <c r="K23" i="25"/>
  <c r="I23" i="25"/>
  <c r="P23" i="25"/>
  <c r="N23" i="25"/>
  <c r="AA18" i="25"/>
  <c r="BK12" i="25"/>
  <c r="X90" i="25"/>
  <c r="X106" i="25" s="1"/>
  <c r="T106" i="25"/>
  <c r="V90" i="25"/>
  <c r="V106" i="25" s="1"/>
  <c r="R106" i="25"/>
  <c r="Q92" i="25"/>
  <c r="J92" i="25"/>
  <c r="L92" i="25"/>
  <c r="BT92" i="25"/>
  <c r="BU92" i="25" s="1"/>
  <c r="BV92" i="25" s="1"/>
  <c r="N92" i="25"/>
  <c r="P92" i="25"/>
  <c r="I92" i="25"/>
  <c r="K92" i="25"/>
  <c r="M92" i="25"/>
  <c r="O92" i="25"/>
  <c r="H92" i="25"/>
  <c r="H77" i="25"/>
  <c r="Q77" i="25"/>
  <c r="X66" i="25"/>
  <c r="BK23" i="25"/>
  <c r="AK106" i="25"/>
  <c r="AQ106" i="25"/>
  <c r="AY106" i="25"/>
  <c r="BC106" i="25"/>
  <c r="AE87" i="25"/>
  <c r="AE88" i="25" s="1"/>
  <c r="AS87" i="25"/>
  <c r="AO87" i="25"/>
  <c r="AW87" i="25"/>
  <c r="BI87" i="25"/>
  <c r="AX112" i="25"/>
  <c r="AX113" i="25" s="1"/>
  <c r="AH112" i="25"/>
  <c r="AH113" i="25" s="1"/>
  <c r="AC111" i="25"/>
  <c r="AQ111" i="25"/>
  <c r="AU111" i="25"/>
  <c r="AW111" i="25"/>
  <c r="AQ52" i="25"/>
  <c r="AQ55" i="25" s="1"/>
  <c r="AM52" i="25"/>
  <c r="AM55" i="25" s="1"/>
  <c r="BC52" i="25"/>
  <c r="BC55" i="25" s="1"/>
  <c r="V52" i="25"/>
  <c r="V55" i="25" s="1"/>
  <c r="AW52" i="25"/>
  <c r="AW55" i="25" s="1"/>
  <c r="BK22" i="25"/>
  <c r="AO46" i="25"/>
  <c r="AK46" i="25"/>
  <c r="AU46" i="25"/>
  <c r="AY46" i="25"/>
  <c r="BE46" i="25"/>
  <c r="AG71" i="25"/>
  <c r="AW71" i="25"/>
  <c r="AI71" i="25"/>
  <c r="BI71" i="25"/>
  <c r="V71" i="25"/>
  <c r="X71" i="25"/>
  <c r="AT112" i="25"/>
  <c r="AT113" i="25" s="1"/>
  <c r="AD112" i="25"/>
  <c r="AD113" i="25" s="1"/>
  <c r="Q74" i="25"/>
  <c r="H74" i="25"/>
  <c r="M74" i="25"/>
  <c r="O74" i="25"/>
  <c r="L74" i="25"/>
  <c r="J74" i="25"/>
  <c r="P74" i="25"/>
  <c r="N74" i="25"/>
  <c r="BS74" i="25"/>
  <c r="BU74" i="25" s="1"/>
  <c r="BV74" i="25" s="1"/>
  <c r="I74" i="25"/>
  <c r="K74" i="25"/>
  <c r="K78" i="25" s="1"/>
  <c r="P91" i="25"/>
  <c r="O91" i="25"/>
  <c r="H91" i="25"/>
  <c r="M100" i="25"/>
  <c r="N100" i="25"/>
  <c r="O100" i="25"/>
  <c r="P100" i="25"/>
  <c r="H100" i="25"/>
  <c r="Q100" i="25"/>
  <c r="I100" i="25"/>
  <c r="J100" i="25"/>
  <c r="BT100" i="25"/>
  <c r="BU100" i="25" s="1"/>
  <c r="BV100" i="25" s="1"/>
  <c r="K100" i="25"/>
  <c r="L100" i="25"/>
  <c r="BV53" i="25"/>
  <c r="BR54" i="25"/>
  <c r="BV54" i="25" s="1"/>
  <c r="BT94" i="25"/>
  <c r="BU94" i="25" s="1"/>
  <c r="BV94" i="25" s="1"/>
  <c r="K94" i="25"/>
  <c r="L94" i="25"/>
  <c r="M94" i="25"/>
  <c r="N94" i="25"/>
  <c r="O94" i="25"/>
  <c r="P94" i="25"/>
  <c r="H94" i="25"/>
  <c r="Q94" i="25"/>
  <c r="I94" i="25"/>
  <c r="J94" i="25"/>
  <c r="H80" i="25"/>
  <c r="L80" i="25"/>
  <c r="P80" i="25"/>
  <c r="BS80" i="25"/>
  <c r="BU80" i="25" s="1"/>
  <c r="BV80" i="25" s="1"/>
  <c r="N80" i="25"/>
  <c r="Q80" i="25"/>
  <c r="I80" i="25"/>
  <c r="J80" i="25"/>
  <c r="M80" i="25"/>
  <c r="O80" i="25"/>
  <c r="K80" i="25"/>
  <c r="AV112" i="25"/>
  <c r="AV113" i="25" s="1"/>
  <c r="AF112" i="25"/>
  <c r="AF113" i="25" s="1"/>
  <c r="W66" i="25"/>
  <c r="BK39" i="25"/>
  <c r="BK37" i="25"/>
  <c r="BK109" i="25"/>
  <c r="G109" i="25" s="1"/>
  <c r="AC106" i="25"/>
  <c r="AI106" i="25"/>
  <c r="AO106" i="25"/>
  <c r="BE106" i="25"/>
  <c r="AA87" i="25"/>
  <c r="AK87" i="25"/>
  <c r="AK88" i="25" s="1"/>
  <c r="AG87" i="25"/>
  <c r="BG87" i="25"/>
  <c r="BA87" i="25"/>
  <c r="BK51" i="25"/>
  <c r="AM111" i="25"/>
  <c r="AI111" i="25"/>
  <c r="AO111" i="25"/>
  <c r="BC111" i="25"/>
  <c r="AI52" i="25"/>
  <c r="AI55" i="25" s="1"/>
  <c r="AE52" i="25"/>
  <c r="AE55" i="25" s="1"/>
  <c r="AU52" i="25"/>
  <c r="AU55" i="25" s="1"/>
  <c r="BI52" i="25"/>
  <c r="BI55" i="25" s="1"/>
  <c r="Y52" i="25"/>
  <c r="Y55" i="25" s="1"/>
  <c r="BK24" i="25"/>
  <c r="AG46" i="25"/>
  <c r="AC46" i="25"/>
  <c r="AQ46" i="25"/>
  <c r="BI46" i="25"/>
  <c r="AW46" i="25"/>
  <c r="X46" i="25"/>
  <c r="AA71" i="25"/>
  <c r="AM71" i="25"/>
  <c r="AU71" i="25"/>
  <c r="BA71" i="25"/>
  <c r="BG71" i="25"/>
  <c r="BC71" i="25"/>
  <c r="AI14" i="26"/>
  <c r="BI14" i="26"/>
  <c r="AU14" i="26"/>
  <c r="BJ42" i="26"/>
  <c r="BU42" i="26"/>
  <c r="Y39" i="26"/>
  <c r="AY27" i="26"/>
  <c r="BC27" i="26"/>
  <c r="AW27" i="26"/>
  <c r="G20" i="26"/>
  <c r="K20" i="26" s="1"/>
  <c r="BG14" i="26"/>
  <c r="AE14" i="26"/>
  <c r="H21" i="26"/>
  <c r="K21" i="26"/>
  <c r="K29" i="26"/>
  <c r="H29" i="26"/>
  <c r="P29" i="26"/>
  <c r="P33" i="26" s="1"/>
  <c r="Q29" i="26"/>
  <c r="J29" i="26"/>
  <c r="I29" i="26"/>
  <c r="G33" i="26"/>
  <c r="L29" i="26"/>
  <c r="L33" i="26" s="1"/>
  <c r="M29" i="26"/>
  <c r="N29" i="26"/>
  <c r="O29" i="26"/>
  <c r="AC39" i="26"/>
  <c r="BI39" i="26"/>
  <c r="AU39" i="26"/>
  <c r="AO39" i="26"/>
  <c r="BG39" i="26"/>
  <c r="G12" i="26"/>
  <c r="AU33" i="26"/>
  <c r="AO33" i="26"/>
  <c r="AI33" i="26"/>
  <c r="AS33" i="26"/>
  <c r="AC27" i="26"/>
  <c r="BA27" i="26"/>
  <c r="AE27" i="26"/>
  <c r="X27" i="26"/>
  <c r="BE27" i="26"/>
  <c r="BG27" i="26"/>
  <c r="AS23" i="26"/>
  <c r="BC23" i="26"/>
  <c r="AW23" i="26"/>
  <c r="AQ23" i="26"/>
  <c r="BK12" i="26"/>
  <c r="BA14" i="26"/>
  <c r="AM14" i="26"/>
  <c r="BE14" i="26"/>
  <c r="K16" i="26"/>
  <c r="H16" i="26"/>
  <c r="L16" i="26"/>
  <c r="L18" i="26" s="1"/>
  <c r="M16" i="26"/>
  <c r="N16" i="26"/>
  <c r="O16" i="26"/>
  <c r="P16" i="26"/>
  <c r="Q16" i="26"/>
  <c r="BO16" i="26"/>
  <c r="BR16" i="26" s="1"/>
  <c r="BV16" i="26" s="1"/>
  <c r="I16" i="26"/>
  <c r="I18" i="26" s="1"/>
  <c r="J16" i="26"/>
  <c r="J18" i="26" s="1"/>
  <c r="G18" i="26"/>
  <c r="K37" i="26"/>
  <c r="I37" i="26"/>
  <c r="Q37" i="26"/>
  <c r="BP37" i="26"/>
  <c r="BR37" i="26" s="1"/>
  <c r="BV37" i="26" s="1"/>
  <c r="O37" i="26"/>
  <c r="O39" i="26" s="1"/>
  <c r="J37" i="26"/>
  <c r="H37" i="26"/>
  <c r="H39" i="26" s="1"/>
  <c r="L37" i="26"/>
  <c r="N37" i="26"/>
  <c r="N39" i="26" s="1"/>
  <c r="P37" i="26"/>
  <c r="M37" i="26"/>
  <c r="K17" i="26"/>
  <c r="H17" i="26"/>
  <c r="Q26" i="26"/>
  <c r="K26" i="26"/>
  <c r="BO26" i="26"/>
  <c r="BR26" i="26" s="1"/>
  <c r="BV26" i="26" s="1"/>
  <c r="H26" i="26"/>
  <c r="I26" i="26"/>
  <c r="BA39" i="26"/>
  <c r="AM39" i="26"/>
  <c r="AG39" i="26"/>
  <c r="AY39" i="26"/>
  <c r="AM33" i="26"/>
  <c r="AG33" i="26"/>
  <c r="X33" i="26"/>
  <c r="BG33" i="26"/>
  <c r="AK33" i="26"/>
  <c r="BK25" i="26"/>
  <c r="BK27" i="26" s="1"/>
  <c r="AQ27" i="26"/>
  <c r="AK23" i="26"/>
  <c r="BI23" i="26"/>
  <c r="AU23" i="26"/>
  <c r="AO23" i="26"/>
  <c r="AI23" i="26"/>
  <c r="AS14" i="26"/>
  <c r="BC14" i="26"/>
  <c r="AW14" i="26"/>
  <c r="BP35" i="26"/>
  <c r="G39" i="26"/>
  <c r="K31" i="26"/>
  <c r="H31" i="26"/>
  <c r="AS39" i="26"/>
  <c r="AE39" i="26"/>
  <c r="BE39" i="26"/>
  <c r="AQ39" i="26"/>
  <c r="AE33" i="26"/>
  <c r="Y33" i="26"/>
  <c r="BE33" i="26"/>
  <c r="AY33" i="26"/>
  <c r="AC33" i="26"/>
  <c r="BI33" i="26"/>
  <c r="AS27" i="26"/>
  <c r="Y27" i="26"/>
  <c r="AU27" i="26"/>
  <c r="AO27" i="26"/>
  <c r="AI27" i="26"/>
  <c r="G25" i="26"/>
  <c r="AC23" i="26"/>
  <c r="BA23" i="26"/>
  <c r="AM23" i="26"/>
  <c r="AG23" i="26"/>
  <c r="AQ14" i="26"/>
  <c r="AK14" i="26"/>
  <c r="X14" i="26"/>
  <c r="AY14" i="26"/>
  <c r="AO14" i="26"/>
  <c r="H40" i="26"/>
  <c r="H41" i="26" s="1"/>
  <c r="K40" i="26"/>
  <c r="K41" i="26" s="1"/>
  <c r="O40" i="26"/>
  <c r="O41" i="26" s="1"/>
  <c r="BP40" i="26"/>
  <c r="I40" i="26"/>
  <c r="I41" i="26" s="1"/>
  <c r="L40" i="26"/>
  <c r="L41" i="26" s="1"/>
  <c r="M40" i="26"/>
  <c r="M41" i="26" s="1"/>
  <c r="N40" i="26"/>
  <c r="N41" i="26" s="1"/>
  <c r="G41" i="26"/>
  <c r="Q40" i="26"/>
  <c r="Q41" i="26" s="1"/>
  <c r="P40" i="26"/>
  <c r="P41" i="26" s="1"/>
  <c r="J40" i="26"/>
  <c r="J41" i="26" s="1"/>
  <c r="K32" i="26"/>
  <c r="H32" i="26"/>
  <c r="BK17" i="26"/>
  <c r="BK18" i="26" s="1"/>
  <c r="AA18" i="26"/>
  <c r="AK39" i="26"/>
  <c r="BC39" i="26"/>
  <c r="AW39" i="26"/>
  <c r="AI39" i="26"/>
  <c r="V39" i="26"/>
  <c r="BK21" i="26"/>
  <c r="BK31" i="26"/>
  <c r="BC33" i="26"/>
  <c r="AW33" i="26"/>
  <c r="AQ33" i="26"/>
  <c r="BA33" i="26"/>
  <c r="BI27" i="26"/>
  <c r="AA23" i="26"/>
  <c r="AY23" i="26"/>
  <c r="AE23" i="26"/>
  <c r="BE23" i="26"/>
  <c r="BG23" i="26"/>
  <c r="AC14" i="26"/>
  <c r="AG14" i="26"/>
  <c r="AU53" i="24"/>
  <c r="BK86" i="24"/>
  <c r="BK35" i="24"/>
  <c r="BK27" i="24"/>
  <c r="BK64" i="24"/>
  <c r="BK65" i="24" s="1"/>
  <c r="I27" i="24"/>
  <c r="L41" i="24"/>
  <c r="P41" i="24"/>
  <c r="AG116" i="24"/>
  <c r="AI116" i="24"/>
  <c r="AY116" i="24"/>
  <c r="BI116" i="24"/>
  <c r="X116" i="24"/>
  <c r="S41" i="24"/>
  <c r="W41" i="24" s="1"/>
  <c r="BK22" i="24"/>
  <c r="AE53" i="24"/>
  <c r="AQ53" i="24"/>
  <c r="BG53" i="24"/>
  <c r="BK34" i="24"/>
  <c r="BK91" i="24"/>
  <c r="BK33" i="24"/>
  <c r="BK16" i="24"/>
  <c r="BK114" i="24"/>
  <c r="BK14" i="24"/>
  <c r="S42" i="24"/>
  <c r="W42" i="24" s="1"/>
  <c r="S33" i="24"/>
  <c r="W33" i="24" s="1"/>
  <c r="AA44" i="24"/>
  <c r="Y97" i="24"/>
  <c r="AE17" i="24"/>
  <c r="H47" i="24"/>
  <c r="Q47" i="24"/>
  <c r="BP47" i="24"/>
  <c r="BR47" i="24" s="1"/>
  <c r="BV47" i="24" s="1"/>
  <c r="N47" i="24"/>
  <c r="P47" i="24"/>
  <c r="O47" i="24"/>
  <c r="AA116" i="24"/>
  <c r="BK108" i="24"/>
  <c r="AA97" i="24"/>
  <c r="AA98" i="24" s="1"/>
  <c r="BK89" i="24"/>
  <c r="S19" i="24"/>
  <c r="G19" i="24"/>
  <c r="G44" i="24" s="1"/>
  <c r="Q12" i="24"/>
  <c r="J12" i="24"/>
  <c r="I12" i="24"/>
  <c r="O12" i="24"/>
  <c r="L35" i="24"/>
  <c r="P27" i="24"/>
  <c r="AM116" i="24"/>
  <c r="BC116" i="24"/>
  <c r="W116" i="24"/>
  <c r="AW116" i="24"/>
  <c r="BK85" i="24"/>
  <c r="S27" i="24"/>
  <c r="W27" i="24" s="1"/>
  <c r="V44" i="24"/>
  <c r="AQ44" i="24"/>
  <c r="BG44" i="24"/>
  <c r="AG44" i="24"/>
  <c r="AW44" i="24"/>
  <c r="AC53" i="24"/>
  <c r="Y53" i="24"/>
  <c r="AW53" i="24"/>
  <c r="W53" i="24"/>
  <c r="AM97" i="24"/>
  <c r="BC97" i="24"/>
  <c r="AK97" i="24"/>
  <c r="BA97" i="24"/>
  <c r="W97" i="24"/>
  <c r="AE87" i="24"/>
  <c r="AK87" i="24"/>
  <c r="BA87" i="24"/>
  <c r="AI87" i="24"/>
  <c r="AY87" i="24"/>
  <c r="BK40" i="24"/>
  <c r="AC17" i="24"/>
  <c r="AM17" i="24"/>
  <c r="BC17" i="24"/>
  <c r="AK17" i="24"/>
  <c r="BA17" i="24"/>
  <c r="I49" i="24"/>
  <c r="H49" i="24"/>
  <c r="K49" i="24"/>
  <c r="K53" i="24" s="1"/>
  <c r="J49" i="24"/>
  <c r="O49" i="24"/>
  <c r="L49" i="24"/>
  <c r="Q49" i="24"/>
  <c r="P49" i="24"/>
  <c r="BP27" i="24"/>
  <c r="BR27" i="24" s="1"/>
  <c r="BV27" i="24" s="1"/>
  <c r="O27" i="24"/>
  <c r="J27" i="24"/>
  <c r="H27" i="24"/>
  <c r="N27" i="24"/>
  <c r="Q27" i="24"/>
  <c r="L27" i="24"/>
  <c r="Q23" i="24"/>
  <c r="J23" i="24"/>
  <c r="I23" i="24"/>
  <c r="O23" i="24"/>
  <c r="BP23" i="24"/>
  <c r="BR23" i="24" s="1"/>
  <c r="BV23" i="24" s="1"/>
  <c r="Y13" i="24"/>
  <c r="Y17" i="24" s="1"/>
  <c r="U17" i="24"/>
  <c r="H16" i="24"/>
  <c r="M16" i="24"/>
  <c r="L16" i="24"/>
  <c r="J16" i="24"/>
  <c r="O16" i="24"/>
  <c r="N16" i="24"/>
  <c r="I16" i="24"/>
  <c r="Q16" i="24"/>
  <c r="P16" i="24"/>
  <c r="K16" i="24"/>
  <c r="M15" i="24"/>
  <c r="K15" i="24"/>
  <c r="N15" i="24"/>
  <c r="BK19" i="24"/>
  <c r="AM44" i="24"/>
  <c r="BC44" i="24"/>
  <c r="X44" i="24"/>
  <c r="AS44" i="24"/>
  <c r="AC97" i="24"/>
  <c r="AI97" i="24"/>
  <c r="AY97" i="24"/>
  <c r="AY98" i="24" s="1"/>
  <c r="AW97" i="24"/>
  <c r="AC87" i="24"/>
  <c r="AG87" i="24"/>
  <c r="AW87" i="24"/>
  <c r="W87" i="24"/>
  <c r="AU87" i="24"/>
  <c r="X87" i="24"/>
  <c r="X98" i="24" s="1"/>
  <c r="BK24" i="24"/>
  <c r="BK15" i="24"/>
  <c r="AI17" i="24"/>
  <c r="AY17" i="24"/>
  <c r="X17" i="24"/>
  <c r="AW17" i="24"/>
  <c r="W17" i="24"/>
  <c r="I41" i="24"/>
  <c r="J41" i="24"/>
  <c r="H41" i="24"/>
  <c r="Q41" i="24"/>
  <c r="M42" i="24"/>
  <c r="K42" i="24"/>
  <c r="BP42" i="24"/>
  <c r="BR42" i="24" s="1"/>
  <c r="BV42" i="24" s="1"/>
  <c r="P33" i="24"/>
  <c r="H33" i="24"/>
  <c r="BP33" i="24"/>
  <c r="BR33" i="24" s="1"/>
  <c r="BV33" i="24" s="1"/>
  <c r="P23" i="24"/>
  <c r="AE116" i="24"/>
  <c r="Y116" i="24"/>
  <c r="AU116" i="24"/>
  <c r="V116" i="24"/>
  <c r="AO116" i="24"/>
  <c r="BE116" i="24"/>
  <c r="S35" i="24"/>
  <c r="W35" i="24" s="1"/>
  <c r="AC44" i="24"/>
  <c r="AI44" i="24"/>
  <c r="AY44" i="24"/>
  <c r="BI44" i="24"/>
  <c r="AO44" i="24"/>
  <c r="BE44" i="24"/>
  <c r="AG53" i="24"/>
  <c r="V53" i="24"/>
  <c r="AO53" i="24"/>
  <c r="BE53" i="24"/>
  <c r="BK23" i="24"/>
  <c r="AE97" i="24"/>
  <c r="AU97" i="24"/>
  <c r="V97" i="24"/>
  <c r="AS97" i="24"/>
  <c r="BI97" i="24"/>
  <c r="S29" i="24"/>
  <c r="W29" i="24" s="1"/>
  <c r="S17" i="24"/>
  <c r="BK71" i="24"/>
  <c r="Y87" i="24"/>
  <c r="AS87" i="24"/>
  <c r="V87" i="24"/>
  <c r="AQ87" i="24"/>
  <c r="BG87" i="24"/>
  <c r="BK12" i="24"/>
  <c r="AU17" i="24"/>
  <c r="AS17" i="24"/>
  <c r="BI17" i="24"/>
  <c r="BP35" i="24"/>
  <c r="BR35" i="24" s="1"/>
  <c r="BV35" i="24" s="1"/>
  <c r="M35" i="24"/>
  <c r="Q35" i="24"/>
  <c r="J35" i="24"/>
  <c r="K35" i="24"/>
  <c r="O35" i="24"/>
  <c r="Q29" i="24"/>
  <c r="BP29" i="24"/>
  <c r="BR29" i="24" s="1"/>
  <c r="BV29" i="24" s="1"/>
  <c r="J29" i="24"/>
  <c r="V13" i="24"/>
  <c r="V17" i="24" s="1"/>
  <c r="R17" i="24"/>
  <c r="AE44" i="24"/>
  <c r="AU44" i="24"/>
  <c r="Y44" i="24"/>
  <c r="AK44" i="24"/>
  <c r="BA44" i="24"/>
  <c r="AG97" i="24"/>
  <c r="AQ97" i="24"/>
  <c r="BG97" i="24"/>
  <c r="AO97" i="24"/>
  <c r="BE97" i="24"/>
  <c r="BI87" i="24"/>
  <c r="AO87" i="24"/>
  <c r="BE87" i="24"/>
  <c r="AM87" i="24"/>
  <c r="BC87" i="24"/>
  <c r="AG17" i="24"/>
  <c r="AQ17" i="24"/>
  <c r="BG17" i="24"/>
  <c r="AO17" i="24"/>
  <c r="BE17" i="24"/>
  <c r="T17" i="24"/>
  <c r="N15" i="38"/>
  <c r="J15" i="38"/>
  <c r="AH49" i="38"/>
  <c r="BH49" i="38"/>
  <c r="AJ25" i="38"/>
  <c r="AZ25" i="38"/>
  <c r="Y13" i="38"/>
  <c r="V20" i="38"/>
  <c r="N51" i="38"/>
  <c r="N52" i="38" s="1"/>
  <c r="Q15" i="38"/>
  <c r="P15" i="38"/>
  <c r="AJ49" i="38"/>
  <c r="AR25" i="38"/>
  <c r="BH25" i="38"/>
  <c r="W49" i="38"/>
  <c r="W13" i="38"/>
  <c r="G42" i="38"/>
  <c r="H39" i="38"/>
  <c r="K39" i="38" s="1"/>
  <c r="K42" i="38" s="1"/>
  <c r="L32" i="38"/>
  <c r="M32" i="38"/>
  <c r="K32" i="38"/>
  <c r="T20" i="38"/>
  <c r="X16" i="38"/>
  <c r="X20" i="38" s="1"/>
  <c r="W17" i="38"/>
  <c r="W20" i="38" s="1"/>
  <c r="S20" i="38"/>
  <c r="S53" i="38" s="1"/>
  <c r="M47" i="38"/>
  <c r="R47" i="38"/>
  <c r="H23" i="38"/>
  <c r="R45" i="38"/>
  <c r="M45" i="38"/>
  <c r="R46" i="38"/>
  <c r="Y20" i="38"/>
  <c r="H44" i="38"/>
  <c r="K44" i="38" s="1"/>
  <c r="G49" i="38"/>
  <c r="M15" i="38"/>
  <c r="R15" i="38"/>
  <c r="BR34" i="28"/>
  <c r="BV34" i="28" s="1"/>
  <c r="BD74" i="28"/>
  <c r="BK61" i="28"/>
  <c r="AF74" i="28"/>
  <c r="W49" i="37"/>
  <c r="AO51" i="37"/>
  <c r="AW51" i="37"/>
  <c r="K44" i="37"/>
  <c r="BN44" i="37"/>
  <c r="BR44" i="37" s="1"/>
  <c r="BV44" i="37" s="1"/>
  <c r="Q44" i="37"/>
  <c r="AK51" i="37"/>
  <c r="AU51" i="37"/>
  <c r="W50" i="37"/>
  <c r="Y44" i="37"/>
  <c r="Y47" i="37" s="1"/>
  <c r="AY51" i="37"/>
  <c r="L44" i="37"/>
  <c r="N44" i="37"/>
  <c r="AC51" i="37"/>
  <c r="V51" i="37"/>
  <c r="Q67" i="32"/>
  <c r="Q66" i="32"/>
  <c r="Q65" i="32"/>
  <c r="I65" i="32"/>
  <c r="BO31" i="32"/>
  <c r="BS31" i="32" s="1"/>
  <c r="BW31" i="32" s="1"/>
  <c r="BB22" i="32"/>
  <c r="J27" i="32"/>
  <c r="J33" i="32" s="1"/>
  <c r="N27" i="32"/>
  <c r="I27" i="32"/>
  <c r="I33" i="32" s="1"/>
  <c r="M13" i="32"/>
  <c r="J13" i="32"/>
  <c r="I13" i="32"/>
  <c r="I14" i="32"/>
  <c r="M14" i="32"/>
  <c r="J14" i="32"/>
  <c r="H41" i="28"/>
  <c r="AZ74" i="28"/>
  <c r="M41" i="28"/>
  <c r="P41" i="28"/>
  <c r="L41" i="28"/>
  <c r="BO41" i="28"/>
  <c r="BR41" i="28" s="1"/>
  <c r="BV41" i="28" s="1"/>
  <c r="O41" i="28"/>
  <c r="Q41" i="28"/>
  <c r="J41" i="28"/>
  <c r="BJ62" i="28"/>
  <c r="N41" i="28"/>
  <c r="I41" i="28"/>
  <c r="Q45" i="28"/>
  <c r="I45" i="28"/>
  <c r="N45" i="28"/>
  <c r="F50" i="28"/>
  <c r="O45" i="28"/>
  <c r="L45" i="28"/>
  <c r="R32" i="38"/>
  <c r="L39" i="34"/>
  <c r="W47" i="34"/>
  <c r="K33" i="34"/>
  <c r="K36" i="34" s="1"/>
  <c r="L33" i="34"/>
  <c r="H33" i="34"/>
  <c r="Y22" i="34"/>
  <c r="U47" i="34"/>
  <c r="Y46" i="34"/>
  <c r="V43" i="34"/>
  <c r="T47" i="34"/>
  <c r="X46" i="34"/>
  <c r="V11" i="34"/>
  <c r="V15" i="34" s="1"/>
  <c r="V22" i="34"/>
  <c r="W43" i="34"/>
  <c r="V27" i="34"/>
  <c r="W29" i="34"/>
  <c r="W27" i="34"/>
  <c r="U49" i="34"/>
  <c r="Y48" i="34"/>
  <c r="Y43" i="34"/>
  <c r="O69" i="24"/>
  <c r="M69" i="24"/>
  <c r="L69" i="24"/>
  <c r="Q69" i="24"/>
  <c r="N69" i="24"/>
  <c r="I69" i="24"/>
  <c r="H69" i="24"/>
  <c r="BS69" i="24"/>
  <c r="BU69" i="24" s="1"/>
  <c r="BV69" i="24" s="1"/>
  <c r="K69" i="24"/>
  <c r="J69" i="24"/>
  <c r="N37" i="25"/>
  <c r="I37" i="25"/>
  <c r="H37" i="25"/>
  <c r="BP37" i="25"/>
  <c r="BR37" i="25" s="1"/>
  <c r="BV37" i="25" s="1"/>
  <c r="O37" i="25"/>
  <c r="L37" i="25"/>
  <c r="O38" i="25"/>
  <c r="K38" i="25"/>
  <c r="BP38" i="25"/>
  <c r="BR38" i="25" s="1"/>
  <c r="BV38" i="25" s="1"/>
  <c r="P38" i="25"/>
  <c r="Q38" i="25"/>
  <c r="J38" i="25"/>
  <c r="L12" i="25"/>
  <c r="K12" i="25"/>
  <c r="P12" i="25"/>
  <c r="P18" i="25" s="1"/>
  <c r="BT12" i="25"/>
  <c r="M12" i="25"/>
  <c r="BP44" i="25"/>
  <c r="BR44" i="25" s="1"/>
  <c r="BV44" i="25" s="1"/>
  <c r="Q44" i="25"/>
  <c r="K44" i="25"/>
  <c r="N44" i="25"/>
  <c r="P44" i="25"/>
  <c r="H44" i="25"/>
  <c r="J44" i="25"/>
  <c r="M44" i="25"/>
  <c r="L44" i="25"/>
  <c r="O44" i="25"/>
  <c r="I44" i="25"/>
  <c r="G65" i="24"/>
  <c r="H63" i="24"/>
  <c r="H65" i="24" s="1"/>
  <c r="BP63" i="24"/>
  <c r="K63" i="24"/>
  <c r="K65" i="24" s="1"/>
  <c r="N63" i="24"/>
  <c r="N65" i="24" s="1"/>
  <c r="M63" i="24"/>
  <c r="L63" i="24"/>
  <c r="L65" i="24" s="1"/>
  <c r="O63" i="24"/>
  <c r="O65" i="24" s="1"/>
  <c r="P63" i="24"/>
  <c r="P65" i="24" s="1"/>
  <c r="P114" i="24"/>
  <c r="P116" i="24" s="1"/>
  <c r="Q114" i="24"/>
  <c r="Q116" i="24" s="1"/>
  <c r="I114" i="24"/>
  <c r="I116" i="24" s="1"/>
  <c r="J114" i="24"/>
  <c r="J116" i="24" s="1"/>
  <c r="BT114" i="24"/>
  <c r="M114" i="24"/>
  <c r="M116" i="24" s="1"/>
  <c r="N114" i="24"/>
  <c r="N116" i="24" s="1"/>
  <c r="O114" i="24"/>
  <c r="O116" i="24" s="1"/>
  <c r="H114" i="24"/>
  <c r="K114" i="24"/>
  <c r="L114" i="24"/>
  <c r="I40" i="24"/>
  <c r="BP40" i="24"/>
  <c r="BR40" i="24" s="1"/>
  <c r="BV40" i="24" s="1"/>
  <c r="M40" i="24"/>
  <c r="N40" i="24"/>
  <c r="H40" i="24"/>
  <c r="K40" i="24"/>
  <c r="O40" i="24"/>
  <c r="P40" i="24"/>
  <c r="Q40" i="24"/>
  <c r="J40" i="24"/>
  <c r="L40" i="24"/>
  <c r="BS86" i="24"/>
  <c r="BU86" i="24" s="1"/>
  <c r="BV86" i="24" s="1"/>
  <c r="O86" i="24"/>
  <c r="P86" i="24"/>
  <c r="I86" i="24"/>
  <c r="L86" i="24"/>
  <c r="M86" i="24"/>
  <c r="Q86" i="24"/>
  <c r="H86" i="24"/>
  <c r="J86" i="24"/>
  <c r="K86" i="24"/>
  <c r="N86" i="24"/>
  <c r="H50" i="24"/>
  <c r="N50" i="24"/>
  <c r="I50" i="24"/>
  <c r="P50" i="24"/>
  <c r="Q50" i="24"/>
  <c r="BP50" i="24"/>
  <c r="BR50" i="24" s="1"/>
  <c r="BV50" i="24" s="1"/>
  <c r="M50" i="24"/>
  <c r="O50" i="24"/>
  <c r="L50" i="24"/>
  <c r="Y27" i="34"/>
  <c r="S29" i="32"/>
  <c r="W29" i="32" s="1"/>
  <c r="T29" i="32"/>
  <c r="X29" i="32" s="1"/>
  <c r="U29" i="32"/>
  <c r="Y29" i="32" s="1"/>
  <c r="H29" i="32"/>
  <c r="H33" i="32" s="1"/>
  <c r="V29" i="32"/>
  <c r="Z29" i="32" s="1"/>
  <c r="H114" i="32"/>
  <c r="S37" i="32"/>
  <c r="W37" i="32" s="1"/>
  <c r="T37" i="32"/>
  <c r="U37" i="32"/>
  <c r="Y37" i="32" s="1"/>
  <c r="Y38" i="32" s="1"/>
  <c r="H37" i="32"/>
  <c r="V37" i="32"/>
  <c r="Z37" i="32" s="1"/>
  <c r="Z38" i="32" s="1"/>
  <c r="H113" i="32"/>
  <c r="Y96" i="32"/>
  <c r="H96" i="32"/>
  <c r="H91" i="32"/>
  <c r="Y91" i="32"/>
  <c r="X91" i="32"/>
  <c r="N17" i="34"/>
  <c r="BK14" i="33"/>
  <c r="BE72" i="7"/>
  <c r="AE10" i="39" s="1"/>
  <c r="BK63" i="7"/>
  <c r="G63" i="7" s="1"/>
  <c r="L63" i="7" s="1"/>
  <c r="T50" i="28"/>
  <c r="X46" i="28"/>
  <c r="X50" i="28" s="1"/>
  <c r="J79" i="32"/>
  <c r="I79" i="32"/>
  <c r="I22" i="7"/>
  <c r="N22" i="7"/>
  <c r="K22" i="7"/>
  <c r="P22" i="7"/>
  <c r="BS22" i="7"/>
  <c r="BV22" i="7" s="1"/>
  <c r="BO47" i="32"/>
  <c r="Y50" i="28"/>
  <c r="X40" i="32"/>
  <c r="X45" i="32" s="1"/>
  <c r="T45" i="32"/>
  <c r="BQ64" i="32"/>
  <c r="BS64" i="32" s="1"/>
  <c r="BW64" i="32" s="1"/>
  <c r="X56" i="7"/>
  <c r="X57" i="7" s="1"/>
  <c r="T56" i="7"/>
  <c r="T57" i="7" s="1"/>
  <c r="H25" i="25"/>
  <c r="M25" i="25"/>
  <c r="I25" i="25"/>
  <c r="P25" i="25"/>
  <c r="L25" i="25"/>
  <c r="O25" i="25"/>
  <c r="BP25" i="25"/>
  <c r="BR25" i="25" s="1"/>
  <c r="BV25" i="25" s="1"/>
  <c r="N25" i="25"/>
  <c r="K25" i="25"/>
  <c r="J25" i="25"/>
  <c r="Q25" i="25"/>
  <c r="BP48" i="24"/>
  <c r="I48" i="24"/>
  <c r="J48" i="24"/>
  <c r="Q48" i="24"/>
  <c r="H48" i="24"/>
  <c r="O48" i="24"/>
  <c r="P48" i="24"/>
  <c r="G53" i="24"/>
  <c r="L48" i="24"/>
  <c r="M48" i="24"/>
  <c r="BO18" i="33"/>
  <c r="BR13" i="33"/>
  <c r="X61" i="28"/>
  <c r="W25" i="28"/>
  <c r="I64" i="7"/>
  <c r="M64" i="7"/>
  <c r="Q64" i="7"/>
  <c r="O64" i="7"/>
  <c r="BK44" i="7"/>
  <c r="S48" i="32"/>
  <c r="H48" i="32"/>
  <c r="T48" i="32"/>
  <c r="U48" i="32"/>
  <c r="V48" i="32"/>
  <c r="H118" i="32"/>
  <c r="H93" i="32"/>
  <c r="H117" i="32"/>
  <c r="H101" i="32"/>
  <c r="H119" i="32"/>
  <c r="Y119" i="32"/>
  <c r="AX74" i="28"/>
  <c r="W79" i="32"/>
  <c r="W47" i="32"/>
  <c r="N58" i="32"/>
  <c r="BO58" i="32"/>
  <c r="BS58" i="32" s="1"/>
  <c r="BW58" i="32" s="1"/>
  <c r="K36" i="32"/>
  <c r="K38" i="32" s="1"/>
  <c r="N36" i="32"/>
  <c r="BO36" i="32"/>
  <c r="BS36" i="32" s="1"/>
  <c r="BW36" i="32" s="1"/>
  <c r="X25" i="32"/>
  <c r="H45" i="32"/>
  <c r="N40" i="32"/>
  <c r="BO40" i="32"/>
  <c r="W40" i="32"/>
  <c r="W45" i="32" s="1"/>
  <c r="S45" i="32"/>
  <c r="X64" i="32"/>
  <c r="X77" i="32" s="1"/>
  <c r="T77" i="32"/>
  <c r="V50" i="28"/>
  <c r="O39" i="28"/>
  <c r="P39" i="28"/>
  <c r="K39" i="28"/>
  <c r="BP22" i="25"/>
  <c r="BR22" i="25" s="1"/>
  <c r="BV22" i="25" s="1"/>
  <c r="O22" i="25"/>
  <c r="K22" i="25"/>
  <c r="N22" i="25"/>
  <c r="J22" i="25"/>
  <c r="Q22" i="25"/>
  <c r="P22" i="25"/>
  <c r="L22" i="25"/>
  <c r="M22" i="25"/>
  <c r="I22" i="25"/>
  <c r="H22" i="25"/>
  <c r="V61" i="28"/>
  <c r="J40" i="28"/>
  <c r="Q40" i="28"/>
  <c r="L40" i="28"/>
  <c r="K40" i="28"/>
  <c r="I40" i="28"/>
  <c r="H40" i="28"/>
  <c r="BO40" i="28"/>
  <c r="BR40" i="28" s="1"/>
  <c r="BV40" i="28" s="1"/>
  <c r="M40" i="28"/>
  <c r="O40" i="28"/>
  <c r="N40" i="28"/>
  <c r="P40" i="28"/>
  <c r="I71" i="24"/>
  <c r="K71" i="24"/>
  <c r="L71" i="24"/>
  <c r="Q71" i="24"/>
  <c r="P71" i="24"/>
  <c r="O71" i="24"/>
  <c r="N71" i="24"/>
  <c r="M71" i="24"/>
  <c r="J71" i="24"/>
  <c r="BS71" i="24"/>
  <c r="BU71" i="24" s="1"/>
  <c r="BV71" i="24" s="1"/>
  <c r="H71" i="24"/>
  <c r="S30" i="28"/>
  <c r="S31" i="28" s="1"/>
  <c r="W28" i="28"/>
  <c r="W30" i="28" s="1"/>
  <c r="S52" i="32"/>
  <c r="W52" i="32" s="1"/>
  <c r="T52" i="32"/>
  <c r="X52" i="32" s="1"/>
  <c r="U52" i="32"/>
  <c r="Y52" i="32" s="1"/>
  <c r="V52" i="32"/>
  <c r="Z52" i="32" s="1"/>
  <c r="H52" i="32"/>
  <c r="H123" i="32"/>
  <c r="H102" i="32"/>
  <c r="H122" i="32"/>
  <c r="AP22" i="32"/>
  <c r="W103" i="32"/>
  <c r="H103" i="32"/>
  <c r="H125" i="32"/>
  <c r="BK44" i="37"/>
  <c r="AI26" i="33"/>
  <c r="N14" i="28"/>
  <c r="N57" i="32"/>
  <c r="BO57" i="32"/>
  <c r="BS57" i="32" s="1"/>
  <c r="BW57" i="32" s="1"/>
  <c r="X47" i="32"/>
  <c r="BQ116" i="32"/>
  <c r="BS116" i="32" s="1"/>
  <c r="BW116" i="32" s="1"/>
  <c r="R116" i="32"/>
  <c r="Z40" i="32"/>
  <c r="Z45" i="32" s="1"/>
  <c r="V45" i="32"/>
  <c r="W64" i="32"/>
  <c r="W77" i="32" s="1"/>
  <c r="S77" i="32"/>
  <c r="J47" i="28"/>
  <c r="O47" i="28"/>
  <c r="H47" i="28"/>
  <c r="W50" i="28"/>
  <c r="BP69" i="28"/>
  <c r="BP73" i="28" s="1"/>
  <c r="BR66" i="28"/>
  <c r="Y61" i="28"/>
  <c r="M22" i="28"/>
  <c r="L22" i="28"/>
  <c r="V25" i="28"/>
  <c r="Q58" i="24"/>
  <c r="I58" i="24"/>
  <c r="J58" i="24"/>
  <c r="O58" i="24"/>
  <c r="N58" i="24"/>
  <c r="M58" i="24"/>
  <c r="L58" i="24"/>
  <c r="BP58" i="24"/>
  <c r="K58" i="24"/>
  <c r="H58" i="24"/>
  <c r="P58" i="24"/>
  <c r="R30" i="28"/>
  <c r="V28" i="28"/>
  <c r="V30" i="28" s="1"/>
  <c r="K52" i="25"/>
  <c r="K55" i="25" s="1"/>
  <c r="W104" i="32"/>
  <c r="X104" i="32"/>
  <c r="H104" i="32"/>
  <c r="T12" i="32"/>
  <c r="X12" i="32" s="1"/>
  <c r="S12" i="32"/>
  <c r="W12" i="32" s="1"/>
  <c r="V12" i="32"/>
  <c r="Z12" i="32" s="1"/>
  <c r="Z15" i="32" s="1"/>
  <c r="U12" i="32"/>
  <c r="Y12" i="32" s="1"/>
  <c r="H12" i="32"/>
  <c r="H99" i="32"/>
  <c r="H86" i="32"/>
  <c r="X86" i="32"/>
  <c r="X87" i="32" s="1"/>
  <c r="Y86" i="32"/>
  <c r="Y112" i="32"/>
  <c r="H112" i="32"/>
  <c r="I39" i="38"/>
  <c r="I42" i="38" s="1"/>
  <c r="BU74" i="28"/>
  <c r="AM51" i="37"/>
  <c r="BS52" i="7"/>
  <c r="BV52" i="7"/>
  <c r="BZ52" i="7" s="1"/>
  <c r="BJ17" i="28"/>
  <c r="V69" i="28"/>
  <c r="V73" i="28" s="1"/>
  <c r="Y79" i="32"/>
  <c r="W35" i="32"/>
  <c r="Y69" i="32"/>
  <c r="Y77" i="32" s="1"/>
  <c r="U77" i="32"/>
  <c r="H45" i="28"/>
  <c r="G50" i="28"/>
  <c r="BQ45" i="28"/>
  <c r="J45" i="28"/>
  <c r="P45" i="28"/>
  <c r="M45" i="28"/>
  <c r="W25" i="32"/>
  <c r="Y40" i="32"/>
  <c r="Y45" i="32" s="1"/>
  <c r="U45" i="32"/>
  <c r="O54" i="7"/>
  <c r="O56" i="7" s="1"/>
  <c r="O57" i="7" s="1"/>
  <c r="J54" i="7"/>
  <c r="J56" i="7" s="1"/>
  <c r="J57" i="7" s="1"/>
  <c r="G56" i="7"/>
  <c r="G57" i="7" s="1"/>
  <c r="I54" i="7"/>
  <c r="I56" i="7" s="1"/>
  <c r="I57" i="7" s="1"/>
  <c r="BS54" i="7"/>
  <c r="Q54" i="7"/>
  <c r="Q56" i="7" s="1"/>
  <c r="Q57" i="7" s="1"/>
  <c r="K54" i="7"/>
  <c r="K56" i="7" s="1"/>
  <c r="K57" i="7" s="1"/>
  <c r="L54" i="7"/>
  <c r="L56" i="7" s="1"/>
  <c r="L57" i="7" s="1"/>
  <c r="BV33" i="33"/>
  <c r="BR34" i="33"/>
  <c r="BV34" i="33" s="1"/>
  <c r="BO24" i="28"/>
  <c r="BR24" i="28" s="1"/>
  <c r="BV24" i="28" s="1"/>
  <c r="I24" i="28"/>
  <c r="Q24" i="28"/>
  <c r="M24" i="28"/>
  <c r="O24" i="28"/>
  <c r="H24" i="28"/>
  <c r="F71" i="7"/>
  <c r="G36" i="7"/>
  <c r="Y29" i="7"/>
  <c r="G15" i="7"/>
  <c r="F29" i="7"/>
  <c r="AH74" i="28"/>
  <c r="G52" i="28"/>
  <c r="O52" i="28" s="1"/>
  <c r="O61" i="28" s="1"/>
  <c r="R25" i="28"/>
  <c r="AG43" i="28"/>
  <c r="AG62" i="28" s="1"/>
  <c r="AG74" i="28" s="1"/>
  <c r="S11" i="39" s="1"/>
  <c r="R69" i="28"/>
  <c r="R73" i="28" s="1"/>
  <c r="Y69" i="28"/>
  <c r="AL74" i="28"/>
  <c r="AM43" i="28"/>
  <c r="AM62" i="28" s="1"/>
  <c r="AM74" i="28" s="1"/>
  <c r="V11" i="39" s="1"/>
  <c r="W61" i="28"/>
  <c r="G15" i="28"/>
  <c r="F16" i="28"/>
  <c r="F17" i="28" s="1"/>
  <c r="T25" i="28"/>
  <c r="S43" i="28"/>
  <c r="S62" i="28" s="1"/>
  <c r="S69" i="28"/>
  <c r="W69" i="28"/>
  <c r="T69" i="28"/>
  <c r="F43" i="28"/>
  <c r="G36" i="28"/>
  <c r="BF74" i="28"/>
  <c r="BI74" i="28"/>
  <c r="AG11" i="39" s="1"/>
  <c r="W43" i="28"/>
  <c r="J14" i="28"/>
  <c r="G14" i="28"/>
  <c r="P12" i="28"/>
  <c r="P14" i="28" s="1"/>
  <c r="I12" i="28"/>
  <c r="G71" i="28"/>
  <c r="F72" i="28"/>
  <c r="F73" i="28" s="1"/>
  <c r="AS43" i="28"/>
  <c r="AS62" i="28" s="1"/>
  <c r="AS74" i="28" s="1"/>
  <c r="Y11" i="39" s="1"/>
  <c r="Y12" i="39" s="1"/>
  <c r="AQ43" i="28"/>
  <c r="AQ62" i="28" s="1"/>
  <c r="AQ74" i="28" s="1"/>
  <c r="X11" i="39" s="1"/>
  <c r="X12" i="39" s="1"/>
  <c r="AO43" i="28"/>
  <c r="AO62" i="28" s="1"/>
  <c r="AO74" i="28" s="1"/>
  <c r="W11" i="39" s="1"/>
  <c r="W12" i="39" s="1"/>
  <c r="Z74" i="28"/>
  <c r="BG72" i="7"/>
  <c r="AF10" i="39" s="1"/>
  <c r="AK72" i="7"/>
  <c r="U10" i="39" s="1"/>
  <c r="H60" i="7"/>
  <c r="I60" i="7"/>
  <c r="Q34" i="7"/>
  <c r="N34" i="7"/>
  <c r="BK30" i="34"/>
  <c r="AD25" i="38"/>
  <c r="AT25" i="38"/>
  <c r="BJ25" i="38"/>
  <c r="BK21" i="33"/>
  <c r="AS51" i="37"/>
  <c r="BG51" i="37"/>
  <c r="AI51" i="37"/>
  <c r="BK41" i="37"/>
  <c r="BI22" i="33"/>
  <c r="AS26" i="33"/>
  <c r="BK24" i="33"/>
  <c r="AA26" i="33"/>
  <c r="AQ26" i="33"/>
  <c r="BE26" i="33"/>
  <c r="AU26" i="33"/>
  <c r="AE26" i="33"/>
  <c r="AI43" i="28"/>
  <c r="AI62" i="28" s="1"/>
  <c r="AY43" i="28"/>
  <c r="AY62" i="28" s="1"/>
  <c r="AY74" i="28" s="1"/>
  <c r="AB11" i="39" s="1"/>
  <c r="AU43" i="28"/>
  <c r="AU62" i="28" s="1"/>
  <c r="AU74" i="28" s="1"/>
  <c r="Z11" i="39" s="1"/>
  <c r="BA43" i="28"/>
  <c r="BA62" i="28" s="1"/>
  <c r="BA74" i="28" s="1"/>
  <c r="AC11" i="39" s="1"/>
  <c r="AC12" i="39" s="1"/>
  <c r="BE43" i="28"/>
  <c r="BE62" i="28" s="1"/>
  <c r="BE74" i="28" s="1"/>
  <c r="AE11" i="39" s="1"/>
  <c r="BK30" i="33"/>
  <c r="BK13" i="33"/>
  <c r="L14" i="28"/>
  <c r="BP32" i="25"/>
  <c r="BR32" i="25" s="1"/>
  <c r="BV32" i="25" s="1"/>
  <c r="L32" i="25"/>
  <c r="K32" i="25"/>
  <c r="H32" i="25"/>
  <c r="J32" i="25"/>
  <c r="M32" i="25"/>
  <c r="N32" i="25"/>
  <c r="O32" i="25"/>
  <c r="P32" i="25"/>
  <c r="Q32" i="25"/>
  <c r="I32" i="25"/>
  <c r="BV62" i="7"/>
  <c r="G15" i="32"/>
  <c r="AQ51" i="37"/>
  <c r="I33" i="37"/>
  <c r="BN33" i="37"/>
  <c r="BR33" i="37" s="1"/>
  <c r="BV33" i="37" s="1"/>
  <c r="P33" i="37"/>
  <c r="H33" i="37"/>
  <c r="AM22" i="33"/>
  <c r="BG22" i="33"/>
  <c r="AK22" i="33"/>
  <c r="BE22" i="33"/>
  <c r="BV53" i="38"/>
  <c r="BK29" i="33"/>
  <c r="BK12" i="33"/>
  <c r="AG26" i="33"/>
  <c r="AY26" i="33"/>
  <c r="BG43" i="28"/>
  <c r="BG62" i="28" s="1"/>
  <c r="BG74" i="28" s="1"/>
  <c r="AF11" i="39" s="1"/>
  <c r="AK43" i="28"/>
  <c r="AK62" i="28" s="1"/>
  <c r="AK74" i="28" s="1"/>
  <c r="U11" i="39" s="1"/>
  <c r="BC43" i="28"/>
  <c r="BC62" i="28" s="1"/>
  <c r="BC74" i="28" s="1"/>
  <c r="AD11" i="39" s="1"/>
  <c r="I28" i="28"/>
  <c r="Q28" i="28"/>
  <c r="Q30" i="28" s="1"/>
  <c r="H28" i="28"/>
  <c r="H30" i="28" s="1"/>
  <c r="P28" i="28"/>
  <c r="M28" i="28"/>
  <c r="M30" i="28" s="1"/>
  <c r="BO28" i="28"/>
  <c r="J28" i="28"/>
  <c r="J30" i="28" s="1"/>
  <c r="O28" i="28"/>
  <c r="O30" i="28" s="1"/>
  <c r="N28" i="28"/>
  <c r="N30" i="28" s="1"/>
  <c r="L28" i="28"/>
  <c r="K28" i="28"/>
  <c r="BS34" i="7"/>
  <c r="H77" i="32"/>
  <c r="R72" i="32"/>
  <c r="BI51" i="37"/>
  <c r="BC51" i="37"/>
  <c r="BA51" i="37"/>
  <c r="Q41" i="37"/>
  <c r="I41" i="37"/>
  <c r="N41" i="37"/>
  <c r="J41" i="37"/>
  <c r="L41" i="37"/>
  <c r="M41" i="37"/>
  <c r="O41" i="37"/>
  <c r="K41" i="37"/>
  <c r="BN41" i="37"/>
  <c r="BR41" i="37" s="1"/>
  <c r="BV41" i="37" s="1"/>
  <c r="P41" i="37"/>
  <c r="H41" i="37"/>
  <c r="AC22" i="33"/>
  <c r="AQ22" i="33"/>
  <c r="BK20" i="33"/>
  <c r="AA22" i="33"/>
  <c r="AU22" i="33"/>
  <c r="N20" i="7"/>
  <c r="O20" i="7"/>
  <c r="P20" i="7"/>
  <c r="M20" i="7"/>
  <c r="I20" i="7"/>
  <c r="J20" i="7"/>
  <c r="BA26" i="33"/>
  <c r="BI26" i="33"/>
  <c r="AW26" i="33"/>
  <c r="BK41" i="28"/>
  <c r="AE43" i="28"/>
  <c r="AE62" i="28" s="1"/>
  <c r="BR37" i="28"/>
  <c r="BQ46" i="28"/>
  <c r="BR46" i="28" s="1"/>
  <c r="BV46" i="28" s="1"/>
  <c r="Q46" i="28"/>
  <c r="J46" i="28"/>
  <c r="P46" i="28"/>
  <c r="M46" i="28"/>
  <c r="O46" i="28"/>
  <c r="L46" i="28"/>
  <c r="I46" i="28"/>
  <c r="K46" i="28"/>
  <c r="K50" i="28" s="1"/>
  <c r="H46" i="28"/>
  <c r="N46" i="28"/>
  <c r="H14" i="28"/>
  <c r="M45" i="25"/>
  <c r="I45" i="25"/>
  <c r="H45" i="25"/>
  <c r="L45" i="25"/>
  <c r="N45" i="25"/>
  <c r="J45" i="25"/>
  <c r="Q45" i="25"/>
  <c r="BP45" i="25"/>
  <c r="BR45" i="25" s="1"/>
  <c r="BV45" i="25" s="1"/>
  <c r="P45" i="25"/>
  <c r="O45" i="25"/>
  <c r="K45" i="25"/>
  <c r="BR38" i="34"/>
  <c r="AR22" i="32"/>
  <c r="BH22" i="32"/>
  <c r="AX22" i="32"/>
  <c r="BK21" i="34"/>
  <c r="AF25" i="38"/>
  <c r="AV25" i="38"/>
  <c r="AP25" i="38"/>
  <c r="BF25" i="38"/>
  <c r="BK40" i="37"/>
  <c r="BK50" i="37"/>
  <c r="AE51" i="37"/>
  <c r="AG51" i="37"/>
  <c r="AA51" i="37"/>
  <c r="BK49" i="37"/>
  <c r="AS22" i="33"/>
  <c r="BC22" i="33"/>
  <c r="AY22" i="33"/>
  <c r="AW22" i="33"/>
  <c r="BK25" i="33"/>
  <c r="AC26" i="33"/>
  <c r="AM26" i="33"/>
  <c r="AK26" i="33"/>
  <c r="BK36" i="28"/>
  <c r="AA43" i="28"/>
  <c r="AA62" i="28" s="1"/>
  <c r="AW43" i="28"/>
  <c r="AW62" i="28" s="1"/>
  <c r="AW74" i="28" s="1"/>
  <c r="AA11" i="39" s="1"/>
  <c r="BK31" i="33"/>
  <c r="AP74" i="28"/>
  <c r="AE30" i="28"/>
  <c r="AE31" i="28" s="1"/>
  <c r="BK28" i="28"/>
  <c r="BK30" i="28" s="1"/>
  <c r="O14" i="28"/>
  <c r="Q13" i="34"/>
  <c r="M13" i="34"/>
  <c r="K63" i="7"/>
  <c r="P63" i="7"/>
  <c r="I63" i="7"/>
  <c r="N63" i="7"/>
  <c r="J63" i="7"/>
  <c r="Q63" i="7"/>
  <c r="O63" i="7"/>
  <c r="BS63" i="7"/>
  <c r="M63" i="7"/>
  <c r="L51" i="38"/>
  <c r="L52" i="38" s="1"/>
  <c r="O51" i="38"/>
  <c r="O52" i="38" s="1"/>
  <c r="J51" i="38"/>
  <c r="J52" i="38" s="1"/>
  <c r="K51" i="38"/>
  <c r="K52" i="38" s="1"/>
  <c r="Z52" i="38"/>
  <c r="BQ51" i="38"/>
  <c r="BQ52" i="38" s="1"/>
  <c r="I51" i="38"/>
  <c r="I52" i="38" s="1"/>
  <c r="H52" i="38"/>
  <c r="Q51" i="38"/>
  <c r="Q52" i="38" s="1"/>
  <c r="AB49" i="38"/>
  <c r="BL45" i="38"/>
  <c r="AP49" i="38"/>
  <c r="BF49" i="38"/>
  <c r="AH20" i="38"/>
  <c r="AX20" i="38"/>
  <c r="AB20" i="38"/>
  <c r="AR20" i="38"/>
  <c r="BH20" i="38"/>
  <c r="AR13" i="38"/>
  <c r="BH13" i="38"/>
  <c r="AP13" i="38"/>
  <c r="BF13" i="38"/>
  <c r="AB25" i="38"/>
  <c r="BL22" i="38"/>
  <c r="AB13" i="38"/>
  <c r="BL12" i="38"/>
  <c r="G25" i="38"/>
  <c r="U22" i="38"/>
  <c r="Y22" i="38" s="1"/>
  <c r="T22" i="38"/>
  <c r="X22" i="38" s="1"/>
  <c r="V22" i="38"/>
  <c r="Z22" i="38" s="1"/>
  <c r="Z25" i="38" s="1"/>
  <c r="AD20" i="38"/>
  <c r="AT20" i="38"/>
  <c r="BJ20" i="38"/>
  <c r="AN20" i="38"/>
  <c r="BD20" i="38"/>
  <c r="AZ49" i="38"/>
  <c r="AX49" i="38"/>
  <c r="AN13" i="38"/>
  <c r="BD13" i="38"/>
  <c r="AL13" i="38"/>
  <c r="BB13" i="38"/>
  <c r="AB37" i="38"/>
  <c r="BL29" i="38"/>
  <c r="BL19" i="38"/>
  <c r="AP20" i="38"/>
  <c r="BF20" i="38"/>
  <c r="AJ20" i="38"/>
  <c r="AZ20" i="38"/>
  <c r="AF49" i="38"/>
  <c r="AD49" i="38"/>
  <c r="AJ13" i="38"/>
  <c r="AZ13" i="38"/>
  <c r="AH13" i="38"/>
  <c r="AX13" i="38"/>
  <c r="T23" i="38"/>
  <c r="X23" i="38" s="1"/>
  <c r="U23" i="38"/>
  <c r="Y23" i="38" s="1"/>
  <c r="AL20" i="38"/>
  <c r="BB20" i="38"/>
  <c r="AF20" i="38"/>
  <c r="AV20" i="38"/>
  <c r="BL47" i="38"/>
  <c r="AR49" i="38"/>
  <c r="AF13" i="38"/>
  <c r="AV13" i="38"/>
  <c r="AD13" i="38"/>
  <c r="AT13" i="38"/>
  <c r="BJ13" i="38"/>
  <c r="BO32" i="38"/>
  <c r="BS32" i="38" s="1"/>
  <c r="BW32" i="38" s="1"/>
  <c r="G37" i="38"/>
  <c r="AN22" i="32"/>
  <c r="X51" i="37"/>
  <c r="T51" i="38"/>
  <c r="U51" i="38"/>
  <c r="V52" i="38"/>
  <c r="G52" i="38"/>
  <c r="BK53" i="38"/>
  <c r="O44" i="38"/>
  <c r="N44" i="38"/>
  <c r="J44" i="38"/>
  <c r="N39" i="38"/>
  <c r="N42" i="38" s="1"/>
  <c r="G13" i="38"/>
  <c r="H12" i="38"/>
  <c r="G20" i="38"/>
  <c r="BJ112" i="25"/>
  <c r="BJ113" i="25" s="1"/>
  <c r="BK78" i="25"/>
  <c r="BL11" i="38"/>
  <c r="BK46" i="34"/>
  <c r="G46" i="34" s="1"/>
  <c r="BK42" i="34"/>
  <c r="BK41" i="34"/>
  <c r="BK29" i="34"/>
  <c r="BK17" i="34"/>
  <c r="AA22" i="34"/>
  <c r="AM47" i="34"/>
  <c r="AU47" i="34"/>
  <c r="BC47" i="34"/>
  <c r="BE47" i="34"/>
  <c r="BK19" i="34"/>
  <c r="BK20" i="34"/>
  <c r="BA22" i="34"/>
  <c r="BK26" i="34"/>
  <c r="AG27" i="34"/>
  <c r="AQ27" i="34"/>
  <c r="AY27" i="34"/>
  <c r="BI27" i="34"/>
  <c r="AW22" i="34"/>
  <c r="BE43" i="34"/>
  <c r="AG43" i="34"/>
  <c r="AQ43" i="34"/>
  <c r="AY43" i="34"/>
  <c r="BI43" i="34"/>
  <c r="AI47" i="34"/>
  <c r="AS47" i="34"/>
  <c r="BA47" i="34"/>
  <c r="AK47" i="34"/>
  <c r="AE47" i="34"/>
  <c r="BK39" i="34"/>
  <c r="BE22" i="34"/>
  <c r="AY22" i="34"/>
  <c r="AE27" i="34"/>
  <c r="AO27" i="34"/>
  <c r="AW27" i="34"/>
  <c r="BG27" i="34"/>
  <c r="AU22" i="34"/>
  <c r="AG22" i="34"/>
  <c r="AK43" i="34"/>
  <c r="AE43" i="34"/>
  <c r="AO43" i="34"/>
  <c r="AW43" i="34"/>
  <c r="BG43" i="34"/>
  <c r="BK25" i="34"/>
  <c r="H30" i="34"/>
  <c r="I30" i="34"/>
  <c r="M30" i="34"/>
  <c r="BP30" i="34"/>
  <c r="BR30" i="34" s="1"/>
  <c r="BV30" i="34" s="1"/>
  <c r="N30" i="34"/>
  <c r="L30" i="34"/>
  <c r="K30" i="34"/>
  <c r="J30" i="34"/>
  <c r="P30" i="34"/>
  <c r="Q30" i="34"/>
  <c r="O30" i="34"/>
  <c r="AG47" i="34"/>
  <c r="AQ47" i="34"/>
  <c r="AY47" i="34"/>
  <c r="BI47" i="34"/>
  <c r="AC47" i="34"/>
  <c r="BG22" i="34"/>
  <c r="AC27" i="34"/>
  <c r="AM27" i="34"/>
  <c r="AU27" i="34"/>
  <c r="BC27" i="34"/>
  <c r="BE27" i="34"/>
  <c r="AI22" i="34"/>
  <c r="AS22" i="34"/>
  <c r="AK22" i="34"/>
  <c r="AE22" i="34"/>
  <c r="AO22" i="34"/>
  <c r="AC43" i="34"/>
  <c r="AM43" i="34"/>
  <c r="AU43" i="34"/>
  <c r="BC43" i="34"/>
  <c r="BK18" i="34"/>
  <c r="P17" i="34"/>
  <c r="H17" i="34"/>
  <c r="X22" i="34"/>
  <c r="J17" i="34"/>
  <c r="K17" i="34"/>
  <c r="G22" i="34"/>
  <c r="L17" i="34"/>
  <c r="BP17" i="34"/>
  <c r="I17" i="34"/>
  <c r="W22" i="34"/>
  <c r="M17" i="34"/>
  <c r="Q17" i="34"/>
  <c r="BK45" i="34"/>
  <c r="AA47" i="34"/>
  <c r="BK24" i="34"/>
  <c r="AA27" i="34"/>
  <c r="AA49" i="34"/>
  <c r="BK48" i="34"/>
  <c r="BK38" i="34"/>
  <c r="AA43" i="34"/>
  <c r="AO47" i="34"/>
  <c r="BK47" i="34" s="1"/>
  <c r="AW47" i="34"/>
  <c r="BG47" i="34"/>
  <c r="BK33" i="34"/>
  <c r="BK40" i="34"/>
  <c r="AM22" i="34"/>
  <c r="BC22" i="34"/>
  <c r="AI27" i="34"/>
  <c r="AS27" i="34"/>
  <c r="BA27" i="34"/>
  <c r="AK27" i="34"/>
  <c r="AQ22" i="34"/>
  <c r="BI22" i="34"/>
  <c r="AC22" i="34"/>
  <c r="AI43" i="34"/>
  <c r="AS43" i="34"/>
  <c r="BA43" i="34"/>
  <c r="N11" i="34"/>
  <c r="N15" i="34" s="1"/>
  <c r="M11" i="34"/>
  <c r="J11" i="34"/>
  <c r="Q11" i="34"/>
  <c r="I11" i="34"/>
  <c r="BO11" i="34"/>
  <c r="BR11" i="34" s="1"/>
  <c r="BV11" i="34" s="1"/>
  <c r="H11" i="34"/>
  <c r="P11" i="34"/>
  <c r="K11" i="34"/>
  <c r="L11" i="34"/>
  <c r="L15" i="34" s="1"/>
  <c r="O11" i="34"/>
  <c r="BR12" i="34"/>
  <c r="BO26" i="33"/>
  <c r="BR25" i="33"/>
  <c r="AO26" i="33"/>
  <c r="BR14" i="33"/>
  <c r="BP35" i="33"/>
  <c r="AT22" i="32"/>
  <c r="AH22" i="32"/>
  <c r="AZ22" i="32"/>
  <c r="BQ72" i="32"/>
  <c r="BS72" i="32" s="1"/>
  <c r="BW72" i="32" s="1"/>
  <c r="BL20" i="32"/>
  <c r="AF15" i="32"/>
  <c r="AD22" i="32"/>
  <c r="BF22" i="32"/>
  <c r="AL22" i="32"/>
  <c r="BJ22" i="32"/>
  <c r="BL21" i="32"/>
  <c r="AR15" i="32"/>
  <c r="AX15" i="32"/>
  <c r="AJ15" i="32"/>
  <c r="BB15" i="32"/>
  <c r="AP15" i="32"/>
  <c r="AV22" i="32"/>
  <c r="AJ22" i="32"/>
  <c r="BD22" i="32"/>
  <c r="BL13" i="32"/>
  <c r="AV15" i="32"/>
  <c r="AH15" i="32"/>
  <c r="AZ15" i="32"/>
  <c r="AD15" i="32"/>
  <c r="AB15" i="32"/>
  <c r="AT15" i="32"/>
  <c r="BJ15" i="32"/>
  <c r="AN15" i="32"/>
  <c r="BL14" i="32"/>
  <c r="BH15" i="32"/>
  <c r="AL15" i="32"/>
  <c r="BF15" i="32"/>
  <c r="BD15" i="32"/>
  <c r="BL18" i="32"/>
  <c r="Y123" i="32"/>
  <c r="K21" i="32"/>
  <c r="Q21" i="32" s="1"/>
  <c r="BL12" i="32"/>
  <c r="Y125" i="32"/>
  <c r="R21" i="32"/>
  <c r="J21" i="32"/>
  <c r="P21" i="32" s="1"/>
  <c r="BP21" i="32"/>
  <c r="BS21" i="32" s="1"/>
  <c r="BW21" i="32" s="1"/>
  <c r="I21" i="32"/>
  <c r="N21" i="32" s="1"/>
  <c r="L21" i="32"/>
  <c r="BP17" i="32"/>
  <c r="BS17" i="32" s="1"/>
  <c r="BW17" i="32" s="1"/>
  <c r="J17" i="32"/>
  <c r="I17" i="32"/>
  <c r="BS35" i="32"/>
  <c r="BO135" i="32"/>
  <c r="BS127" i="32"/>
  <c r="BW127" i="32" s="1"/>
  <c r="BS129" i="32"/>
  <c r="BW129" i="32" s="1"/>
  <c r="P65" i="7"/>
  <c r="BS65" i="7"/>
  <c r="BV65" i="7" s="1"/>
  <c r="BZ65" i="7" s="1"/>
  <c r="Q65" i="7"/>
  <c r="J65" i="7"/>
  <c r="M65" i="7"/>
  <c r="T30" i="28"/>
  <c r="X30" i="28"/>
  <c r="I41" i="7"/>
  <c r="BV41" i="7"/>
  <c r="BZ41" i="7" s="1"/>
  <c r="H41" i="7"/>
  <c r="BP52" i="25"/>
  <c r="BP55" i="25" s="1"/>
  <c r="BR50" i="25"/>
  <c r="O43" i="24"/>
  <c r="L43" i="24"/>
  <c r="J43" i="24"/>
  <c r="H43" i="24"/>
  <c r="P43" i="24"/>
  <c r="I43" i="24"/>
  <c r="BP43" i="24"/>
  <c r="BR43" i="24" s="1"/>
  <c r="BV43" i="24" s="1"/>
  <c r="N43" i="24"/>
  <c r="M43" i="24"/>
  <c r="K43" i="24"/>
  <c r="Q43" i="24"/>
  <c r="P29" i="25"/>
  <c r="I29" i="25"/>
  <c r="N29" i="25"/>
  <c r="BP29" i="25"/>
  <c r="BR29" i="25" s="1"/>
  <c r="BV29" i="25" s="1"/>
  <c r="O29" i="25"/>
  <c r="H29" i="25"/>
  <c r="L29" i="25"/>
  <c r="Q29" i="25"/>
  <c r="K29" i="25"/>
  <c r="M29" i="25"/>
  <c r="J29" i="25"/>
  <c r="Q66" i="7"/>
  <c r="BS66" i="7"/>
  <c r="O66" i="7"/>
  <c r="P66" i="7"/>
  <c r="I66" i="7"/>
  <c r="J66" i="7"/>
  <c r="M66" i="7"/>
  <c r="N66" i="7"/>
  <c r="K66" i="7"/>
  <c r="BS41" i="32"/>
  <c r="N38" i="7"/>
  <c r="Q38" i="7"/>
  <c r="M38" i="7"/>
  <c r="H38" i="7"/>
  <c r="BS38" i="7"/>
  <c r="I38" i="7"/>
  <c r="G44" i="7"/>
  <c r="P38" i="7"/>
  <c r="J38" i="7"/>
  <c r="O38" i="7"/>
  <c r="BR15" i="37"/>
  <c r="BV15" i="37" s="1"/>
  <c r="U30" i="28"/>
  <c r="U31" i="28" s="1"/>
  <c r="Y30" i="28"/>
  <c r="X44" i="7"/>
  <c r="T44" i="7"/>
  <c r="O85" i="24"/>
  <c r="P85" i="24"/>
  <c r="Q85" i="24"/>
  <c r="H85" i="24"/>
  <c r="J85" i="24"/>
  <c r="I85" i="24"/>
  <c r="K85" i="24"/>
  <c r="L85" i="24"/>
  <c r="BS85" i="24"/>
  <c r="M85" i="24"/>
  <c r="N85" i="24"/>
  <c r="G87" i="24"/>
  <c r="G98" i="24" s="1"/>
  <c r="P30" i="25"/>
  <c r="I30" i="25"/>
  <c r="O30" i="25"/>
  <c r="N30" i="25"/>
  <c r="M30" i="25"/>
  <c r="L30" i="25"/>
  <c r="BP30" i="25"/>
  <c r="BR30" i="25" s="1"/>
  <c r="BV30" i="25" s="1"/>
  <c r="K30" i="25"/>
  <c r="H30" i="25"/>
  <c r="Q30" i="25"/>
  <c r="J30" i="25"/>
  <c r="BR17" i="26"/>
  <c r="P27" i="25"/>
  <c r="I27" i="25"/>
  <c r="J27" i="25"/>
  <c r="Q27" i="25"/>
  <c r="O27" i="25"/>
  <c r="N27" i="25"/>
  <c r="BP27" i="25"/>
  <c r="BR27" i="25" s="1"/>
  <c r="BV27" i="25" s="1"/>
  <c r="L27" i="25"/>
  <c r="H27" i="25"/>
  <c r="K27" i="25"/>
  <c r="M27" i="25"/>
  <c r="BP39" i="24"/>
  <c r="M39" i="24"/>
  <c r="N39" i="24"/>
  <c r="O39" i="24"/>
  <c r="P39" i="24"/>
  <c r="Q39" i="24"/>
  <c r="H39" i="24"/>
  <c r="J39" i="24"/>
  <c r="I39" i="24"/>
  <c r="K39" i="24"/>
  <c r="L39" i="24"/>
  <c r="BS27" i="32"/>
  <c r="BK28" i="25"/>
  <c r="BR29" i="26"/>
  <c r="BO33" i="26"/>
  <c r="BR21" i="25"/>
  <c r="Y44" i="7"/>
  <c r="U44" i="7"/>
  <c r="BS30" i="38"/>
  <c r="BS51" i="32"/>
  <c r="X111" i="25"/>
  <c r="W111" i="25"/>
  <c r="S46" i="25"/>
  <c r="I40" i="7"/>
  <c r="H40" i="7"/>
  <c r="BV40" i="7"/>
  <c r="BZ40" i="7" s="1"/>
  <c r="BS81" i="25"/>
  <c r="Q81" i="25"/>
  <c r="M81" i="25"/>
  <c r="I81" i="25"/>
  <c r="N81" i="25"/>
  <c r="J81" i="25"/>
  <c r="J87" i="25" s="1"/>
  <c r="O81" i="25"/>
  <c r="K81" i="25"/>
  <c r="P81" i="25"/>
  <c r="L81" i="25"/>
  <c r="H81" i="25"/>
  <c r="G87" i="25"/>
  <c r="BP28" i="25"/>
  <c r="BR28" i="25" s="1"/>
  <c r="BV28" i="25" s="1"/>
  <c r="J28" i="25"/>
  <c r="M28" i="25"/>
  <c r="Q28" i="25"/>
  <c r="L28" i="25"/>
  <c r="I28" i="25"/>
  <c r="H28" i="25"/>
  <c r="P28" i="25"/>
  <c r="N28" i="25"/>
  <c r="K28" i="25"/>
  <c r="O28" i="25"/>
  <c r="BT12" i="7"/>
  <c r="BT72" i="7" s="1"/>
  <c r="BV10" i="7"/>
  <c r="S44" i="7"/>
  <c r="BS68" i="32"/>
  <c r="BR88" i="25"/>
  <c r="Y111" i="25"/>
  <c r="V111" i="25"/>
  <c r="K33" i="26"/>
  <c r="BK29" i="25"/>
  <c r="G46" i="25"/>
  <c r="BZ48" i="7"/>
  <c r="Y15" i="25"/>
  <c r="Y18" i="25" s="1"/>
  <c r="U18" i="25"/>
  <c r="X15" i="25"/>
  <c r="X18" i="25" s="1"/>
  <c r="T18" i="25"/>
  <c r="W15" i="25"/>
  <c r="W18" i="25" s="1"/>
  <c r="S18" i="25"/>
  <c r="BV14" i="25"/>
  <c r="BV14" i="7"/>
  <c r="BT17" i="24"/>
  <c r="BU13" i="24"/>
  <c r="H7" i="40" l="1"/>
  <c r="N45" i="32"/>
  <c r="Z126" i="32"/>
  <c r="BL15" i="32"/>
  <c r="Z109" i="32"/>
  <c r="BS135" i="32"/>
  <c r="BW135" i="32" s="1"/>
  <c r="V126" i="32"/>
  <c r="AF136" i="32"/>
  <c r="R15" i="39" s="1"/>
  <c r="S38" i="32"/>
  <c r="X33" i="32"/>
  <c r="V109" i="32"/>
  <c r="BS92" i="32"/>
  <c r="M65" i="24"/>
  <c r="O96" i="24"/>
  <c r="O97" i="24" s="1"/>
  <c r="I96" i="24"/>
  <c r="I97" i="24" s="1"/>
  <c r="K96" i="24"/>
  <c r="K97" i="24" s="1"/>
  <c r="BS96" i="24"/>
  <c r="H96" i="24"/>
  <c r="H97" i="24" s="1"/>
  <c r="Q96" i="24"/>
  <c r="Q97" i="24" s="1"/>
  <c r="N96" i="24"/>
  <c r="N97" i="24" s="1"/>
  <c r="L96" i="24"/>
  <c r="L97" i="24" s="1"/>
  <c r="M96" i="24"/>
  <c r="M97" i="24" s="1"/>
  <c r="J96" i="24"/>
  <c r="J97" i="24" s="1"/>
  <c r="P96" i="24"/>
  <c r="P97" i="24" s="1"/>
  <c r="H63" i="7"/>
  <c r="I25" i="28"/>
  <c r="P27" i="34"/>
  <c r="BR13" i="28"/>
  <c r="N25" i="28"/>
  <c r="P25" i="28"/>
  <c r="L25" i="28"/>
  <c r="G31" i="28"/>
  <c r="L30" i="28"/>
  <c r="Z12" i="39"/>
  <c r="P43" i="34"/>
  <c r="R77" i="32"/>
  <c r="I15" i="34"/>
  <c r="K22" i="34"/>
  <c r="H15" i="34"/>
  <c r="N43" i="34"/>
  <c r="I27" i="34"/>
  <c r="BI59" i="34"/>
  <c r="AG17" i="39" s="1"/>
  <c r="J15" i="34"/>
  <c r="H27" i="34"/>
  <c r="I87" i="24"/>
  <c r="U29" i="7"/>
  <c r="J39" i="26"/>
  <c r="BK33" i="26"/>
  <c r="G23" i="26"/>
  <c r="H20" i="26"/>
  <c r="H23" i="26" s="1"/>
  <c r="I30" i="28"/>
  <c r="I31" i="28" s="1"/>
  <c r="H25" i="28"/>
  <c r="H31" i="28" s="1"/>
  <c r="Q15" i="34"/>
  <c r="Q18" i="26"/>
  <c r="J52" i="25"/>
  <c r="J55" i="25" s="1"/>
  <c r="J43" i="34"/>
  <c r="BK31" i="28"/>
  <c r="Q25" i="28"/>
  <c r="Q31" i="28" s="1"/>
  <c r="L43" i="34"/>
  <c r="BK97" i="24"/>
  <c r="P18" i="26"/>
  <c r="L78" i="25"/>
  <c r="O78" i="25"/>
  <c r="K43" i="34"/>
  <c r="J27" i="34"/>
  <c r="P10" i="39"/>
  <c r="AH10" i="39" s="1"/>
  <c r="M43" i="34"/>
  <c r="J25" i="28"/>
  <c r="J31" i="28" s="1"/>
  <c r="I14" i="28"/>
  <c r="W53" i="38"/>
  <c r="AE98" i="24"/>
  <c r="W42" i="26"/>
  <c r="I43" i="34"/>
  <c r="BG59" i="34"/>
  <c r="AF17" i="39" s="1"/>
  <c r="K30" i="28"/>
  <c r="Q63" i="24"/>
  <c r="Q65" i="24" s="1"/>
  <c r="J63" i="24"/>
  <c r="J65" i="24" s="1"/>
  <c r="J39" i="38"/>
  <c r="J42" i="38" s="1"/>
  <c r="BO39" i="38"/>
  <c r="BO42" i="38" s="1"/>
  <c r="W31" i="28"/>
  <c r="O18" i="26"/>
  <c r="J33" i="26"/>
  <c r="BK71" i="25"/>
  <c r="BK39" i="26"/>
  <c r="O39" i="38"/>
  <c r="O42" i="38" s="1"/>
  <c r="P39" i="38"/>
  <c r="P42" i="38" s="1"/>
  <c r="N53" i="24"/>
  <c r="N18" i="26"/>
  <c r="O22" i="34"/>
  <c r="G69" i="28"/>
  <c r="N65" i="28"/>
  <c r="N69" i="28" s="1"/>
  <c r="M65" i="28"/>
  <c r="M69" i="28" s="1"/>
  <c r="K65" i="28"/>
  <c r="K69" i="28" s="1"/>
  <c r="O65" i="28"/>
  <c r="O69" i="28" s="1"/>
  <c r="BO65" i="28"/>
  <c r="J65" i="28"/>
  <c r="J69" i="28" s="1"/>
  <c r="H65" i="28"/>
  <c r="H69" i="28" s="1"/>
  <c r="Q65" i="28"/>
  <c r="Q69" i="28" s="1"/>
  <c r="L65" i="28"/>
  <c r="L69" i="28" s="1"/>
  <c r="P65" i="28"/>
  <c r="P69" i="28" s="1"/>
  <c r="I65" i="28"/>
  <c r="I69" i="28" s="1"/>
  <c r="K15" i="34"/>
  <c r="P15" i="34"/>
  <c r="M15" i="34"/>
  <c r="L39" i="38"/>
  <c r="L42" i="38" s="1"/>
  <c r="L116" i="24"/>
  <c r="L18" i="25"/>
  <c r="AG98" i="24"/>
  <c r="P39" i="26"/>
  <c r="M33" i="26"/>
  <c r="N77" i="32"/>
  <c r="K25" i="28"/>
  <c r="H116" i="24"/>
  <c r="K87" i="24"/>
  <c r="BK53" i="24"/>
  <c r="K87" i="25"/>
  <c r="M78" i="25"/>
  <c r="J78" i="25"/>
  <c r="H78" i="25"/>
  <c r="BK18" i="25"/>
  <c r="BP27" i="34"/>
  <c r="AL53" i="38"/>
  <c r="U21" i="39" s="1"/>
  <c r="P30" i="28"/>
  <c r="N33" i="26"/>
  <c r="Q48" i="32"/>
  <c r="Q62" i="32" s="1"/>
  <c r="I48" i="32"/>
  <c r="I62" i="32" s="1"/>
  <c r="J48" i="32"/>
  <c r="J62" i="32" s="1"/>
  <c r="N48" i="32"/>
  <c r="BK69" i="7"/>
  <c r="BK82" i="7" s="1"/>
  <c r="K116" i="24"/>
  <c r="BK17" i="24"/>
  <c r="BK87" i="24"/>
  <c r="L39" i="26"/>
  <c r="O15" i="34"/>
  <c r="AA74" i="28"/>
  <c r="P11" i="39" s="1"/>
  <c r="AI74" i="28"/>
  <c r="T11" i="39" s="1"/>
  <c r="T12" i="39" s="1"/>
  <c r="N22" i="34"/>
  <c r="L17" i="24"/>
  <c r="M52" i="25"/>
  <c r="M55" i="25" s="1"/>
  <c r="Y31" i="28"/>
  <c r="BN15" i="32"/>
  <c r="V42" i="26"/>
  <c r="I33" i="26"/>
  <c r="BC52" i="37"/>
  <c r="AD22" i="39" s="1"/>
  <c r="AQ98" i="24"/>
  <c r="H33" i="26"/>
  <c r="M39" i="26"/>
  <c r="O33" i="26"/>
  <c r="I78" i="25"/>
  <c r="L87" i="24"/>
  <c r="V12" i="39"/>
  <c r="S12" i="39"/>
  <c r="M18" i="26"/>
  <c r="BE42" i="26"/>
  <c r="AE28" i="39" s="1"/>
  <c r="AF12" i="39"/>
  <c r="BT106" i="25"/>
  <c r="H106" i="25"/>
  <c r="P106" i="25"/>
  <c r="K106" i="25"/>
  <c r="H47" i="37"/>
  <c r="P47" i="37"/>
  <c r="BR40" i="37"/>
  <c r="BV40" i="37" s="1"/>
  <c r="J47" i="37"/>
  <c r="M47" i="37"/>
  <c r="BA52" i="37"/>
  <c r="AC22" i="39" s="1"/>
  <c r="O47" i="37"/>
  <c r="BK51" i="37"/>
  <c r="K47" i="37"/>
  <c r="S33" i="32"/>
  <c r="N47" i="37"/>
  <c r="H109" i="32"/>
  <c r="K18" i="25"/>
  <c r="I39" i="26"/>
  <c r="H52" i="25"/>
  <c r="H55" i="25" s="1"/>
  <c r="P78" i="25"/>
  <c r="L27" i="34"/>
  <c r="BK66" i="25"/>
  <c r="BS78" i="25"/>
  <c r="Y78" i="25"/>
  <c r="Q22" i="34"/>
  <c r="L52" i="28"/>
  <c r="L61" i="28" s="1"/>
  <c r="H126" i="32"/>
  <c r="M53" i="24"/>
  <c r="AI98" i="24"/>
  <c r="BK44" i="24"/>
  <c r="K17" i="24"/>
  <c r="AA12" i="39"/>
  <c r="AB12" i="39"/>
  <c r="Q106" i="25"/>
  <c r="N78" i="25"/>
  <c r="AG12" i="39"/>
  <c r="O43" i="34"/>
  <c r="V33" i="32"/>
  <c r="W78" i="25"/>
  <c r="J53" i="24"/>
  <c r="O106" i="25"/>
  <c r="BK106" i="25"/>
  <c r="BK23" i="26"/>
  <c r="Z33" i="32"/>
  <c r="Q12" i="39"/>
  <c r="U33" i="32"/>
  <c r="N87" i="25"/>
  <c r="AD12" i="39"/>
  <c r="O25" i="28"/>
  <c r="O31" i="28" s="1"/>
  <c r="W33" i="32"/>
  <c r="AE12" i="39"/>
  <c r="J106" i="25"/>
  <c r="N106" i="25"/>
  <c r="Q78" i="25"/>
  <c r="I106" i="25"/>
  <c r="L106" i="25"/>
  <c r="Y33" i="32"/>
  <c r="H87" i="25"/>
  <c r="X78" i="25"/>
  <c r="M87" i="24"/>
  <c r="U12" i="39"/>
  <c r="S51" i="37"/>
  <c r="N17" i="24"/>
  <c r="H17" i="24"/>
  <c r="AS42" i="26"/>
  <c r="Y28" i="39" s="1"/>
  <c r="Q33" i="26"/>
  <c r="M106" i="25"/>
  <c r="AO88" i="25"/>
  <c r="AO112" i="25" s="1"/>
  <c r="T33" i="32"/>
  <c r="I22" i="34"/>
  <c r="U109" i="32"/>
  <c r="X109" i="32"/>
  <c r="W109" i="32"/>
  <c r="T109" i="32"/>
  <c r="Y109" i="32"/>
  <c r="S109" i="32"/>
  <c r="BK47" i="37"/>
  <c r="W35" i="33"/>
  <c r="K65" i="7"/>
  <c r="I65" i="7"/>
  <c r="N65" i="7"/>
  <c r="P64" i="7"/>
  <c r="L64" i="7"/>
  <c r="M58" i="25"/>
  <c r="M66" i="25" s="1"/>
  <c r="P58" i="25"/>
  <c r="P66" i="25" s="1"/>
  <c r="I58" i="25"/>
  <c r="I66" i="25" s="1"/>
  <c r="L58" i="25"/>
  <c r="L66" i="25" s="1"/>
  <c r="N58" i="25"/>
  <c r="N66" i="25" s="1"/>
  <c r="H58" i="25"/>
  <c r="H66" i="25" s="1"/>
  <c r="Q58" i="25"/>
  <c r="Q66" i="25" s="1"/>
  <c r="J58" i="25"/>
  <c r="J66" i="25" s="1"/>
  <c r="O58" i="25"/>
  <c r="O66" i="25" s="1"/>
  <c r="K58" i="25"/>
  <c r="K66" i="25" s="1"/>
  <c r="P22" i="34"/>
  <c r="H53" i="24"/>
  <c r="I87" i="25"/>
  <c r="Q47" i="37"/>
  <c r="R62" i="32"/>
  <c r="Q39" i="26"/>
  <c r="BK14" i="26"/>
  <c r="AG88" i="25"/>
  <c r="G66" i="25"/>
  <c r="P17" i="24"/>
  <c r="N46" i="25"/>
  <c r="P87" i="25"/>
  <c r="M87" i="25"/>
  <c r="P87" i="24"/>
  <c r="BS39" i="38"/>
  <c r="BS42" i="38" s="1"/>
  <c r="BV63" i="7"/>
  <c r="T29" i="7"/>
  <c r="N52" i="28"/>
  <c r="N61" i="28" s="1"/>
  <c r="M25" i="28"/>
  <c r="M31" i="28" s="1"/>
  <c r="L53" i="24"/>
  <c r="M18" i="25"/>
  <c r="AU52" i="37"/>
  <c r="Z22" i="39" s="1"/>
  <c r="I17" i="24"/>
  <c r="BK116" i="24"/>
  <c r="H87" i="24"/>
  <c r="H98" i="24" s="1"/>
  <c r="BP43" i="34"/>
  <c r="Q49" i="37"/>
  <c r="Q51" i="37" s="1"/>
  <c r="N49" i="37"/>
  <c r="N51" i="37" s="1"/>
  <c r="P49" i="37"/>
  <c r="P51" i="37" s="1"/>
  <c r="BP49" i="37"/>
  <c r="G51" i="37"/>
  <c r="H49" i="37"/>
  <c r="H51" i="37" s="1"/>
  <c r="L49" i="37"/>
  <c r="L51" i="37" s="1"/>
  <c r="I49" i="37"/>
  <c r="I51" i="37" s="1"/>
  <c r="K49" i="37"/>
  <c r="K51" i="37" s="1"/>
  <c r="J49" i="37"/>
  <c r="J51" i="37" s="1"/>
  <c r="M49" i="37"/>
  <c r="M51" i="37" s="1"/>
  <c r="O49" i="37"/>
  <c r="O51" i="37" s="1"/>
  <c r="L87" i="25"/>
  <c r="Q87" i="25"/>
  <c r="O87" i="24"/>
  <c r="J22" i="34"/>
  <c r="Q44" i="38"/>
  <c r="BO25" i="28"/>
  <c r="N50" i="28"/>
  <c r="X29" i="7"/>
  <c r="AU42" i="26"/>
  <c r="Z28" i="39" s="1"/>
  <c r="K23" i="26"/>
  <c r="K39" i="26"/>
  <c r="N64" i="7"/>
  <c r="K64" i="7"/>
  <c r="BS64" i="7"/>
  <c r="BV64" i="7" s="1"/>
  <c r="BZ64" i="7" s="1"/>
  <c r="O87" i="25"/>
  <c r="BG52" i="37"/>
  <c r="AF22" i="39" s="1"/>
  <c r="P52" i="28"/>
  <c r="P61" i="28" s="1"/>
  <c r="P53" i="24"/>
  <c r="BG98" i="24"/>
  <c r="Y98" i="24"/>
  <c r="M17" i="24"/>
  <c r="O17" i="24"/>
  <c r="BV13" i="33"/>
  <c r="BV18" i="33"/>
  <c r="BH136" i="32"/>
  <c r="AF15" i="39" s="1"/>
  <c r="BB136" i="32"/>
  <c r="AC15" i="39" s="1"/>
  <c r="AR136" i="32"/>
  <c r="X15" i="39" s="1"/>
  <c r="AP136" i="32"/>
  <c r="W15" i="39" s="1"/>
  <c r="BQ77" i="32"/>
  <c r="AX136" i="32"/>
  <c r="Y87" i="32"/>
  <c r="J77" i="32"/>
  <c r="U38" i="32"/>
  <c r="G47" i="37"/>
  <c r="L43" i="37"/>
  <c r="L47" i="37" s="1"/>
  <c r="I43" i="37"/>
  <c r="I47" i="37" s="1"/>
  <c r="BN43" i="37"/>
  <c r="AQ52" i="37"/>
  <c r="X22" i="39" s="1"/>
  <c r="AS52" i="37"/>
  <c r="Y22" i="39" s="1"/>
  <c r="AW42" i="26"/>
  <c r="AA28" i="39" s="1"/>
  <c r="Y42" i="26"/>
  <c r="AY42" i="26"/>
  <c r="AB28" i="39" s="1"/>
  <c r="BI42" i="26"/>
  <c r="AG28" i="39" s="1"/>
  <c r="BA42" i="26"/>
  <c r="AC28" i="39" s="1"/>
  <c r="AI42" i="26"/>
  <c r="T28" i="39" s="1"/>
  <c r="N87" i="24"/>
  <c r="Q87" i="24"/>
  <c r="Q98" i="24" s="1"/>
  <c r="O53" i="24"/>
  <c r="BI98" i="24"/>
  <c r="BI117" i="24" s="1"/>
  <c r="AG26" i="39" s="1"/>
  <c r="J87" i="24"/>
  <c r="J98" i="24" s="1"/>
  <c r="AU98" i="24"/>
  <c r="BI52" i="37"/>
  <c r="AG22" i="39" s="1"/>
  <c r="BS51" i="38"/>
  <c r="BW51" i="38" s="1"/>
  <c r="V38" i="32"/>
  <c r="AT136" i="32"/>
  <c r="Y15" i="39" s="1"/>
  <c r="U87" i="32"/>
  <c r="Q77" i="32"/>
  <c r="V15" i="32"/>
  <c r="W38" i="32"/>
  <c r="T31" i="28"/>
  <c r="M52" i="28"/>
  <c r="M61" i="28" s="1"/>
  <c r="K52" i="28"/>
  <c r="K61" i="28" s="1"/>
  <c r="R31" i="28"/>
  <c r="BO18" i="26"/>
  <c r="AK42" i="26"/>
  <c r="U28" i="39" s="1"/>
  <c r="AM52" i="37"/>
  <c r="V22" i="39" s="1"/>
  <c r="W51" i="37"/>
  <c r="Q43" i="34"/>
  <c r="H22" i="34"/>
  <c r="M22" i="34"/>
  <c r="L22" i="34"/>
  <c r="H43" i="34"/>
  <c r="H15" i="7"/>
  <c r="H29" i="7" s="1"/>
  <c r="L15" i="7"/>
  <c r="L29" i="7" s="1"/>
  <c r="F69" i="7"/>
  <c r="F72" i="7" s="1"/>
  <c r="G62" i="7"/>
  <c r="T87" i="32"/>
  <c r="I77" i="32"/>
  <c r="AN136" i="32"/>
  <c r="V15" i="39" s="1"/>
  <c r="P46" i="25"/>
  <c r="BK111" i="25"/>
  <c r="K46" i="25"/>
  <c r="AS88" i="25"/>
  <c r="AS112" i="25" s="1"/>
  <c r="Q109" i="25"/>
  <c r="H109" i="25"/>
  <c r="BN109" i="25"/>
  <c r="BR109" i="25" s="1"/>
  <c r="BV109" i="25" s="1"/>
  <c r="N109" i="25"/>
  <c r="O109" i="25"/>
  <c r="I109" i="25"/>
  <c r="K109" i="25"/>
  <c r="L109" i="25"/>
  <c r="M109" i="25"/>
  <c r="J109" i="25"/>
  <c r="P109" i="25"/>
  <c r="U88" i="25"/>
  <c r="U112" i="25" s="1"/>
  <c r="R88" i="25"/>
  <c r="R112" i="25" s="1"/>
  <c r="S88" i="25"/>
  <c r="S112" i="25" s="1"/>
  <c r="T88" i="25"/>
  <c r="F112" i="25"/>
  <c r="BG88" i="25"/>
  <c r="BG112" i="25" s="1"/>
  <c r="AE112" i="25"/>
  <c r="BE88" i="25"/>
  <c r="BE112" i="25" s="1"/>
  <c r="AC88" i="25"/>
  <c r="BK52" i="25"/>
  <c r="BK55" i="25" s="1"/>
  <c r="P68" i="25"/>
  <c r="P71" i="25" s="1"/>
  <c r="M68" i="25"/>
  <c r="M71" i="25" s="1"/>
  <c r="G71" i="25"/>
  <c r="K68" i="25"/>
  <c r="K71" i="25" s="1"/>
  <c r="Q68" i="25"/>
  <c r="Q71" i="25" s="1"/>
  <c r="J68" i="25"/>
  <c r="J71" i="25" s="1"/>
  <c r="O68" i="25"/>
  <c r="O71" i="25" s="1"/>
  <c r="H68" i="25"/>
  <c r="H71" i="25" s="1"/>
  <c r="N68" i="25"/>
  <c r="N71" i="25" s="1"/>
  <c r="L68" i="25"/>
  <c r="L71" i="25" s="1"/>
  <c r="I68" i="25"/>
  <c r="I71" i="25" s="1"/>
  <c r="T112" i="25"/>
  <c r="AG112" i="25"/>
  <c r="BA88" i="25"/>
  <c r="BA112" i="25" s="1"/>
  <c r="AA88" i="25"/>
  <c r="AA112" i="25" s="1"/>
  <c r="AK112" i="25"/>
  <c r="AM88" i="25"/>
  <c r="AM112" i="25" s="1"/>
  <c r="AQ88" i="25"/>
  <c r="AQ112" i="25" s="1"/>
  <c r="AC112" i="25"/>
  <c r="AW88" i="25"/>
  <c r="AW112" i="25" s="1"/>
  <c r="AI88" i="25"/>
  <c r="AI112" i="25" s="1"/>
  <c r="AY88" i="25"/>
  <c r="AY112" i="25" s="1"/>
  <c r="H108" i="25"/>
  <c r="Q108" i="25"/>
  <c r="L108" i="25"/>
  <c r="BN108" i="25"/>
  <c r="G111" i="25"/>
  <c r="J108" i="25"/>
  <c r="O108" i="25"/>
  <c r="N108" i="25"/>
  <c r="K108" i="25"/>
  <c r="P108" i="25"/>
  <c r="I108" i="25"/>
  <c r="M108" i="25"/>
  <c r="BI88" i="25"/>
  <c r="BI112" i="25" s="1"/>
  <c r="AU88" i="25"/>
  <c r="AU112" i="25" s="1"/>
  <c r="BC88" i="25"/>
  <c r="BC112" i="25" s="1"/>
  <c r="X42" i="26"/>
  <c r="BO20" i="26"/>
  <c r="O20" i="26"/>
  <c r="O23" i="26" s="1"/>
  <c r="M20" i="26"/>
  <c r="M23" i="26" s="1"/>
  <c r="J20" i="26"/>
  <c r="J23" i="26" s="1"/>
  <c r="Q20" i="26"/>
  <c r="Q23" i="26" s="1"/>
  <c r="N20" i="26"/>
  <c r="N23" i="26" s="1"/>
  <c r="L20" i="26"/>
  <c r="L23" i="26" s="1"/>
  <c r="I20" i="26"/>
  <c r="I23" i="26" s="1"/>
  <c r="P20" i="26"/>
  <c r="P23" i="26" s="1"/>
  <c r="AA42" i="26"/>
  <c r="P28" i="39" s="1"/>
  <c r="BC42" i="26"/>
  <c r="AD28" i="39" s="1"/>
  <c r="O25" i="26"/>
  <c r="O27" i="26" s="1"/>
  <c r="K25" i="26"/>
  <c r="K27" i="26" s="1"/>
  <c r="BO25" i="26"/>
  <c r="H25" i="26"/>
  <c r="H27" i="26" s="1"/>
  <c r="G27" i="26"/>
  <c r="L25" i="26"/>
  <c r="L27" i="26" s="1"/>
  <c r="J25" i="26"/>
  <c r="J27" i="26" s="1"/>
  <c r="Q25" i="26"/>
  <c r="Q27" i="26" s="1"/>
  <c r="P25" i="26"/>
  <c r="P27" i="26" s="1"/>
  <c r="N25" i="26"/>
  <c r="N27" i="26" s="1"/>
  <c r="I25" i="26"/>
  <c r="I27" i="26" s="1"/>
  <c r="M25" i="26"/>
  <c r="M27" i="26" s="1"/>
  <c r="AQ42" i="26"/>
  <c r="X28" i="39" s="1"/>
  <c r="AM42" i="26"/>
  <c r="V28" i="39" s="1"/>
  <c r="BP41" i="26"/>
  <c r="BR40" i="26"/>
  <c r="AG42" i="26"/>
  <c r="S28" i="39" s="1"/>
  <c r="AO42" i="26"/>
  <c r="W28" i="39" s="1"/>
  <c r="BR35" i="26"/>
  <c r="BP39" i="26"/>
  <c r="AE42" i="26"/>
  <c r="R28" i="39" s="1"/>
  <c r="K18" i="26"/>
  <c r="BG42" i="26"/>
  <c r="AF28" i="39" s="1"/>
  <c r="AC42" i="26"/>
  <c r="Q28" i="39" s="1"/>
  <c r="G14" i="26"/>
  <c r="H12" i="26"/>
  <c r="H14" i="26" s="1"/>
  <c r="N12" i="26"/>
  <c r="N14" i="26" s="1"/>
  <c r="L12" i="26"/>
  <c r="L14" i="26" s="1"/>
  <c r="I12" i="26"/>
  <c r="I14" i="26" s="1"/>
  <c r="K12" i="26"/>
  <c r="K14" i="26" s="1"/>
  <c r="P12" i="26"/>
  <c r="P14" i="26" s="1"/>
  <c r="M12" i="26"/>
  <c r="M14" i="26" s="1"/>
  <c r="O12" i="26"/>
  <c r="O14" i="26" s="1"/>
  <c r="Q12" i="26"/>
  <c r="Q14" i="26" s="1"/>
  <c r="J12" i="26"/>
  <c r="J14" i="26" s="1"/>
  <c r="H18" i="26"/>
  <c r="Q53" i="24"/>
  <c r="AC98" i="24"/>
  <c r="L19" i="24"/>
  <c r="L44" i="24" s="1"/>
  <c r="N19" i="24"/>
  <c r="N44" i="24" s="1"/>
  <c r="J19" i="24"/>
  <c r="J44" i="24" s="1"/>
  <c r="O19" i="24"/>
  <c r="O44" i="24" s="1"/>
  <c r="H19" i="24"/>
  <c r="H44" i="24" s="1"/>
  <c r="Q19" i="24"/>
  <c r="Q44" i="24" s="1"/>
  <c r="K19" i="24"/>
  <c r="K44" i="24" s="1"/>
  <c r="I19" i="24"/>
  <c r="I44" i="24" s="1"/>
  <c r="BP19" i="24"/>
  <c r="BR19" i="24" s="1"/>
  <c r="BV19" i="24" s="1"/>
  <c r="M19" i="24"/>
  <c r="M44" i="24" s="1"/>
  <c r="P19" i="24"/>
  <c r="P44" i="24" s="1"/>
  <c r="AW98" i="24"/>
  <c r="BC98" i="24"/>
  <c r="V98" i="24"/>
  <c r="AK98" i="24"/>
  <c r="Q17" i="24"/>
  <c r="I53" i="24"/>
  <c r="AO98" i="24"/>
  <c r="AS98" i="24"/>
  <c r="BA98" i="24"/>
  <c r="J17" i="24"/>
  <c r="W19" i="24"/>
  <c r="W44" i="24" s="1"/>
  <c r="S44" i="24"/>
  <c r="BE98" i="24"/>
  <c r="W98" i="24"/>
  <c r="AM98" i="24"/>
  <c r="T52" i="38"/>
  <c r="X51" i="38"/>
  <c r="X52" i="38" s="1"/>
  <c r="R39" i="38"/>
  <c r="R42" i="38" s="1"/>
  <c r="M39" i="38"/>
  <c r="M42" i="38" s="1"/>
  <c r="H42" i="38"/>
  <c r="Q39" i="38"/>
  <c r="Q42" i="38" s="1"/>
  <c r="U52" i="38"/>
  <c r="Y51" i="38"/>
  <c r="Y52" i="38" s="1"/>
  <c r="R44" i="38"/>
  <c r="R49" i="38" s="1"/>
  <c r="M44" i="38"/>
  <c r="M49" i="38" s="1"/>
  <c r="L44" i="38"/>
  <c r="P44" i="38"/>
  <c r="BO44" i="38"/>
  <c r="BS44" i="38" s="1"/>
  <c r="BW44" i="38" s="1"/>
  <c r="I44" i="38"/>
  <c r="Y25" i="38"/>
  <c r="X25" i="38"/>
  <c r="BJ74" i="28"/>
  <c r="AY52" i="37"/>
  <c r="AB22" i="39" s="1"/>
  <c r="Y49" i="37"/>
  <c r="Y51" i="37" s="1"/>
  <c r="U51" i="37"/>
  <c r="AO52" i="37"/>
  <c r="W22" i="39" s="1"/>
  <c r="AK52" i="37"/>
  <c r="U22" i="39" s="1"/>
  <c r="AW52" i="37"/>
  <c r="AA22" i="39" s="1"/>
  <c r="M12" i="32"/>
  <c r="I12" i="32"/>
  <c r="AH136" i="32"/>
  <c r="S15" i="39" s="1"/>
  <c r="H62" i="32"/>
  <c r="X48" i="32"/>
  <c r="X62" i="32" s="1"/>
  <c r="T62" i="32"/>
  <c r="Y48" i="32"/>
  <c r="Y62" i="32" s="1"/>
  <c r="U62" i="32"/>
  <c r="Z48" i="32"/>
  <c r="Z62" i="32" s="1"/>
  <c r="V62" i="32"/>
  <c r="W48" i="32"/>
  <c r="W62" i="32" s="1"/>
  <c r="S62" i="32"/>
  <c r="O50" i="28"/>
  <c r="Q50" i="28"/>
  <c r="I50" i="28"/>
  <c r="L50" i="28"/>
  <c r="F62" i="28"/>
  <c r="F74" i="28" s="1"/>
  <c r="BO15" i="34"/>
  <c r="L46" i="25"/>
  <c r="O46" i="25"/>
  <c r="Q46" i="25"/>
  <c r="J46" i="25"/>
  <c r="BU12" i="25"/>
  <c r="BT18" i="25"/>
  <c r="BU114" i="24"/>
  <c r="BT116" i="24"/>
  <c r="BT117" i="24" s="1"/>
  <c r="BR63" i="24"/>
  <c r="BP65" i="24"/>
  <c r="BK22" i="34"/>
  <c r="AR53" i="38"/>
  <c r="X21" i="39" s="1"/>
  <c r="BB53" i="38"/>
  <c r="AC21" i="39" s="1"/>
  <c r="H52" i="28"/>
  <c r="H61" i="28" s="1"/>
  <c r="I52" i="28"/>
  <c r="I61" i="28" s="1"/>
  <c r="I70" i="7"/>
  <c r="I71" i="7" s="1"/>
  <c r="L70" i="7"/>
  <c r="L71" i="7" s="1"/>
  <c r="N70" i="7"/>
  <c r="N71" i="7" s="1"/>
  <c r="BR70" i="7"/>
  <c r="H70" i="7"/>
  <c r="H71" i="7" s="1"/>
  <c r="G71" i="7"/>
  <c r="M70" i="7"/>
  <c r="M71" i="7" s="1"/>
  <c r="O70" i="7"/>
  <c r="O71" i="7" s="1"/>
  <c r="K70" i="7"/>
  <c r="K71" i="7" s="1"/>
  <c r="Q70" i="7"/>
  <c r="Q71" i="7" s="1"/>
  <c r="J70" i="7"/>
  <c r="J71" i="7" s="1"/>
  <c r="P70" i="7"/>
  <c r="P71" i="7" s="1"/>
  <c r="P50" i="28"/>
  <c r="H50" i="28"/>
  <c r="BQ125" i="32"/>
  <c r="BS125" i="32" s="1"/>
  <c r="BW125" i="32" s="1"/>
  <c r="Q125" i="32"/>
  <c r="I125" i="32"/>
  <c r="J125" i="32"/>
  <c r="R102" i="32"/>
  <c r="BQ102" i="32"/>
  <c r="BS102" i="32" s="1"/>
  <c r="BW102" i="32" s="1"/>
  <c r="N52" i="32"/>
  <c r="BO52" i="32"/>
  <c r="BS52" i="32" s="1"/>
  <c r="BW52" i="32" s="1"/>
  <c r="S87" i="32"/>
  <c r="Q93" i="32"/>
  <c r="I93" i="32"/>
  <c r="J93" i="32"/>
  <c r="BQ93" i="32"/>
  <c r="BS93" i="32" s="1"/>
  <c r="BW93" i="32" s="1"/>
  <c r="BR48" i="24"/>
  <c r="BP53" i="24"/>
  <c r="X37" i="32"/>
  <c r="X38" i="32" s="1"/>
  <c r="T38" i="32"/>
  <c r="AN53" i="38"/>
  <c r="V21" i="39" s="1"/>
  <c r="AI52" i="37"/>
  <c r="T22" i="39" s="1"/>
  <c r="R43" i="28"/>
  <c r="R62" i="28" s="1"/>
  <c r="V36" i="28"/>
  <c r="V43" i="28" s="1"/>
  <c r="V62" i="28" s="1"/>
  <c r="J50" i="28"/>
  <c r="W112" i="32"/>
  <c r="W126" i="32" s="1"/>
  <c r="S126" i="32"/>
  <c r="Q86" i="32"/>
  <c r="Q87" i="32" s="1"/>
  <c r="BQ86" i="32"/>
  <c r="J86" i="32"/>
  <c r="J87" i="32" s="1"/>
  <c r="I86" i="32"/>
  <c r="I87" i="32" s="1"/>
  <c r="H87" i="32"/>
  <c r="R104" i="32"/>
  <c r="BQ104" i="32"/>
  <c r="BS104" i="32" s="1"/>
  <c r="BW104" i="32" s="1"/>
  <c r="BR58" i="24"/>
  <c r="W87" i="32"/>
  <c r="BS47" i="32"/>
  <c r="J96" i="32"/>
  <c r="I96" i="32"/>
  <c r="BQ96" i="32"/>
  <c r="BS96" i="32" s="1"/>
  <c r="BW96" i="32" s="1"/>
  <c r="Q96" i="32"/>
  <c r="BO29" i="32"/>
  <c r="BS29" i="32" s="1"/>
  <c r="BW29" i="32" s="1"/>
  <c r="N29" i="32"/>
  <c r="AV53" i="38"/>
  <c r="Z21" i="39" s="1"/>
  <c r="J52" i="28"/>
  <c r="J61" i="28" s="1"/>
  <c r="N36" i="7"/>
  <c r="N44" i="7" s="1"/>
  <c r="Q36" i="7"/>
  <c r="Q44" i="7" s="1"/>
  <c r="I36" i="7"/>
  <c r="I44" i="7" s="1"/>
  <c r="J36" i="7"/>
  <c r="J44" i="7" s="1"/>
  <c r="O36" i="7"/>
  <c r="O44" i="7" s="1"/>
  <c r="BS36" i="7"/>
  <c r="BV36" i="7" s="1"/>
  <c r="BZ36" i="7" s="1"/>
  <c r="M36" i="7"/>
  <c r="M44" i="7" s="1"/>
  <c r="H36" i="7"/>
  <c r="H44" i="7" s="1"/>
  <c r="P36" i="7"/>
  <c r="P44" i="7" s="1"/>
  <c r="S71" i="7"/>
  <c r="W71" i="7"/>
  <c r="BS56" i="7"/>
  <c r="BS57" i="7" s="1"/>
  <c r="BV54" i="7"/>
  <c r="BQ50" i="28"/>
  <c r="BQ62" i="28" s="1"/>
  <c r="BR45" i="28"/>
  <c r="J99" i="32"/>
  <c r="Q99" i="32"/>
  <c r="BQ99" i="32"/>
  <c r="BS99" i="32" s="1"/>
  <c r="BW99" i="32" s="1"/>
  <c r="I99" i="32"/>
  <c r="V31" i="28"/>
  <c r="BV66" i="28"/>
  <c r="I122" i="32"/>
  <c r="BQ122" i="32"/>
  <c r="BS122" i="32" s="1"/>
  <c r="BW122" i="32" s="1"/>
  <c r="J122" i="32"/>
  <c r="Q122" i="32"/>
  <c r="BQ123" i="32"/>
  <c r="BS123" i="32" s="1"/>
  <c r="BW123" i="32" s="1"/>
  <c r="I123" i="32"/>
  <c r="J123" i="32"/>
  <c r="Q123" i="32"/>
  <c r="R119" i="32"/>
  <c r="BQ119" i="32"/>
  <c r="BS119" i="32" s="1"/>
  <c r="BW119" i="32" s="1"/>
  <c r="R117" i="32"/>
  <c r="BQ117" i="32"/>
  <c r="BS117" i="32" s="1"/>
  <c r="BW117" i="32" s="1"/>
  <c r="R118" i="32"/>
  <c r="BQ118" i="32"/>
  <c r="BS118" i="32" s="1"/>
  <c r="BW118" i="32" s="1"/>
  <c r="BO37" i="32"/>
  <c r="N37" i="32"/>
  <c r="N38" i="32" s="1"/>
  <c r="H38" i="32"/>
  <c r="BQ114" i="32"/>
  <c r="BS114" i="32" s="1"/>
  <c r="BW114" i="32" s="1"/>
  <c r="I114" i="32"/>
  <c r="J114" i="32"/>
  <c r="Q114" i="32"/>
  <c r="BJ53" i="38"/>
  <c r="AG21" i="39" s="1"/>
  <c r="BS15" i="7"/>
  <c r="N15" i="7"/>
  <c r="N29" i="7" s="1"/>
  <c r="Q15" i="7"/>
  <c r="Q29" i="7" s="1"/>
  <c r="I15" i="7"/>
  <c r="I29" i="7" s="1"/>
  <c r="M15" i="7"/>
  <c r="M29" i="7" s="1"/>
  <c r="G29" i="7"/>
  <c r="P15" i="7"/>
  <c r="P29" i="7" s="1"/>
  <c r="K15" i="7"/>
  <c r="K29" i="7" s="1"/>
  <c r="J15" i="7"/>
  <c r="J29" i="7" s="1"/>
  <c r="O15" i="7"/>
  <c r="O29" i="7" s="1"/>
  <c r="R44" i="7"/>
  <c r="W44" i="7"/>
  <c r="T71" i="7"/>
  <c r="X71" i="7"/>
  <c r="M50" i="28"/>
  <c r="R103" i="32"/>
  <c r="BQ103" i="32"/>
  <c r="BS103" i="32" s="1"/>
  <c r="BW103" i="32" s="1"/>
  <c r="T126" i="32"/>
  <c r="X123" i="32"/>
  <c r="X126" i="32" s="1"/>
  <c r="BS40" i="32"/>
  <c r="BO45" i="32"/>
  <c r="R101" i="32"/>
  <c r="BQ101" i="32"/>
  <c r="BS101" i="32" s="1"/>
  <c r="BW101" i="32" s="1"/>
  <c r="BO48" i="32"/>
  <c r="BS48" i="32" s="1"/>
  <c r="BW48" i="32" s="1"/>
  <c r="I91" i="32"/>
  <c r="J91" i="32"/>
  <c r="Q91" i="32"/>
  <c r="BQ91" i="32"/>
  <c r="BQ113" i="32"/>
  <c r="BS113" i="32" s="1"/>
  <c r="BW113" i="32" s="1"/>
  <c r="I113" i="32"/>
  <c r="J113" i="32"/>
  <c r="Q113" i="32"/>
  <c r="G61" i="28"/>
  <c r="BO52" i="28"/>
  <c r="Q52" i="28"/>
  <c r="Q61" i="28" s="1"/>
  <c r="BK43" i="28"/>
  <c r="BK62" i="28" s="1"/>
  <c r="X25" i="28"/>
  <c r="X31" i="28" s="1"/>
  <c r="U72" i="28"/>
  <c r="U73" i="28" s="1"/>
  <c r="Y71" i="28"/>
  <c r="Y72" i="28" s="1"/>
  <c r="Y73" i="28" s="1"/>
  <c r="Y43" i="28"/>
  <c r="Y62" i="28" s="1"/>
  <c r="U43" i="28"/>
  <c r="U62" i="28" s="1"/>
  <c r="J71" i="28"/>
  <c r="J72" i="28" s="1"/>
  <c r="I71" i="28"/>
  <c r="I72" i="28" s="1"/>
  <c r="I73" i="28" s="1"/>
  <c r="M71" i="28"/>
  <c r="M72" i="28" s="1"/>
  <c r="BQ71" i="28"/>
  <c r="K71" i="28"/>
  <c r="K72" i="28" s="1"/>
  <c r="N71" i="28"/>
  <c r="N72" i="28" s="1"/>
  <c r="N73" i="28" s="1"/>
  <c r="G72" i="28"/>
  <c r="G73" i="28" s="1"/>
  <c r="H71" i="28"/>
  <c r="H72" i="28" s="1"/>
  <c r="H73" i="28" s="1"/>
  <c r="O71" i="28"/>
  <c r="O72" i="28" s="1"/>
  <c r="P71" i="28"/>
  <c r="P72" i="28" s="1"/>
  <c r="Q71" i="28"/>
  <c r="Q72" i="28" s="1"/>
  <c r="L71" i="28"/>
  <c r="L72" i="28" s="1"/>
  <c r="BR14" i="28"/>
  <c r="BV14" i="28" s="1"/>
  <c r="BV13" i="28"/>
  <c r="X43" i="28"/>
  <c r="X62" i="28" s="1"/>
  <c r="T43" i="28"/>
  <c r="T62" i="28" s="1"/>
  <c r="W62" i="28"/>
  <c r="G16" i="28"/>
  <c r="G17" i="28" s="1"/>
  <c r="BP15" i="28"/>
  <c r="P15" i="28"/>
  <c r="P16" i="28" s="1"/>
  <c r="P17" i="28" s="1"/>
  <c r="M15" i="28"/>
  <c r="M16" i="28" s="1"/>
  <c r="M17" i="28" s="1"/>
  <c r="L15" i="28"/>
  <c r="L16" i="28" s="1"/>
  <c r="L17" i="28" s="1"/>
  <c r="Q15" i="28"/>
  <c r="Q16" i="28" s="1"/>
  <c r="Q17" i="28" s="1"/>
  <c r="J15" i="28"/>
  <c r="J16" i="28" s="1"/>
  <c r="J17" i="28" s="1"/>
  <c r="I15" i="28"/>
  <c r="I16" i="28" s="1"/>
  <c r="I17" i="28" s="1"/>
  <c r="N15" i="28"/>
  <c r="N16" i="28" s="1"/>
  <c r="N17" i="28" s="1"/>
  <c r="O15" i="28"/>
  <c r="O16" i="28" s="1"/>
  <c r="O17" i="28" s="1"/>
  <c r="K15" i="28"/>
  <c r="K16" i="28" s="1"/>
  <c r="K17" i="28" s="1"/>
  <c r="H15" i="28"/>
  <c r="H16" i="28" s="1"/>
  <c r="H17" i="28" s="1"/>
  <c r="S72" i="28"/>
  <c r="S73" i="28" s="1"/>
  <c r="S74" i="28" s="1"/>
  <c r="W71" i="28"/>
  <c r="W72" i="28" s="1"/>
  <c r="W73" i="28" s="1"/>
  <c r="T72" i="28"/>
  <c r="T73" i="28" s="1"/>
  <c r="X71" i="28"/>
  <c r="X72" i="28" s="1"/>
  <c r="X73" i="28" s="1"/>
  <c r="BO36" i="28"/>
  <c r="P36" i="28"/>
  <c r="P43" i="28" s="1"/>
  <c r="M36" i="28"/>
  <c r="M43" i="28" s="1"/>
  <c r="J36" i="28"/>
  <c r="J43" i="28" s="1"/>
  <c r="Q36" i="28"/>
  <c r="Q43" i="28" s="1"/>
  <c r="O36" i="28"/>
  <c r="O43" i="28" s="1"/>
  <c r="I36" i="28"/>
  <c r="I43" i="28" s="1"/>
  <c r="N36" i="28"/>
  <c r="N43" i="28" s="1"/>
  <c r="G43" i="28"/>
  <c r="L36" i="28"/>
  <c r="L43" i="28" s="1"/>
  <c r="K36" i="28"/>
  <c r="K43" i="28" s="1"/>
  <c r="H36" i="28"/>
  <c r="H43" i="28" s="1"/>
  <c r="M46" i="25"/>
  <c r="M21" i="32"/>
  <c r="AH53" i="38"/>
  <c r="S21" i="39" s="1"/>
  <c r="AB53" i="38"/>
  <c r="P21" i="39" s="1"/>
  <c r="AE74" i="28"/>
  <c r="R11" i="39" s="1"/>
  <c r="R12" i="39" s="1"/>
  <c r="BR28" i="28"/>
  <c r="BO30" i="28"/>
  <c r="BK26" i="33"/>
  <c r="I46" i="25"/>
  <c r="BV22" i="28"/>
  <c r="BR25" i="28"/>
  <c r="BR43" i="34"/>
  <c r="BV43" i="34" s="1"/>
  <c r="BV38" i="34"/>
  <c r="BV24" i="34"/>
  <c r="BR27" i="34"/>
  <c r="BK22" i="33"/>
  <c r="I21" i="33"/>
  <c r="I22" i="33" s="1"/>
  <c r="I35" i="33" s="1"/>
  <c r="P21" i="33"/>
  <c r="K21" i="33"/>
  <c r="M21" i="33"/>
  <c r="L21" i="33"/>
  <c r="O21" i="33"/>
  <c r="BO21" i="33"/>
  <c r="BR21" i="33" s="1"/>
  <c r="BV21" i="33" s="1"/>
  <c r="Q21" i="33"/>
  <c r="N21" i="33"/>
  <c r="H46" i="25"/>
  <c r="AJ53" i="38"/>
  <c r="T21" i="39" s="1"/>
  <c r="AT53" i="38"/>
  <c r="Y21" i="39" s="1"/>
  <c r="BF53" i="38"/>
  <c r="AE21" i="39" s="1"/>
  <c r="AE23" i="39" s="1"/>
  <c r="BD53" i="38"/>
  <c r="AD21" i="39" s="1"/>
  <c r="BH53" i="38"/>
  <c r="AF21" i="39" s="1"/>
  <c r="AP53" i="38"/>
  <c r="W21" i="39" s="1"/>
  <c r="BV37" i="28"/>
  <c r="N31" i="28"/>
  <c r="L47" i="38"/>
  <c r="K47" i="38"/>
  <c r="J47" i="38"/>
  <c r="Q47" i="38"/>
  <c r="P47" i="38"/>
  <c r="BO47" i="38"/>
  <c r="BS47" i="38" s="1"/>
  <c r="BW47" i="38" s="1"/>
  <c r="O47" i="38"/>
  <c r="I47" i="38"/>
  <c r="N47" i="38"/>
  <c r="T25" i="38"/>
  <c r="U25" i="38"/>
  <c r="V25" i="38"/>
  <c r="AD53" i="38"/>
  <c r="Q21" i="39" s="1"/>
  <c r="Q19" i="38"/>
  <c r="BO19" i="38"/>
  <c r="BS19" i="38" s="1"/>
  <c r="BW19" i="38" s="1"/>
  <c r="P19" i="38"/>
  <c r="O19" i="38"/>
  <c r="K19" i="38"/>
  <c r="L19" i="38"/>
  <c r="M19" i="38"/>
  <c r="N19" i="38"/>
  <c r="BL37" i="38"/>
  <c r="BL25" i="38"/>
  <c r="K46" i="38"/>
  <c r="BO46" i="38"/>
  <c r="BS46" i="38" s="1"/>
  <c r="BW46" i="38" s="1"/>
  <c r="O46" i="38"/>
  <c r="Q46" i="38"/>
  <c r="N46" i="38"/>
  <c r="L46" i="38"/>
  <c r="P46" i="38"/>
  <c r="AZ53" i="38"/>
  <c r="AB21" i="39" s="1"/>
  <c r="BL49" i="38"/>
  <c r="AF53" i="38"/>
  <c r="R21" i="39" s="1"/>
  <c r="AX53" i="38"/>
  <c r="AA21" i="39" s="1"/>
  <c r="BL13" i="38"/>
  <c r="BQ112" i="32"/>
  <c r="I112" i="32"/>
  <c r="Q112" i="32"/>
  <c r="J112" i="32"/>
  <c r="Y126" i="32"/>
  <c r="O21" i="32"/>
  <c r="AZ136" i="32"/>
  <c r="AB15" i="39" s="1"/>
  <c r="I12" i="38"/>
  <c r="I13" i="38" s="1"/>
  <c r="Q12" i="38"/>
  <c r="Q13" i="38" s="1"/>
  <c r="J12" i="38"/>
  <c r="J13" i="38" s="1"/>
  <c r="R12" i="38"/>
  <c r="R13" i="38" s="1"/>
  <c r="N12" i="38"/>
  <c r="N13" i="38" s="1"/>
  <c r="L12" i="38"/>
  <c r="L13" i="38" s="1"/>
  <c r="P12" i="38"/>
  <c r="P13" i="38" s="1"/>
  <c r="M12" i="38"/>
  <c r="M13" i="38" s="1"/>
  <c r="K12" i="38"/>
  <c r="K13" i="38" s="1"/>
  <c r="H13" i="38"/>
  <c r="O12" i="38"/>
  <c r="O13" i="38" s="1"/>
  <c r="BO36" i="38"/>
  <c r="H37" i="38"/>
  <c r="G53" i="38"/>
  <c r="R16" i="38"/>
  <c r="P16" i="38"/>
  <c r="M16" i="38"/>
  <c r="I16" i="38"/>
  <c r="K16" i="38"/>
  <c r="J16" i="38"/>
  <c r="BO16" i="38"/>
  <c r="Q16" i="38"/>
  <c r="N16" i="38"/>
  <c r="O16" i="38"/>
  <c r="L16" i="38"/>
  <c r="N46" i="34"/>
  <c r="K46" i="34"/>
  <c r="J46" i="34"/>
  <c r="O46" i="34"/>
  <c r="Q46" i="34"/>
  <c r="Y47" i="34"/>
  <c r="P46" i="34"/>
  <c r="M46" i="34"/>
  <c r="H46" i="34"/>
  <c r="BN46" i="34"/>
  <c r="I46" i="34"/>
  <c r="L46" i="34"/>
  <c r="BP33" i="34"/>
  <c r="J33" i="34"/>
  <c r="J36" i="34" s="1"/>
  <c r="P33" i="34"/>
  <c r="P36" i="34" s="1"/>
  <c r="Q33" i="34"/>
  <c r="M33" i="34"/>
  <c r="O33" i="34"/>
  <c r="N33" i="34"/>
  <c r="BR17" i="34"/>
  <c r="BP22" i="34"/>
  <c r="BV12" i="34"/>
  <c r="BV15" i="34"/>
  <c r="BV25" i="33"/>
  <c r="BR26" i="33"/>
  <c r="BV26" i="33" s="1"/>
  <c r="BV14" i="33"/>
  <c r="BJ136" i="32"/>
  <c r="AG15" i="39" s="1"/>
  <c r="AV136" i="32"/>
  <c r="Z15" i="39" s="1"/>
  <c r="AD136" i="32"/>
  <c r="Q15" i="39" s="1"/>
  <c r="AJ136" i="32"/>
  <c r="BF136" i="32"/>
  <c r="BD136" i="32"/>
  <c r="AD15" i="39" s="1"/>
  <c r="AL136" i="32"/>
  <c r="U15" i="39" s="1"/>
  <c r="U126" i="32"/>
  <c r="K20" i="32"/>
  <c r="Q20" i="32" s="1"/>
  <c r="L20" i="32"/>
  <c r="O20" i="32"/>
  <c r="M20" i="32"/>
  <c r="R20" i="32"/>
  <c r="J20" i="32"/>
  <c r="P20" i="32" s="1"/>
  <c r="I20" i="32"/>
  <c r="N20" i="32" s="1"/>
  <c r="BP20" i="32"/>
  <c r="BS20" i="32" s="1"/>
  <c r="BW20" i="32" s="1"/>
  <c r="S15" i="32"/>
  <c r="W15" i="32"/>
  <c r="P13" i="32"/>
  <c r="K13" i="32"/>
  <c r="Q13" i="32" s="1"/>
  <c r="L13" i="32"/>
  <c r="BP13" i="32"/>
  <c r="BS13" i="32" s="1"/>
  <c r="BW13" i="32" s="1"/>
  <c r="O13" i="32"/>
  <c r="R13" i="32"/>
  <c r="N13" i="32"/>
  <c r="Y15" i="32"/>
  <c r="U15" i="32"/>
  <c r="P14" i="32"/>
  <c r="N14" i="32"/>
  <c r="K14" i="32"/>
  <c r="Q14" i="32" s="1"/>
  <c r="L14" i="32"/>
  <c r="O14" i="32"/>
  <c r="R14" i="32"/>
  <c r="BP14" i="32"/>
  <c r="BS14" i="32" s="1"/>
  <c r="BW14" i="32" s="1"/>
  <c r="T15" i="32"/>
  <c r="X15" i="32"/>
  <c r="BW35" i="32"/>
  <c r="BV12" i="7"/>
  <c r="BZ12" i="7" s="1"/>
  <c r="BZ10" i="7"/>
  <c r="X87" i="25"/>
  <c r="V87" i="25"/>
  <c r="Y87" i="25"/>
  <c r="W87" i="25"/>
  <c r="BW41" i="32"/>
  <c r="BV66" i="7"/>
  <c r="BW51" i="32"/>
  <c r="BW82" i="32"/>
  <c r="BR46" i="25"/>
  <c r="BV46" i="25" s="1"/>
  <c r="BV21" i="25"/>
  <c r="BU106" i="25"/>
  <c r="BV106" i="25" s="1"/>
  <c r="BV93" i="25"/>
  <c r="BO23" i="38"/>
  <c r="J23" i="38"/>
  <c r="O23" i="38"/>
  <c r="L23" i="38"/>
  <c r="P23" i="38"/>
  <c r="Q23" i="38"/>
  <c r="R23" i="38"/>
  <c r="N23" i="38"/>
  <c r="K23" i="38"/>
  <c r="I23" i="38"/>
  <c r="H25" i="38"/>
  <c r="BV17" i="26"/>
  <c r="BR18" i="26"/>
  <c r="BV18" i="26" s="1"/>
  <c r="BR52" i="25"/>
  <c r="BV50" i="25"/>
  <c r="BK46" i="25"/>
  <c r="W46" i="25"/>
  <c r="BW68" i="32"/>
  <c r="BW77" i="32" s="1"/>
  <c r="BS77" i="32"/>
  <c r="BR39" i="24"/>
  <c r="BP46" i="25"/>
  <c r="BP112" i="25" s="1"/>
  <c r="BU81" i="25"/>
  <c r="BS87" i="25"/>
  <c r="BW30" i="38"/>
  <c r="BV29" i="26"/>
  <c r="BR33" i="26"/>
  <c r="BW27" i="32"/>
  <c r="BU78" i="25"/>
  <c r="BV78" i="25" s="1"/>
  <c r="BV75" i="25"/>
  <c r="BU85" i="24"/>
  <c r="BS87" i="24"/>
  <c r="BV38" i="7"/>
  <c r="BK81" i="25"/>
  <c r="BK87" i="25" s="1"/>
  <c r="BZ14" i="7"/>
  <c r="BU17" i="24"/>
  <c r="BV13" i="24"/>
  <c r="P98" i="24" l="1"/>
  <c r="BQ109" i="32"/>
  <c r="BW92" i="32"/>
  <c r="BR33" i="34"/>
  <c r="BP36" i="34"/>
  <c r="P31" i="28"/>
  <c r="O98" i="24"/>
  <c r="M98" i="24"/>
  <c r="BU96" i="24"/>
  <c r="BS97" i="24"/>
  <c r="N98" i="24"/>
  <c r="I98" i="24"/>
  <c r="G62" i="28"/>
  <c r="L98" i="24"/>
  <c r="K98" i="24"/>
  <c r="BS98" i="24"/>
  <c r="BS117" i="24" s="1"/>
  <c r="L31" i="28"/>
  <c r="P12" i="39"/>
  <c r="AH12" i="39" s="1"/>
  <c r="BK98" i="24"/>
  <c r="BT112" i="25"/>
  <c r="K111" i="25"/>
  <c r="BK72" i="7"/>
  <c r="K73" i="28"/>
  <c r="L73" i="28"/>
  <c r="Q73" i="28"/>
  <c r="K31" i="28"/>
  <c r="J88" i="25"/>
  <c r="J73" i="28"/>
  <c r="BK74" i="28"/>
  <c r="AB23" i="39"/>
  <c r="BK42" i="26"/>
  <c r="P73" i="28"/>
  <c r="L88" i="25"/>
  <c r="K88" i="25"/>
  <c r="O73" i="28"/>
  <c r="M73" i="28"/>
  <c r="I109" i="32"/>
  <c r="G88" i="25"/>
  <c r="G112" i="25" s="1"/>
  <c r="AA116" i="25"/>
  <c r="BR65" i="28"/>
  <c r="BO69" i="28"/>
  <c r="BO73" i="28" s="1"/>
  <c r="AD23" i="39"/>
  <c r="BV27" i="34"/>
  <c r="H88" i="25"/>
  <c r="M88" i="25"/>
  <c r="BK88" i="25"/>
  <c r="BW39" i="38"/>
  <c r="BW42" i="38" s="1"/>
  <c r="G42" i="26"/>
  <c r="D28" i="20" s="1"/>
  <c r="BS44" i="7"/>
  <c r="I88" i="25"/>
  <c r="AE15" i="39"/>
  <c r="AH11" i="39"/>
  <c r="AH21" i="39"/>
  <c r="AH28" i="39"/>
  <c r="J109" i="32"/>
  <c r="AG23" i="39"/>
  <c r="AF23" i="39"/>
  <c r="T23" i="39"/>
  <c r="AC23" i="39"/>
  <c r="AA23" i="39"/>
  <c r="X23" i="39"/>
  <c r="BS88" i="25"/>
  <c r="BS112" i="25" s="1"/>
  <c r="Q111" i="25"/>
  <c r="R74" i="28"/>
  <c r="BP44" i="24"/>
  <c r="W23" i="39"/>
  <c r="R109" i="32"/>
  <c r="Q88" i="25"/>
  <c r="P88" i="25"/>
  <c r="BO31" i="28"/>
  <c r="G74" i="28"/>
  <c r="D11" i="20" s="1"/>
  <c r="Y23" i="39"/>
  <c r="Z23" i="39"/>
  <c r="U23" i="39"/>
  <c r="Q109" i="32"/>
  <c r="BI113" i="25"/>
  <c r="AG27" i="39"/>
  <c r="BG113" i="25"/>
  <c r="AF27" i="39"/>
  <c r="BE113" i="25"/>
  <c r="AE27" i="39"/>
  <c r="BC113" i="25"/>
  <c r="AD27" i="39"/>
  <c r="BA113" i="25"/>
  <c r="AC27" i="39"/>
  <c r="AY113" i="25"/>
  <c r="AB27" i="39"/>
  <c r="AW113" i="25"/>
  <c r="AA27" i="39"/>
  <c r="AU113" i="25"/>
  <c r="Z27" i="39"/>
  <c r="AS113" i="25"/>
  <c r="Y27" i="39"/>
  <c r="AQ113" i="25"/>
  <c r="X27" i="39"/>
  <c r="AO113" i="25"/>
  <c r="W27" i="39"/>
  <c r="AM113" i="25"/>
  <c r="V27" i="39"/>
  <c r="AK113" i="25"/>
  <c r="U27" i="39"/>
  <c r="AI113" i="25"/>
  <c r="T27" i="39"/>
  <c r="S27" i="39"/>
  <c r="AG113" i="25"/>
  <c r="AE113" i="25"/>
  <c r="R27" i="39"/>
  <c r="AC113" i="25"/>
  <c r="Q27" i="39"/>
  <c r="AA113" i="25"/>
  <c r="BK112" i="25"/>
  <c r="BK113" i="25" s="1"/>
  <c r="P27" i="39"/>
  <c r="V23" i="39"/>
  <c r="T15" i="39"/>
  <c r="N62" i="28"/>
  <c r="N74" i="28" s="1"/>
  <c r="K11" i="39" s="1"/>
  <c r="F16" i="20"/>
  <c r="F16" i="39"/>
  <c r="AA15" i="39"/>
  <c r="BS52" i="38"/>
  <c r="BP51" i="37"/>
  <c r="BR49" i="37"/>
  <c r="BS69" i="7"/>
  <c r="K42" i="26"/>
  <c r="I111" i="25"/>
  <c r="BZ63" i="7"/>
  <c r="BV69" i="7"/>
  <c r="I42" i="26"/>
  <c r="P111" i="25"/>
  <c r="O88" i="25"/>
  <c r="K112" i="25"/>
  <c r="H27" i="39" s="1"/>
  <c r="K62" i="28"/>
  <c r="N88" i="25"/>
  <c r="J126" i="32"/>
  <c r="BN47" i="37"/>
  <c r="BR43" i="37"/>
  <c r="M111" i="25"/>
  <c r="M112" i="25" s="1"/>
  <c r="O111" i="25"/>
  <c r="H111" i="25"/>
  <c r="L111" i="25"/>
  <c r="H42" i="26"/>
  <c r="E28" i="39" s="1"/>
  <c r="N42" i="26"/>
  <c r="K28" i="39" s="1"/>
  <c r="I126" i="32"/>
  <c r="N62" i="32"/>
  <c r="P42" i="26"/>
  <c r="M28" i="39" s="1"/>
  <c r="O42" i="26"/>
  <c r="L28" i="39" s="1"/>
  <c r="O62" i="28"/>
  <c r="X69" i="7"/>
  <c r="X72" i="7" s="1"/>
  <c r="F3" i="40" s="1"/>
  <c r="T69" i="7"/>
  <c r="T72" i="7" s="1"/>
  <c r="R69" i="7"/>
  <c r="R72" i="7" s="1"/>
  <c r="BX62" i="7"/>
  <c r="G69" i="7"/>
  <c r="M62" i="7"/>
  <c r="M69" i="7" s="1"/>
  <c r="M72" i="7" s="1"/>
  <c r="J10" i="39" s="1"/>
  <c r="L62" i="7"/>
  <c r="L69" i="7" s="1"/>
  <c r="L72" i="7" s="1"/>
  <c r="I62" i="7"/>
  <c r="I69" i="7" s="1"/>
  <c r="I72" i="7" s="1"/>
  <c r="K62" i="7"/>
  <c r="K69" i="7" s="1"/>
  <c r="K72" i="7" s="1"/>
  <c r="J62" i="7"/>
  <c r="J69" i="7" s="1"/>
  <c r="J72" i="7" s="1"/>
  <c r="N62" i="7"/>
  <c r="N69" i="7" s="1"/>
  <c r="N72" i="7" s="1"/>
  <c r="K10" i="39" s="1"/>
  <c r="O62" i="7"/>
  <c r="O69" i="7" s="1"/>
  <c r="O72" i="7" s="1"/>
  <c r="L10" i="39" s="1"/>
  <c r="P62" i="7"/>
  <c r="P69" i="7" s="1"/>
  <c r="P72" i="7" s="1"/>
  <c r="Q62" i="7"/>
  <c r="Q69" i="7" s="1"/>
  <c r="Q72" i="7" s="1"/>
  <c r="N10" i="39" s="1"/>
  <c r="H62" i="7"/>
  <c r="H69" i="7" s="1"/>
  <c r="H72" i="7" s="1"/>
  <c r="Y69" i="7"/>
  <c r="Y72" i="7" s="1"/>
  <c r="G3" i="40" s="1"/>
  <c r="U69" i="7"/>
  <c r="U72" i="7" s="1"/>
  <c r="S69" i="7"/>
  <c r="S72" i="7" s="1"/>
  <c r="W69" i="7"/>
  <c r="W72" i="7" s="1"/>
  <c r="E3" i="40" s="1"/>
  <c r="R126" i="32"/>
  <c r="N111" i="25"/>
  <c r="N112" i="25" s="1"/>
  <c r="J111" i="25"/>
  <c r="BN111" i="25"/>
  <c r="BN112" i="25" s="1"/>
  <c r="BR108" i="25"/>
  <c r="BO23" i="26"/>
  <c r="BR20" i="26"/>
  <c r="L42" i="26"/>
  <c r="BP42" i="26"/>
  <c r="M42" i="26"/>
  <c r="BV35" i="26"/>
  <c r="BR39" i="26"/>
  <c r="BV39" i="26" s="1"/>
  <c r="BR41" i="26"/>
  <c r="BV41" i="26" s="1"/>
  <c r="BV40" i="26"/>
  <c r="Q42" i="26"/>
  <c r="N28" i="39" s="1"/>
  <c r="BO27" i="26"/>
  <c r="BR25" i="26"/>
  <c r="BV25" i="26" s="1"/>
  <c r="J42" i="26"/>
  <c r="G28" i="39" s="1"/>
  <c r="Q126" i="32"/>
  <c r="V136" i="32"/>
  <c r="I62" i="28"/>
  <c r="I74" i="28" s="1"/>
  <c r="F11" i="39" s="1"/>
  <c r="M62" i="28"/>
  <c r="M74" i="28" s="1"/>
  <c r="Q62" i="28"/>
  <c r="Q74" i="28" s="1"/>
  <c r="T136" i="32"/>
  <c r="S136" i="32"/>
  <c r="W136" i="32"/>
  <c r="D6" i="40" s="1"/>
  <c r="D9" i="40" s="1"/>
  <c r="L62" i="28"/>
  <c r="H62" i="28"/>
  <c r="H74" i="28" s="1"/>
  <c r="E11" i="39" s="1"/>
  <c r="J62" i="28"/>
  <c r="P62" i="28"/>
  <c r="BV12" i="25"/>
  <c r="BU18" i="25"/>
  <c r="BV18" i="25" s="1"/>
  <c r="BV63" i="24"/>
  <c r="BR65" i="24"/>
  <c r="BV65" i="24" s="1"/>
  <c r="BV114" i="24"/>
  <c r="BU116" i="24"/>
  <c r="BV116" i="24" s="1"/>
  <c r="BS91" i="32"/>
  <c r="BS109" i="32" s="1"/>
  <c r="BS86" i="32"/>
  <c r="BQ87" i="32"/>
  <c r="BV70" i="7"/>
  <c r="BR71" i="7"/>
  <c r="BR72" i="7" s="1"/>
  <c r="BS37" i="32"/>
  <c r="BO38" i="32"/>
  <c r="BV45" i="28"/>
  <c r="BV50" i="28" s="1"/>
  <c r="BR50" i="28"/>
  <c r="BO62" i="32"/>
  <c r="BW40" i="32"/>
  <c r="BW45" i="32" s="1"/>
  <c r="BS45" i="32"/>
  <c r="BS62" i="32"/>
  <c r="BW47" i="32"/>
  <c r="BW62" i="32" s="1"/>
  <c r="BV58" i="24"/>
  <c r="V74" i="28"/>
  <c r="D4" i="40" s="1"/>
  <c r="BR53" i="24"/>
  <c r="BV53" i="24" s="1"/>
  <c r="BV48" i="24"/>
  <c r="BV15" i="7"/>
  <c r="BS29" i="7"/>
  <c r="BZ54" i="7"/>
  <c r="BV56" i="7"/>
  <c r="BR52" i="28"/>
  <c r="BO61" i="28"/>
  <c r="X74" i="28"/>
  <c r="F4" i="40" s="1"/>
  <c r="Y74" i="28"/>
  <c r="G4" i="40" s="1"/>
  <c r="U74" i="28"/>
  <c r="T74" i="28"/>
  <c r="W74" i="28"/>
  <c r="E4" i="40" s="1"/>
  <c r="BR36" i="28"/>
  <c r="BO43" i="28"/>
  <c r="BR71" i="28"/>
  <c r="BQ72" i="28"/>
  <c r="BQ73" i="28" s="1"/>
  <c r="BQ74" i="28" s="1"/>
  <c r="BP16" i="28"/>
  <c r="BP17" i="28" s="1"/>
  <c r="BP74" i="28" s="1"/>
  <c r="BR15" i="28"/>
  <c r="BV28" i="28"/>
  <c r="BR30" i="28"/>
  <c r="BV30" i="28" s="1"/>
  <c r="Q20" i="33"/>
  <c r="Q22" i="33" s="1"/>
  <c r="Q35" i="33" s="1"/>
  <c r="N16" i="39" s="1"/>
  <c r="G22" i="33"/>
  <c r="M20" i="33"/>
  <c r="M22" i="33" s="1"/>
  <c r="M35" i="33" s="1"/>
  <c r="J16" i="39" s="1"/>
  <c r="P20" i="33"/>
  <c r="P22" i="33" s="1"/>
  <c r="P35" i="33" s="1"/>
  <c r="M16" i="39" s="1"/>
  <c r="N20" i="33"/>
  <c r="N22" i="33" s="1"/>
  <c r="N35" i="33" s="1"/>
  <c r="K16" i="39" s="1"/>
  <c r="BO20" i="33"/>
  <c r="K20" i="33"/>
  <c r="K22" i="33" s="1"/>
  <c r="K35" i="33" s="1"/>
  <c r="H16" i="39" s="1"/>
  <c r="O20" i="33"/>
  <c r="O22" i="33" s="1"/>
  <c r="O35" i="33" s="1"/>
  <c r="L16" i="39" s="1"/>
  <c r="BV25" i="28"/>
  <c r="J22" i="33"/>
  <c r="J35" i="33" s="1"/>
  <c r="G16" i="39" s="1"/>
  <c r="BO29" i="38"/>
  <c r="BO37" i="38" s="1"/>
  <c r="M29" i="38"/>
  <c r="M37" i="38" s="1"/>
  <c r="Q29" i="38"/>
  <c r="Q37" i="38" s="1"/>
  <c r="N29" i="38"/>
  <c r="N37" i="38" s="1"/>
  <c r="K29" i="38"/>
  <c r="K37" i="38" s="1"/>
  <c r="R29" i="38"/>
  <c r="R37" i="38" s="1"/>
  <c r="O29" i="38"/>
  <c r="O37" i="38" s="1"/>
  <c r="P29" i="38"/>
  <c r="P37" i="38" s="1"/>
  <c r="BQ29" i="38"/>
  <c r="BQ37" i="38" s="1"/>
  <c r="BQ53" i="38" s="1"/>
  <c r="I29" i="38"/>
  <c r="I37" i="38" s="1"/>
  <c r="J29" i="38"/>
  <c r="J37" i="38" s="1"/>
  <c r="L29" i="38"/>
  <c r="L37" i="38" s="1"/>
  <c r="K45" i="38"/>
  <c r="K49" i="38" s="1"/>
  <c r="H49" i="38"/>
  <c r="BO45" i="38"/>
  <c r="O45" i="38"/>
  <c r="O49" i="38" s="1"/>
  <c r="Q45" i="38"/>
  <c r="Q49" i="38" s="1"/>
  <c r="J45" i="38"/>
  <c r="J49" i="38" s="1"/>
  <c r="P45" i="38"/>
  <c r="P49" i="38" s="1"/>
  <c r="N45" i="38"/>
  <c r="N49" i="38" s="1"/>
  <c r="L45" i="38"/>
  <c r="L49" i="38" s="1"/>
  <c r="I45" i="38"/>
  <c r="I49" i="38" s="1"/>
  <c r="I22" i="38"/>
  <c r="I25" i="38" s="1"/>
  <c r="O22" i="38"/>
  <c r="O25" i="38" s="1"/>
  <c r="J22" i="38"/>
  <c r="M22" i="38" s="1"/>
  <c r="R22" i="38"/>
  <c r="R25" i="38" s="1"/>
  <c r="Q22" i="38"/>
  <c r="Q25" i="38" s="1"/>
  <c r="BO22" i="38"/>
  <c r="BS22" i="38" s="1"/>
  <c r="BW22" i="38" s="1"/>
  <c r="P22" i="38"/>
  <c r="P25" i="38" s="1"/>
  <c r="N22" i="38"/>
  <c r="N25" i="38" s="1"/>
  <c r="L22" i="38"/>
  <c r="L25" i="38" s="1"/>
  <c r="K22" i="38"/>
  <c r="K25" i="38" s="1"/>
  <c r="U53" i="38"/>
  <c r="BS112" i="32"/>
  <c r="BW112" i="32" s="1"/>
  <c r="BQ126" i="32"/>
  <c r="V53" i="38"/>
  <c r="T53" i="38"/>
  <c r="BS36" i="38"/>
  <c r="BS16" i="38"/>
  <c r="BR46" i="34"/>
  <c r="BV46" i="34" s="1"/>
  <c r="BN47" i="34"/>
  <c r="BV17" i="34"/>
  <c r="BR22" i="34"/>
  <c r="BV22" i="34" s="1"/>
  <c r="M48" i="34"/>
  <c r="M49" i="34" s="1"/>
  <c r="O48" i="34"/>
  <c r="O49" i="34" s="1"/>
  <c r="J48" i="34"/>
  <c r="J49" i="34" s="1"/>
  <c r="H48" i="34"/>
  <c r="H49" i="34" s="1"/>
  <c r="Y49" i="34"/>
  <c r="G49" i="34"/>
  <c r="P48" i="34"/>
  <c r="P49" i="34" s="1"/>
  <c r="X49" i="34"/>
  <c r="N48" i="34"/>
  <c r="N49" i="34" s="1"/>
  <c r="K48" i="34"/>
  <c r="K49" i="34" s="1"/>
  <c r="W49" i="34"/>
  <c r="BO48" i="34"/>
  <c r="L48" i="34"/>
  <c r="L49" i="34" s="1"/>
  <c r="Q48" i="34"/>
  <c r="Q49" i="34" s="1"/>
  <c r="I48" i="34"/>
  <c r="I49" i="34" s="1"/>
  <c r="X47" i="34"/>
  <c r="I45" i="34"/>
  <c r="I47" i="34" s="1"/>
  <c r="BP45" i="34"/>
  <c r="L45" i="34"/>
  <c r="L47" i="34" s="1"/>
  <c r="O45" i="34"/>
  <c r="O47" i="34" s="1"/>
  <c r="P45" i="34"/>
  <c r="P47" i="34" s="1"/>
  <c r="N45" i="34"/>
  <c r="N47" i="34" s="1"/>
  <c r="Q45" i="34"/>
  <c r="Q47" i="34" s="1"/>
  <c r="J45" i="34"/>
  <c r="J47" i="34" s="1"/>
  <c r="G47" i="34"/>
  <c r="K45" i="34"/>
  <c r="K47" i="34" s="1"/>
  <c r="H45" i="34"/>
  <c r="H47" i="34" s="1"/>
  <c r="M45" i="34"/>
  <c r="M47" i="34" s="1"/>
  <c r="J29" i="34"/>
  <c r="O29" i="34"/>
  <c r="M29" i="34"/>
  <c r="Q29" i="34"/>
  <c r="N29" i="34"/>
  <c r="L29" i="34"/>
  <c r="BP29" i="34"/>
  <c r="P29" i="34"/>
  <c r="K29" i="34"/>
  <c r="U136" i="32"/>
  <c r="R18" i="32"/>
  <c r="R22" i="32" s="1"/>
  <c r="BP18" i="32"/>
  <c r="J18" i="32"/>
  <c r="L18" i="32"/>
  <c r="L22" i="32" s="1"/>
  <c r="I18" i="32"/>
  <c r="O18" i="32"/>
  <c r="O22" i="32" s="1"/>
  <c r="K18" i="32"/>
  <c r="M18" i="32"/>
  <c r="M22" i="32" s="1"/>
  <c r="BP12" i="32"/>
  <c r="I15" i="32"/>
  <c r="N12" i="32"/>
  <c r="N15" i="32" s="1"/>
  <c r="M15" i="32"/>
  <c r="R12" i="32"/>
  <c r="R15" i="32" s="1"/>
  <c r="J12" i="32"/>
  <c r="O12" i="32"/>
  <c r="O15" i="32" s="1"/>
  <c r="L12" i="32"/>
  <c r="L15" i="32" s="1"/>
  <c r="K12" i="32"/>
  <c r="H15" i="32"/>
  <c r="BU87" i="24"/>
  <c r="BV85" i="24"/>
  <c r="BW52" i="38"/>
  <c r="BV81" i="25"/>
  <c r="BU87" i="25"/>
  <c r="BV39" i="24"/>
  <c r="BR44" i="24"/>
  <c r="BV44" i="24" s="1"/>
  <c r="M23" i="38"/>
  <c r="BV52" i="25"/>
  <c r="BR55" i="25"/>
  <c r="BV55" i="25" s="1"/>
  <c r="Y88" i="25"/>
  <c r="Y112" i="25" s="1"/>
  <c r="W88" i="25"/>
  <c r="W112" i="25" s="1"/>
  <c r="X88" i="25"/>
  <c r="X112" i="25" s="1"/>
  <c r="V88" i="25"/>
  <c r="V112" i="25" s="1"/>
  <c r="BZ38" i="7"/>
  <c r="BZ44" i="7" s="1"/>
  <c r="BV44" i="7"/>
  <c r="BZ66" i="7"/>
  <c r="BV33" i="26"/>
  <c r="BS23" i="38"/>
  <c r="BV17" i="24"/>
  <c r="G5" i="40" l="1"/>
  <c r="F5" i="40"/>
  <c r="E5" i="40"/>
  <c r="H4" i="40"/>
  <c r="BR36" i="34"/>
  <c r="BV33" i="34"/>
  <c r="J112" i="25"/>
  <c r="G27" i="39" s="1"/>
  <c r="BV96" i="24"/>
  <c r="BU97" i="24"/>
  <c r="BV97" i="24" s="1"/>
  <c r="K74" i="28"/>
  <c r="H11" i="20" s="1"/>
  <c r="J74" i="28"/>
  <c r="G11" i="39" s="1"/>
  <c r="O74" i="28"/>
  <c r="L11" i="39" s="1"/>
  <c r="L12" i="39" s="1"/>
  <c r="L74" i="28"/>
  <c r="I11" i="39" s="1"/>
  <c r="E12" i="39"/>
  <c r="P74" i="28"/>
  <c r="M11" i="20" s="1"/>
  <c r="P112" i="25"/>
  <c r="M27" i="20" s="1"/>
  <c r="L112" i="25"/>
  <c r="I27" i="39" s="1"/>
  <c r="BV65" i="28"/>
  <c r="BV69" i="28"/>
  <c r="H112" i="25"/>
  <c r="E27" i="39" s="1"/>
  <c r="I112" i="25"/>
  <c r="F27" i="39" s="1"/>
  <c r="D28" i="39"/>
  <c r="Q112" i="25"/>
  <c r="N27" i="39" s="1"/>
  <c r="AG29" i="39"/>
  <c r="AH27" i="39"/>
  <c r="E28" i="20"/>
  <c r="J28" i="20"/>
  <c r="J28" i="39"/>
  <c r="H28" i="20"/>
  <c r="H28" i="39"/>
  <c r="F28" i="20"/>
  <c r="F28" i="39"/>
  <c r="D11" i="39"/>
  <c r="I28" i="20"/>
  <c r="I28" i="39"/>
  <c r="AA114" i="25"/>
  <c r="G10" i="20"/>
  <c r="G10" i="39"/>
  <c r="H10" i="20"/>
  <c r="H10" i="39"/>
  <c r="F10" i="20"/>
  <c r="F10" i="39"/>
  <c r="F12" i="39" s="1"/>
  <c r="K12" i="39"/>
  <c r="M10" i="20"/>
  <c r="M10" i="39"/>
  <c r="I10" i="20"/>
  <c r="I10" i="39"/>
  <c r="N11" i="20"/>
  <c r="N11" i="39"/>
  <c r="J11" i="20"/>
  <c r="J11" i="39"/>
  <c r="J12" i="39" s="1"/>
  <c r="G27" i="20"/>
  <c r="J27" i="20"/>
  <c r="J27" i="39"/>
  <c r="K27" i="20"/>
  <c r="K27" i="39"/>
  <c r="D27" i="20"/>
  <c r="D27" i="39"/>
  <c r="H27" i="20"/>
  <c r="BS72" i="7"/>
  <c r="O112" i="25"/>
  <c r="BR31" i="28"/>
  <c r="BR51" i="37"/>
  <c r="BV51" i="37" s="1"/>
  <c r="BV49" i="37"/>
  <c r="R136" i="32"/>
  <c r="BR47" i="37"/>
  <c r="BV43" i="37"/>
  <c r="BV47" i="37" s="1"/>
  <c r="K28" i="20"/>
  <c r="L28" i="20"/>
  <c r="M28" i="20"/>
  <c r="BO25" i="38"/>
  <c r="E10" i="20"/>
  <c r="K10" i="20"/>
  <c r="G72" i="7"/>
  <c r="D10" i="39" s="1"/>
  <c r="V69" i="7"/>
  <c r="V72" i="7" s="1"/>
  <c r="D3" i="40" s="1"/>
  <c r="BX69" i="7"/>
  <c r="BX72" i="7" s="1"/>
  <c r="BY62" i="7"/>
  <c r="G73" i="7"/>
  <c r="BR111" i="25"/>
  <c r="BV111" i="25" s="1"/>
  <c r="BV108" i="25"/>
  <c r="BR23" i="26"/>
  <c r="BV23" i="26" s="1"/>
  <c r="BV20" i="26"/>
  <c r="N28" i="20"/>
  <c r="BR27" i="26"/>
  <c r="BO42" i="26"/>
  <c r="G28" i="20"/>
  <c r="K11" i="20"/>
  <c r="E11" i="20"/>
  <c r="F11" i="20"/>
  <c r="J25" i="38"/>
  <c r="M25" i="38"/>
  <c r="BO62" i="28"/>
  <c r="BO74" i="28" s="1"/>
  <c r="J10" i="20"/>
  <c r="BW86" i="32"/>
  <c r="BW87" i="32" s="1"/>
  <c r="BS87" i="32"/>
  <c r="BW91" i="32"/>
  <c r="BW109" i="32" s="1"/>
  <c r="L10" i="20"/>
  <c r="BZ15" i="7"/>
  <c r="BV29" i="7"/>
  <c r="BZ29" i="7" s="1"/>
  <c r="BW37" i="32"/>
  <c r="BW38" i="32" s="1"/>
  <c r="BS38" i="32"/>
  <c r="BZ70" i="7"/>
  <c r="BV71" i="7"/>
  <c r="BZ56" i="7"/>
  <c r="BZ57" i="7" s="1"/>
  <c r="BV57" i="7"/>
  <c r="N10" i="20"/>
  <c r="BR61" i="28"/>
  <c r="BV61" i="28" s="1"/>
  <c r="BV52" i="28"/>
  <c r="BV15" i="28"/>
  <c r="BR16" i="28"/>
  <c r="BV36" i="28"/>
  <c r="BR43" i="28"/>
  <c r="BV43" i="28" s="1"/>
  <c r="BV71" i="28"/>
  <c r="BR72" i="28"/>
  <c r="BV31" i="28"/>
  <c r="N16" i="20"/>
  <c r="H16" i="20"/>
  <c r="J16" i="20"/>
  <c r="G16" i="20"/>
  <c r="M16" i="20"/>
  <c r="K16" i="20"/>
  <c r="L16" i="20"/>
  <c r="BR20" i="33"/>
  <c r="BO22" i="33"/>
  <c r="BO35" i="33" s="1"/>
  <c r="L20" i="33"/>
  <c r="L22" i="33" s="1"/>
  <c r="L35" i="33" s="1"/>
  <c r="I16" i="39" s="1"/>
  <c r="H22" i="33"/>
  <c r="H35" i="33" s="1"/>
  <c r="E16" i="39" s="1"/>
  <c r="BS29" i="38"/>
  <c r="BW29" i="38" s="1"/>
  <c r="BS45" i="38"/>
  <c r="BO49" i="38"/>
  <c r="BS126" i="32"/>
  <c r="BW126" i="32" s="1"/>
  <c r="BW36" i="38"/>
  <c r="BW16" i="38"/>
  <c r="BR29" i="34"/>
  <c r="BR48" i="34"/>
  <c r="BO49" i="34"/>
  <c r="BO59" i="34" s="1"/>
  <c r="BR45" i="34"/>
  <c r="BP47" i="34"/>
  <c r="BP59" i="34" s="1"/>
  <c r="L136" i="32"/>
  <c r="H15" i="39" s="1"/>
  <c r="M136" i="32"/>
  <c r="I15" i="39" s="1"/>
  <c r="O136" i="32"/>
  <c r="K15" i="39" s="1"/>
  <c r="N18" i="32"/>
  <c r="N22" i="32" s="1"/>
  <c r="BS18" i="32"/>
  <c r="Q12" i="32"/>
  <c r="Q15" i="32" s="1"/>
  <c r="K15" i="32"/>
  <c r="BS12" i="32"/>
  <c r="BP15" i="32"/>
  <c r="Q18" i="32"/>
  <c r="Q22" i="32" s="1"/>
  <c r="K22" i="32"/>
  <c r="P18" i="32"/>
  <c r="P22" i="32" s="1"/>
  <c r="P12" i="32"/>
  <c r="P15" i="32" s="1"/>
  <c r="J15" i="32"/>
  <c r="BV87" i="24"/>
  <c r="BU98" i="24"/>
  <c r="BW23" i="38"/>
  <c r="BS25" i="38"/>
  <c r="BU88" i="25"/>
  <c r="BV87" i="25"/>
  <c r="D5" i="40" l="1"/>
  <c r="D18" i="40" s="1"/>
  <c r="H3" i="40"/>
  <c r="H5" i="40" s="1"/>
  <c r="H11" i="39"/>
  <c r="H12" i="39" s="1"/>
  <c r="G12" i="39"/>
  <c r="I11" i="20"/>
  <c r="I12" i="20" s="1"/>
  <c r="L11" i="20"/>
  <c r="L12" i="20" s="1"/>
  <c r="I12" i="39"/>
  <c r="G11" i="20"/>
  <c r="G12" i="20" s="1"/>
  <c r="I27" i="20"/>
  <c r="M27" i="39"/>
  <c r="M11" i="39"/>
  <c r="M12" i="39" s="1"/>
  <c r="E27" i="20"/>
  <c r="F27" i="20"/>
  <c r="N27" i="20"/>
  <c r="F12" i="20"/>
  <c r="D12" i="39"/>
  <c r="O28" i="39"/>
  <c r="O10" i="39"/>
  <c r="BV62" i="28"/>
  <c r="H12" i="20"/>
  <c r="J12" i="20"/>
  <c r="N12" i="20"/>
  <c r="M12" i="20"/>
  <c r="O16" i="39"/>
  <c r="N12" i="39"/>
  <c r="N15" i="20"/>
  <c r="N15" i="39"/>
  <c r="L27" i="20"/>
  <c r="L27" i="39"/>
  <c r="E12" i="20"/>
  <c r="K12" i="20"/>
  <c r="G80" i="7"/>
  <c r="D10" i="20"/>
  <c r="D12" i="20" s="1"/>
  <c r="BY69" i="7"/>
  <c r="BZ62" i="7"/>
  <c r="BZ69" i="7" s="1"/>
  <c r="BR112" i="25"/>
  <c r="BV27" i="26"/>
  <c r="BR42" i="26"/>
  <c r="BV42" i="26" s="1"/>
  <c r="O28" i="20"/>
  <c r="O10" i="20"/>
  <c r="BW37" i="38"/>
  <c r="BV72" i="7"/>
  <c r="BZ71" i="7"/>
  <c r="BR62" i="28"/>
  <c r="BV72" i="28"/>
  <c r="BR73" i="28"/>
  <c r="BV73" i="28" s="1"/>
  <c r="BR17" i="28"/>
  <c r="BV17" i="28" s="1"/>
  <c r="BV16" i="28"/>
  <c r="BV20" i="33"/>
  <c r="BR22" i="33"/>
  <c r="E16" i="20"/>
  <c r="I16" i="20"/>
  <c r="BW45" i="38"/>
  <c r="BW49" i="38" s="1"/>
  <c r="BS49" i="38"/>
  <c r="BS37" i="38"/>
  <c r="BV29" i="34"/>
  <c r="BV45" i="34"/>
  <c r="BR47" i="34"/>
  <c r="BV47" i="34" s="1"/>
  <c r="BR49" i="34"/>
  <c r="BV48" i="34"/>
  <c r="P136" i="32"/>
  <c r="L15" i="39" s="1"/>
  <c r="H15" i="20"/>
  <c r="I15" i="20"/>
  <c r="K15" i="20"/>
  <c r="BW18" i="32"/>
  <c r="BW12" i="32"/>
  <c r="BS15" i="32"/>
  <c r="BW15" i="32" s="1"/>
  <c r="Q136" i="32"/>
  <c r="M15" i="39" s="1"/>
  <c r="K136" i="32"/>
  <c r="G15" i="39" s="1"/>
  <c r="BV88" i="25"/>
  <c r="BU112" i="25"/>
  <c r="BV98" i="24"/>
  <c r="BU117" i="24"/>
  <c r="BW25" i="38"/>
  <c r="BR59" i="34" l="1"/>
  <c r="O11" i="20"/>
  <c r="O11" i="39"/>
  <c r="O27" i="20"/>
  <c r="O12" i="39"/>
  <c r="O27" i="39"/>
  <c r="BV112" i="25"/>
  <c r="O12" i="20"/>
  <c r="BY72" i="7"/>
  <c r="BZ72" i="7" s="1"/>
  <c r="BR74" i="28"/>
  <c r="BV74" i="28" s="1"/>
  <c r="O16" i="20"/>
  <c r="BR35" i="33"/>
  <c r="BV35" i="33" s="1"/>
  <c r="BV22" i="33"/>
  <c r="L15" i="20"/>
  <c r="BV49" i="34"/>
  <c r="G15" i="20"/>
  <c r="M15" i="20"/>
  <c r="BO25" i="32" l="1"/>
  <c r="BO33" i="32" s="1"/>
  <c r="N25" i="32"/>
  <c r="N33" i="32" l="1"/>
  <c r="N136" i="32" s="1"/>
  <c r="BS25" i="32"/>
  <c r="BS33" i="32" s="1"/>
  <c r="BO136" i="32"/>
  <c r="J15" i="39" l="1"/>
  <c r="J15" i="20"/>
  <c r="BW25" i="32"/>
  <c r="BW33" i="32" s="1"/>
  <c r="BL19" i="32" l="1"/>
  <c r="BN19" i="32"/>
  <c r="AB22" i="32"/>
  <c r="BL22" i="32" s="1"/>
  <c r="H19" i="32" l="1"/>
  <c r="BQ19" i="32" s="1"/>
  <c r="BQ22" i="32" s="1"/>
  <c r="BQ136" i="32" s="1"/>
  <c r="AB136" i="32"/>
  <c r="BN22" i="32"/>
  <c r="BL136" i="32"/>
  <c r="BK136" i="32"/>
  <c r="G22" i="32"/>
  <c r="P15" i="39" l="1"/>
  <c r="AH15" i="39" s="1"/>
  <c r="BN136" i="32"/>
  <c r="Y22" i="32"/>
  <c r="Y136" i="32" s="1"/>
  <c r="F6" i="40" s="1"/>
  <c r="F9" i="40" s="1"/>
  <c r="F18" i="40" s="1"/>
  <c r="X22" i="32"/>
  <c r="X136" i="32" s="1"/>
  <c r="E6" i="40" s="1"/>
  <c r="E9" i="40" s="1"/>
  <c r="J19" i="32"/>
  <c r="J22" i="32" s="1"/>
  <c r="J136" i="32" s="1"/>
  <c r="F15" i="39" s="1"/>
  <c r="Z22" i="32"/>
  <c r="Z136" i="32" s="1"/>
  <c r="I19" i="32"/>
  <c r="I22" i="32" s="1"/>
  <c r="I136" i="32" s="1"/>
  <c r="E15" i="39" s="1"/>
  <c r="H22" i="32"/>
  <c r="H136" i="32" s="1"/>
  <c r="E18" i="40" l="1"/>
  <c r="H6" i="40"/>
  <c r="O15" i="39"/>
  <c r="D15" i="20"/>
  <c r="D15" i="39"/>
  <c r="E15" i="20"/>
  <c r="BP22" i="32"/>
  <c r="BP136" i="32" s="1"/>
  <c r="BS19" i="32"/>
  <c r="F15" i="20"/>
  <c r="G62" i="32"/>
  <c r="G136" i="32" s="1"/>
  <c r="O15" i="20" l="1"/>
  <c r="BW19" i="32"/>
  <c r="BS22" i="32"/>
  <c r="BS136" i="32" l="1"/>
  <c r="BW22" i="32"/>
  <c r="BW136" i="32" s="1"/>
  <c r="BL17" i="38"/>
  <c r="BL20" i="38" s="1"/>
  <c r="BL53" i="38" s="1"/>
  <c r="O17" i="38" l="1"/>
  <c r="O20" i="38" s="1"/>
  <c r="O53" i="38" s="1"/>
  <c r="K21" i="39" s="1"/>
  <c r="R17" i="38"/>
  <c r="R20" i="38" s="1"/>
  <c r="R53" i="38" s="1"/>
  <c r="N21" i="39" s="1"/>
  <c r="P17" i="38"/>
  <c r="P20" i="38" s="1"/>
  <c r="P53" i="38" s="1"/>
  <c r="L21" i="39" s="1"/>
  <c r="K17" i="38"/>
  <c r="K20" i="38" s="1"/>
  <c r="K53" i="38" s="1"/>
  <c r="G21" i="39" s="1"/>
  <c r="N17" i="38"/>
  <c r="N20" i="38" s="1"/>
  <c r="N53" i="38" s="1"/>
  <c r="J21" i="39" s="1"/>
  <c r="J17" i="38"/>
  <c r="J20" i="38" s="1"/>
  <c r="J53" i="38" s="1"/>
  <c r="F21" i="39" s="1"/>
  <c r="M17" i="38"/>
  <c r="M20" i="38" s="1"/>
  <c r="M53" i="38" s="1"/>
  <c r="I21" i="39" s="1"/>
  <c r="BO17" i="38"/>
  <c r="I17" i="38"/>
  <c r="I20" i="38" s="1"/>
  <c r="I53" i="38" s="1"/>
  <c r="E21" i="39" s="1"/>
  <c r="H20" i="38"/>
  <c r="Q17" i="38"/>
  <c r="Q20" i="38" s="1"/>
  <c r="Q53" i="38" s="1"/>
  <c r="M21" i="39" s="1"/>
  <c r="L17" i="38"/>
  <c r="L20" i="38" s="1"/>
  <c r="L53" i="38" s="1"/>
  <c r="H21" i="20" l="1"/>
  <c r="H21" i="39"/>
  <c r="I21" i="20"/>
  <c r="L21" i="20"/>
  <c r="M21" i="20"/>
  <c r="BS17" i="38"/>
  <c r="BO20" i="38"/>
  <c r="BO53" i="38" s="1"/>
  <c r="G21" i="20"/>
  <c r="K21" i="20"/>
  <c r="X53" i="38"/>
  <c r="H53" i="38"/>
  <c r="Y53" i="38"/>
  <c r="Z53" i="38"/>
  <c r="J21" i="20"/>
  <c r="E21" i="20"/>
  <c r="F21" i="20"/>
  <c r="N21" i="20"/>
  <c r="O21" i="39" l="1"/>
  <c r="D21" i="20"/>
  <c r="D21" i="39"/>
  <c r="O21" i="20"/>
  <c r="BW17" i="38"/>
  <c r="BS20" i="38"/>
  <c r="BW20" i="38" l="1"/>
  <c r="BS53" i="38"/>
  <c r="BW53" i="38" s="1"/>
  <c r="BK12" i="37"/>
  <c r="O12" i="37" l="1"/>
  <c r="P12" i="37"/>
  <c r="K12" i="37"/>
  <c r="BP12" i="37"/>
  <c r="I12" i="37"/>
  <c r="L12" i="37"/>
  <c r="M12" i="37"/>
  <c r="Q12" i="37"/>
  <c r="H12" i="37"/>
  <c r="J12" i="37"/>
  <c r="N12" i="37"/>
  <c r="BR12" i="37" l="1"/>
  <c r="BP38" i="37"/>
  <c r="BP52" i="37" s="1"/>
  <c r="BV12" i="37" l="1"/>
  <c r="AA52" i="37"/>
  <c r="P22" i="39" s="1"/>
  <c r="AC52" i="37"/>
  <c r="Q22" i="39" s="1"/>
  <c r="Q23" i="39" s="1"/>
  <c r="Z52" i="37"/>
  <c r="V52" i="37"/>
  <c r="AD52" i="37"/>
  <c r="R52" i="37"/>
  <c r="AB52" i="37"/>
  <c r="AF52" i="37"/>
  <c r="AE52" i="37"/>
  <c r="R22" i="39" s="1"/>
  <c r="R23" i="39" s="1"/>
  <c r="AG13" i="37"/>
  <c r="BJ13" i="37"/>
  <c r="BK13" i="37" l="1"/>
  <c r="AG38" i="37"/>
  <c r="AG52" i="37" s="1"/>
  <c r="S22" i="39" s="1"/>
  <c r="F13" i="37"/>
  <c r="T13" i="37" s="1"/>
  <c r="BJ38" i="37"/>
  <c r="BJ52" i="37" s="1"/>
  <c r="P23" i="39"/>
  <c r="G13" i="37" l="1"/>
  <c r="G38" i="37" s="1"/>
  <c r="G52" i="37" s="1"/>
  <c r="D22" i="39" s="1"/>
  <c r="D23" i="39" s="1"/>
  <c r="F38" i="37"/>
  <c r="F52" i="37" s="1"/>
  <c r="U13" i="37"/>
  <c r="BK38" i="37"/>
  <c r="BK52" i="37" s="1"/>
  <c r="S23" i="39"/>
  <c r="AH23" i="39" s="1"/>
  <c r="AH22" i="39"/>
  <c r="X13" i="37"/>
  <c r="X38" i="37" s="1"/>
  <c r="X52" i="37" s="1"/>
  <c r="T38" i="37"/>
  <c r="T52" i="37" s="1"/>
  <c r="W13" i="37"/>
  <c r="W38" i="37" s="1"/>
  <c r="W52" i="37" s="1"/>
  <c r="S38" i="37"/>
  <c r="S52" i="37" s="1"/>
  <c r="Y13" i="37"/>
  <c r="Y38" i="37" s="1"/>
  <c r="Y52" i="37" s="1"/>
  <c r="U38" i="37"/>
  <c r="U52" i="37" s="1"/>
  <c r="K13" i="37"/>
  <c r="O13" i="37"/>
  <c r="J13" i="37"/>
  <c r="N13" i="37"/>
  <c r="I13" i="37"/>
  <c r="M13" i="37"/>
  <c r="Q13" i="37"/>
  <c r="H13" i="37"/>
  <c r="L13" i="37"/>
  <c r="P13" i="37"/>
  <c r="BN13" i="37"/>
  <c r="BN38" i="37" s="1"/>
  <c r="H38" i="37" l="1"/>
  <c r="H52" i="37" s="1"/>
  <c r="L38" i="37"/>
  <c r="L52" i="37" s="1"/>
  <c r="M38" i="37"/>
  <c r="M52" i="37" s="1"/>
  <c r="J38" i="37"/>
  <c r="J52" i="37" s="1"/>
  <c r="P38" i="37"/>
  <c r="P52" i="37" s="1"/>
  <c r="Q38" i="37"/>
  <c r="Q52" i="37" s="1"/>
  <c r="N38" i="37"/>
  <c r="N52" i="37" s="1"/>
  <c r="K38" i="37"/>
  <c r="K52" i="37" s="1"/>
  <c r="I38" i="37"/>
  <c r="I52" i="37" s="1"/>
  <c r="O38" i="37"/>
  <c r="O52" i="37" s="1"/>
  <c r="D22" i="20"/>
  <c r="D23" i="20" s="1"/>
  <c r="BR13" i="37"/>
  <c r="BR38" i="37" s="1"/>
  <c r="BN52" i="37"/>
  <c r="N22" i="20" l="1"/>
  <c r="N22" i="39"/>
  <c r="N23" i="39" s="1"/>
  <c r="L22" i="20"/>
  <c r="L23" i="20" s="1"/>
  <c r="L22" i="39"/>
  <c r="L23" i="39" s="1"/>
  <c r="G22" i="20"/>
  <c r="G23" i="20" s="1"/>
  <c r="G22" i="39"/>
  <c r="G23" i="39" s="1"/>
  <c r="J22" i="20"/>
  <c r="J23" i="20" s="1"/>
  <c r="J22" i="39"/>
  <c r="J23" i="39" s="1"/>
  <c r="H22" i="20"/>
  <c r="H23" i="20" s="1"/>
  <c r="H22" i="39"/>
  <c r="H23" i="39" s="1"/>
  <c r="K22" i="20"/>
  <c r="K23" i="20" s="1"/>
  <c r="K22" i="39"/>
  <c r="K23" i="39" s="1"/>
  <c r="I22" i="20"/>
  <c r="I23" i="20" s="1"/>
  <c r="I22" i="39"/>
  <c r="I23" i="39" s="1"/>
  <c r="F22" i="20"/>
  <c r="F23" i="20" s="1"/>
  <c r="F22" i="39"/>
  <c r="F23" i="39" s="1"/>
  <c r="M22" i="20"/>
  <c r="M23" i="20" s="1"/>
  <c r="M22" i="39"/>
  <c r="E22" i="20"/>
  <c r="E23" i="20" s="1"/>
  <c r="E22" i="39"/>
  <c r="E23" i="39" s="1"/>
  <c r="BV13" i="37"/>
  <c r="BV38" i="37" s="1"/>
  <c r="BR52" i="37"/>
  <c r="BV52" i="37" s="1"/>
  <c r="N23" i="20"/>
  <c r="O22" i="20" l="1"/>
  <c r="O22" i="39"/>
  <c r="M23" i="39"/>
  <c r="O23" i="20"/>
  <c r="AT32" i="33"/>
  <c r="AT35" i="33" s="1"/>
  <c r="BB32" i="33"/>
  <c r="BB35" i="33" s="1"/>
  <c r="AN32" i="33"/>
  <c r="AN35" i="33" s="1"/>
  <c r="AE32" i="33"/>
  <c r="AE35" i="33" s="1"/>
  <c r="R16" i="39" s="1"/>
  <c r="AB32" i="33"/>
  <c r="AB35" i="33" s="1"/>
  <c r="BH32" i="33"/>
  <c r="BH35" i="33" s="1"/>
  <c r="AV32" i="33"/>
  <c r="AV35" i="33" s="1"/>
  <c r="AH32" i="33"/>
  <c r="AH35" i="33" s="1"/>
  <c r="AJ32" i="33"/>
  <c r="AJ35" i="33" s="1"/>
  <c r="AR32" i="33"/>
  <c r="AR35" i="33" s="1"/>
  <c r="AY32" i="33"/>
  <c r="AY35" i="33" s="1"/>
  <c r="AB16" i="39" s="1"/>
  <c r="BA32" i="33"/>
  <c r="BA35" i="33" s="1"/>
  <c r="AC16" i="39" s="1"/>
  <c r="BC32" i="33"/>
  <c r="BC35" i="33" s="1"/>
  <c r="AD16" i="39" s="1"/>
  <c r="AC32" i="33"/>
  <c r="AC35" i="33" s="1"/>
  <c r="Q16" i="39" s="1"/>
  <c r="AK32" i="33"/>
  <c r="AK35" i="33" s="1"/>
  <c r="U16" i="39" s="1"/>
  <c r="AA32" i="33"/>
  <c r="AA35" i="33" s="1"/>
  <c r="P16" i="39" s="1"/>
  <c r="AM32" i="33"/>
  <c r="AM35" i="33" s="1"/>
  <c r="V16" i="39" s="1"/>
  <c r="AF32" i="33"/>
  <c r="AF35" i="33" s="1"/>
  <c r="AD32" i="33"/>
  <c r="AD35" i="33" s="1"/>
  <c r="BF32" i="33"/>
  <c r="BF35" i="33" s="1"/>
  <c r="AZ32" i="33"/>
  <c r="AZ35" i="33" s="1"/>
  <c r="AL32" i="33"/>
  <c r="AL35" i="33" s="1"/>
  <c r="AX32" i="33"/>
  <c r="AX35" i="33" s="1"/>
  <c r="AI32" i="33"/>
  <c r="AI35" i="33" s="1"/>
  <c r="T16" i="39" s="1"/>
  <c r="AG32" i="33"/>
  <c r="AG35" i="33" s="1"/>
  <c r="S16" i="39" s="1"/>
  <c r="BG32" i="33"/>
  <c r="BG35" i="33" s="1"/>
  <c r="AF16" i="39" s="1"/>
  <c r="AF18" i="39" s="1"/>
  <c r="AW32" i="33"/>
  <c r="AW35" i="33" s="1"/>
  <c r="AA16" i="39" s="1"/>
  <c r="AS32" i="33"/>
  <c r="AS35" i="33" s="1"/>
  <c r="Y16" i="39" s="1"/>
  <c r="AO32" i="33"/>
  <c r="AO35" i="33" s="1"/>
  <c r="W16" i="39" s="1"/>
  <c r="AU32" i="33"/>
  <c r="AU35" i="33" s="1"/>
  <c r="Z16" i="39" s="1"/>
  <c r="BE32" i="33"/>
  <c r="BE35" i="33" s="1"/>
  <c r="AE16" i="39" s="1"/>
  <c r="AQ32" i="33"/>
  <c r="AQ35" i="33" s="1"/>
  <c r="X16" i="39" s="1"/>
  <c r="AP32" i="33"/>
  <c r="AP35" i="33" s="1"/>
  <c r="BD32" i="33"/>
  <c r="BD35" i="33" s="1"/>
  <c r="Z32" i="33"/>
  <c r="Z35" i="33" s="1"/>
  <c r="BI32" i="33"/>
  <c r="BI35" i="33" s="1"/>
  <c r="AG16" i="39" s="1"/>
  <c r="BJ28" i="33"/>
  <c r="F28" i="33" s="1"/>
  <c r="G28" i="33" s="1"/>
  <c r="G32" i="33" s="1"/>
  <c r="G35" i="33" s="1"/>
  <c r="BK28" i="33"/>
  <c r="BK32" i="33" s="1"/>
  <c r="BK35" i="33" s="1"/>
  <c r="AG18" i="39" l="1"/>
  <c r="AH16" i="39"/>
  <c r="D16" i="20"/>
  <c r="D16" i="39"/>
  <c r="O23" i="39"/>
  <c r="BJ32" i="33"/>
  <c r="BJ35" i="33" s="1"/>
  <c r="AG31" i="39" l="1"/>
  <c r="BA60" i="24" l="1"/>
  <c r="BA66" i="24" s="1"/>
  <c r="BA117" i="24" s="1"/>
  <c r="AV60" i="24"/>
  <c r="AV66" i="24" s="1"/>
  <c r="AV117" i="24" s="1"/>
  <c r="V60" i="24"/>
  <c r="V66" i="24"/>
  <c r="V117" i="24" s="1"/>
  <c r="AF60" i="24"/>
  <c r="AF66" i="24" s="1"/>
  <c r="AF117" i="24" s="1"/>
  <c r="AH60" i="24"/>
  <c r="AH66" i="24" s="1"/>
  <c r="AH117" i="24" s="1"/>
  <c r="BD60" i="24"/>
  <c r="BD66" i="24" s="1"/>
  <c r="BD117" i="24" s="1"/>
  <c r="AL60" i="24"/>
  <c r="AL66" i="24" s="1"/>
  <c r="AL117" i="24" s="1"/>
  <c r="AZ60" i="24"/>
  <c r="AZ66" i="24" s="1"/>
  <c r="AZ117" i="24" s="1"/>
  <c r="T60" i="24"/>
  <c r="T66" i="24" s="1"/>
  <c r="T117" i="24" s="1"/>
  <c r="Z60" i="24"/>
  <c r="Z66" i="24" s="1"/>
  <c r="Z117" i="24" s="1"/>
  <c r="AT60" i="24"/>
  <c r="AT66" i="24" s="1"/>
  <c r="AT117" i="24" s="1"/>
  <c r="AN60" i="24"/>
  <c r="AN66" i="24" s="1"/>
  <c r="AN117" i="24" s="1"/>
  <c r="Y60" i="24"/>
  <c r="Y66" i="24" s="1"/>
  <c r="Y117" i="24" s="1"/>
  <c r="BB60" i="24"/>
  <c r="BB66" i="24" s="1"/>
  <c r="BB117" i="24" s="1"/>
  <c r="AD60" i="24"/>
  <c r="AD66" i="24" s="1"/>
  <c r="AD117" i="24" s="1"/>
  <c r="AR60" i="24"/>
  <c r="AR66" i="24" s="1"/>
  <c r="AR117" i="24" s="1"/>
  <c r="AP60" i="24"/>
  <c r="AP66" i="24" s="1"/>
  <c r="AP117" i="24" s="1"/>
  <c r="BF60" i="24"/>
  <c r="BF66" i="24" s="1"/>
  <c r="BF117" i="24" s="1"/>
  <c r="AX60" i="24"/>
  <c r="AX66" i="24" s="1"/>
  <c r="AX117" i="24" s="1"/>
  <c r="X60" i="24"/>
  <c r="X66" i="24" s="1"/>
  <c r="X117" i="24" s="1"/>
  <c r="R60" i="24"/>
  <c r="R66" i="24" s="1"/>
  <c r="R117" i="24" s="1"/>
  <c r="BE60" i="24"/>
  <c r="BE66" i="24" s="1"/>
  <c r="BE117" i="24" s="1"/>
  <c r="AE26" i="39" s="1"/>
  <c r="AE29" i="39" s="1"/>
  <c r="AG60" i="24"/>
  <c r="AG66" i="24" s="1"/>
  <c r="AG117" i="24" s="1"/>
  <c r="S26" i="39" s="1"/>
  <c r="S29" i="39" s="1"/>
  <c r="BC60" i="24"/>
  <c r="BC66" i="24" s="1"/>
  <c r="BC117" i="24" s="1"/>
  <c r="AD26" i="39" s="1"/>
  <c r="AD29" i="39" s="1"/>
  <c r="BK56" i="24"/>
  <c r="BK60" i="24" s="1"/>
  <c r="BK66" i="24" s="1"/>
  <c r="BK117" i="24" s="1"/>
  <c r="AM60" i="24"/>
  <c r="AM66" i="24" s="1"/>
  <c r="AM117" i="24" s="1"/>
  <c r="V26" i="39" s="1"/>
  <c r="V29" i="39" s="1"/>
  <c r="BG60" i="24"/>
  <c r="BG66" i="24" s="1"/>
  <c r="BG117" i="24" s="1"/>
  <c r="AF26" i="39" s="1"/>
  <c r="AO60" i="24"/>
  <c r="AO66" i="24" s="1"/>
  <c r="AO117" i="24" s="1"/>
  <c r="W26" i="39" s="1"/>
  <c r="W29" i="39" s="1"/>
  <c r="AE60" i="24"/>
  <c r="AE66" i="24" s="1"/>
  <c r="AE117" i="24" s="1"/>
  <c r="R26" i="39" s="1"/>
  <c r="R29" i="39" s="1"/>
  <c r="AB60" i="24"/>
  <c r="AB66" i="24" s="1"/>
  <c r="AB117" i="24" s="1"/>
  <c r="AS60" i="24"/>
  <c r="AS66" i="24" s="1"/>
  <c r="AS117" i="24" s="1"/>
  <c r="Y26" i="39" s="1"/>
  <c r="Y29" i="39" s="1"/>
  <c r="U60" i="24"/>
  <c r="U66" i="24" s="1"/>
  <c r="U117" i="24" s="1"/>
  <c r="AW60" i="24"/>
  <c r="AW66" i="24" s="1"/>
  <c r="AW117" i="24" s="1"/>
  <c r="AA26" i="39" s="1"/>
  <c r="AA29" i="39" s="1"/>
  <c r="AJ60" i="24"/>
  <c r="AJ66" i="24" s="1"/>
  <c r="AJ117" i="24" s="1"/>
  <c r="AY60" i="24"/>
  <c r="AY66" i="24" s="1"/>
  <c r="AY117" i="24" s="1"/>
  <c r="AB26" i="39" s="1"/>
  <c r="AB29" i="39" s="1"/>
  <c r="AQ60" i="24"/>
  <c r="AQ66" i="24" s="1"/>
  <c r="AQ117" i="24" s="1"/>
  <c r="X26" i="39" s="1"/>
  <c r="X29" i="39" s="1"/>
  <c r="AI60" i="24"/>
  <c r="AI66" i="24" s="1"/>
  <c r="AI117" i="24" s="1"/>
  <c r="T26" i="39" s="1"/>
  <c r="T29" i="39" s="1"/>
  <c r="AK60" i="24"/>
  <c r="AK66" i="24" s="1"/>
  <c r="AK117" i="24" s="1"/>
  <c r="U26" i="39" s="1"/>
  <c r="U29" i="39" s="1"/>
  <c r="AA60" i="24"/>
  <c r="AA66" i="24" s="1"/>
  <c r="AA117" i="24" s="1"/>
  <c r="P26" i="39" s="1"/>
  <c r="P29" i="39" s="1"/>
  <c r="AU60" i="24"/>
  <c r="AU66" i="24" s="1"/>
  <c r="AU117" i="24" s="1"/>
  <c r="Z26" i="39" s="1"/>
  <c r="Z29" i="39" s="1"/>
  <c r="BJ56" i="24"/>
  <c r="BJ60" i="24" s="1"/>
  <c r="BJ66" i="24" s="1"/>
  <c r="BJ117" i="24" s="1"/>
  <c r="AC60" i="24"/>
  <c r="AC66" i="24" s="1"/>
  <c r="AC117" i="24" s="1"/>
  <c r="Q26" i="39" s="1"/>
  <c r="Q29" i="39" s="1"/>
  <c r="AF29" i="39" l="1"/>
  <c r="F56" i="24"/>
  <c r="AC26" i="39"/>
  <c r="AC29" i="39" s="1"/>
  <c r="AH26" i="39" l="1"/>
  <c r="S56" i="24"/>
  <c r="F60" i="24"/>
  <c r="F66" i="24" s="1"/>
  <c r="F117" i="24" s="1"/>
  <c r="G56" i="24"/>
  <c r="AH29" i="39"/>
  <c r="AF31" i="39"/>
  <c r="I56" i="24" l="1"/>
  <c r="I60" i="24" s="1"/>
  <c r="I66" i="24" s="1"/>
  <c r="I117" i="24" s="1"/>
  <c r="M56" i="24"/>
  <c r="M60" i="24" s="1"/>
  <c r="M66" i="24" s="1"/>
  <c r="M117" i="24" s="1"/>
  <c r="Q56" i="24"/>
  <c r="Q60" i="24" s="1"/>
  <c r="Q66" i="24" s="1"/>
  <c r="Q117" i="24" s="1"/>
  <c r="O56" i="24"/>
  <c r="O60" i="24" s="1"/>
  <c r="O66" i="24" s="1"/>
  <c r="O117" i="24" s="1"/>
  <c r="J56" i="24"/>
  <c r="J60" i="24" s="1"/>
  <c r="J66" i="24" s="1"/>
  <c r="J117" i="24" s="1"/>
  <c r="H56" i="24"/>
  <c r="H60" i="24" s="1"/>
  <c r="H66" i="24" s="1"/>
  <c r="H117" i="24" s="1"/>
  <c r="L56" i="24"/>
  <c r="L60" i="24" s="1"/>
  <c r="L66" i="24" s="1"/>
  <c r="L117" i="24" s="1"/>
  <c r="P56" i="24"/>
  <c r="P60" i="24" s="1"/>
  <c r="P66" i="24" s="1"/>
  <c r="P117" i="24" s="1"/>
  <c r="K56" i="24"/>
  <c r="K60" i="24" s="1"/>
  <c r="K66" i="24" s="1"/>
  <c r="K117" i="24" s="1"/>
  <c r="N56" i="24"/>
  <c r="N60" i="24" s="1"/>
  <c r="N66" i="24" s="1"/>
  <c r="N117" i="24" s="1"/>
  <c r="BP56" i="24"/>
  <c r="G60" i="24"/>
  <c r="G66" i="24" s="1"/>
  <c r="G117" i="24" s="1"/>
  <c r="W56" i="24"/>
  <c r="W60" i="24" s="1"/>
  <c r="W66" i="24" s="1"/>
  <c r="W117" i="24" s="1"/>
  <c r="S60" i="24"/>
  <c r="S66" i="24" s="1"/>
  <c r="S117" i="24" s="1"/>
  <c r="N26" i="20" l="1"/>
  <c r="N26" i="39"/>
  <c r="D26" i="39"/>
  <c r="D29" i="39" s="1"/>
  <c r="D26" i="20"/>
  <c r="D29" i="20" s="1"/>
  <c r="M26" i="20"/>
  <c r="M29" i="20" s="1"/>
  <c r="M26" i="39"/>
  <c r="M29" i="39" s="1"/>
  <c r="L26" i="39"/>
  <c r="L29" i="39" s="1"/>
  <c r="L26" i="20"/>
  <c r="L29" i="20" s="1"/>
  <c r="BR56" i="24"/>
  <c r="BP60" i="24"/>
  <c r="BP66" i="24" s="1"/>
  <c r="BP117" i="24" s="1"/>
  <c r="I26" i="20"/>
  <c r="I29" i="20" s="1"/>
  <c r="I26" i="39"/>
  <c r="I29" i="39" s="1"/>
  <c r="H26" i="20"/>
  <c r="H29" i="20" s="1"/>
  <c r="H26" i="39"/>
  <c r="H29" i="39" s="1"/>
  <c r="G26" i="39"/>
  <c r="G29" i="39" s="1"/>
  <c r="G26" i="20"/>
  <c r="G29" i="20" s="1"/>
  <c r="F26" i="20"/>
  <c r="F29" i="20" s="1"/>
  <c r="F26" i="39"/>
  <c r="F29" i="39" s="1"/>
  <c r="K26" i="39"/>
  <c r="K29" i="39" s="1"/>
  <c r="K26" i="20"/>
  <c r="K29" i="20" s="1"/>
  <c r="E26" i="20"/>
  <c r="E29" i="20" s="1"/>
  <c r="E26" i="39"/>
  <c r="E29" i="39" s="1"/>
  <c r="J26" i="20"/>
  <c r="J29" i="20" s="1"/>
  <c r="J26" i="39"/>
  <c r="J29" i="39" s="1"/>
  <c r="N29" i="39" l="1"/>
  <c r="O26" i="39"/>
  <c r="O26" i="20"/>
  <c r="N29" i="20"/>
  <c r="BV56" i="24"/>
  <c r="BR60" i="24"/>
  <c r="BV60" i="24" l="1"/>
  <c r="BR66" i="24"/>
  <c r="O29" i="39"/>
  <c r="O29" i="20"/>
  <c r="BR117" i="24" l="1"/>
  <c r="BV117" i="24" s="1"/>
  <c r="BV66" i="24"/>
  <c r="BA59" i="34" l="1"/>
  <c r="AC17" i="39" s="1"/>
  <c r="AC18" i="39" s="1"/>
  <c r="AC31" i="39" s="1"/>
  <c r="AA59" i="34"/>
  <c r="P17" i="39" s="1"/>
  <c r="P18" i="39" s="1"/>
  <c r="P31" i="39" s="1"/>
  <c r="AO59" i="34"/>
  <c r="W17" i="39" s="1"/>
  <c r="W18" i="39" s="1"/>
  <c r="W31" i="39" s="1"/>
  <c r="AW59" i="34"/>
  <c r="AA17" i="39" s="1"/>
  <c r="AA18" i="39" s="1"/>
  <c r="AA31" i="39" s="1"/>
  <c r="AE59" i="34"/>
  <c r="R17" i="39" s="1"/>
  <c r="R18" i="39" s="1"/>
  <c r="R31" i="39" s="1"/>
  <c r="AQ59" i="34"/>
  <c r="X17" i="39" s="1"/>
  <c r="X18" i="39" s="1"/>
  <c r="X31" i="39" s="1"/>
  <c r="AY59" i="34"/>
  <c r="AB17" i="39" s="1"/>
  <c r="AB18" i="39" s="1"/>
  <c r="AB31" i="39" s="1"/>
  <c r="AM59" i="34"/>
  <c r="V17" i="39" s="1"/>
  <c r="V18" i="39" s="1"/>
  <c r="V31" i="39" s="1"/>
  <c r="BC59" i="34"/>
  <c r="AD17" i="39" s="1"/>
  <c r="AD18" i="39" s="1"/>
  <c r="AD31" i="39" s="1"/>
  <c r="AS59" i="34"/>
  <c r="Y17" i="39" s="1"/>
  <c r="Y18" i="39" s="1"/>
  <c r="Y31" i="39" s="1"/>
  <c r="AG59" i="34"/>
  <c r="S17" i="39" s="1"/>
  <c r="S18" i="39" s="1"/>
  <c r="S31" i="39" s="1"/>
  <c r="AU59" i="34"/>
  <c r="Z17" i="39" s="1"/>
  <c r="Z18" i="39" s="1"/>
  <c r="Z31" i="39" s="1"/>
  <c r="AK59" i="34"/>
  <c r="U17" i="39" s="1"/>
  <c r="U18" i="39" s="1"/>
  <c r="U31" i="39" s="1"/>
  <c r="AC59" i="34"/>
  <c r="Q17" i="39" s="1"/>
  <c r="Q18" i="39" s="1"/>
  <c r="Q31" i="39" s="1"/>
  <c r="AI59" i="34"/>
  <c r="T17" i="39" s="1"/>
  <c r="T18" i="39" s="1"/>
  <c r="T31" i="39" s="1"/>
  <c r="Y59" i="34"/>
  <c r="G8" i="40" s="1"/>
  <c r="X59" i="34"/>
  <c r="W59" i="34"/>
  <c r="BK31" i="34"/>
  <c r="BK59" i="34" s="1"/>
  <c r="BE59" i="34"/>
  <c r="AE17" i="39" s="1"/>
  <c r="V59" i="34"/>
  <c r="U59" i="34"/>
  <c r="S59" i="34"/>
  <c r="T59" i="34"/>
  <c r="R59" i="34"/>
  <c r="BB59" i="34"/>
  <c r="AH59" i="34"/>
  <c r="AV59" i="34"/>
  <c r="AT59" i="34"/>
  <c r="Z59" i="34"/>
  <c r="AF59" i="34"/>
  <c r="AB59" i="34"/>
  <c r="AN59" i="34"/>
  <c r="AJ59" i="34"/>
  <c r="AL59" i="34"/>
  <c r="AR59" i="34"/>
  <c r="AD59" i="34"/>
  <c r="BD59" i="34"/>
  <c r="AX59" i="34"/>
  <c r="AP59" i="34"/>
  <c r="BJ31" i="34"/>
  <c r="AZ59" i="34"/>
  <c r="H8" i="40" l="1"/>
  <c r="G9" i="40"/>
  <c r="F31" i="34"/>
  <c r="F36" i="34" s="1"/>
  <c r="BJ59" i="34"/>
  <c r="AH17" i="39"/>
  <c r="AE18" i="39"/>
  <c r="G18" i="40" l="1"/>
  <c r="H9" i="40"/>
  <c r="H18" i="40" s="1"/>
  <c r="AE31" i="39"/>
  <c r="AH18" i="39"/>
  <c r="G31" i="34"/>
  <c r="F59" i="34"/>
  <c r="AJ31" i="39" l="1"/>
  <c r="AH31" i="39"/>
  <c r="L31" i="34"/>
  <c r="M31" i="34"/>
  <c r="H31" i="34"/>
  <c r="N31" i="34"/>
  <c r="I31" i="34"/>
  <c r="O31" i="34"/>
  <c r="J31" i="34"/>
  <c r="P31" i="34"/>
  <c r="K31" i="34"/>
  <c r="Q31" i="34"/>
  <c r="G59" i="34"/>
  <c r="BP31" i="34"/>
  <c r="Q36" i="34" l="1"/>
  <c r="Q59" i="34" s="1"/>
  <c r="P59" i="34"/>
  <c r="J59" i="34"/>
  <c r="M36" i="34"/>
  <c r="M59" i="34" s="1"/>
  <c r="I36" i="34"/>
  <c r="I59" i="34" s="1"/>
  <c r="L36" i="34"/>
  <c r="L59" i="34" s="1"/>
  <c r="K59" i="34"/>
  <c r="O36" i="34"/>
  <c r="O59" i="34" s="1"/>
  <c r="N36" i="34"/>
  <c r="N59" i="34" s="1"/>
  <c r="H36" i="34"/>
  <c r="H59" i="34" s="1"/>
  <c r="BR31" i="34"/>
  <c r="D17" i="20"/>
  <c r="D18" i="20" s="1"/>
  <c r="D31" i="20" s="1"/>
  <c r="D17" i="39"/>
  <c r="D18" i="39" s="1"/>
  <c r="D31" i="39" s="1"/>
  <c r="I39" i="39" s="1"/>
  <c r="E17" i="20" l="1"/>
  <c r="E18" i="20" s="1"/>
  <c r="E31" i="20" s="1"/>
  <c r="E17" i="39"/>
  <c r="E18" i="39" s="1"/>
  <c r="E31" i="39" s="1"/>
  <c r="H17" i="39"/>
  <c r="H18" i="39" s="1"/>
  <c r="H31" i="39" s="1"/>
  <c r="H17" i="20"/>
  <c r="H18" i="20" s="1"/>
  <c r="H31" i="20" s="1"/>
  <c r="K17" i="20"/>
  <c r="K18" i="20" s="1"/>
  <c r="K31" i="20" s="1"/>
  <c r="K17" i="39"/>
  <c r="K18" i="39" s="1"/>
  <c r="K31" i="39" s="1"/>
  <c r="I17" i="39"/>
  <c r="I18" i="39" s="1"/>
  <c r="I31" i="39" s="1"/>
  <c r="I17" i="20"/>
  <c r="I18" i="20" s="1"/>
  <c r="I31" i="20" s="1"/>
  <c r="M17" i="39"/>
  <c r="M18" i="39" s="1"/>
  <c r="M31" i="39" s="1"/>
  <c r="M17" i="20"/>
  <c r="M18" i="20" s="1"/>
  <c r="M31" i="20" s="1"/>
  <c r="D20" i="40" s="1"/>
  <c r="L17" i="39"/>
  <c r="L18" i="39" s="1"/>
  <c r="L31" i="39" s="1"/>
  <c r="L17" i="20"/>
  <c r="L18" i="20" s="1"/>
  <c r="L31" i="20" s="1"/>
  <c r="F17" i="39"/>
  <c r="F18" i="39" s="1"/>
  <c r="F31" i="39" s="1"/>
  <c r="F17" i="20"/>
  <c r="F18" i="20" s="1"/>
  <c r="F31" i="20" s="1"/>
  <c r="D21" i="40" s="1"/>
  <c r="J17" i="39"/>
  <c r="J18" i="39" s="1"/>
  <c r="J31" i="39" s="1"/>
  <c r="J17" i="20"/>
  <c r="J18" i="20" s="1"/>
  <c r="J31" i="20" s="1"/>
  <c r="D24" i="40" s="1"/>
  <c r="G17" i="39"/>
  <c r="G18" i="39" s="1"/>
  <c r="G31" i="39" s="1"/>
  <c r="G17" i="20"/>
  <c r="G18" i="20" s="1"/>
  <c r="G31" i="20" s="1"/>
  <c r="N17" i="39"/>
  <c r="N17" i="20"/>
  <c r="N18" i="20" s="1"/>
  <c r="N31" i="20" s="1"/>
  <c r="BV31" i="34"/>
  <c r="G30" i="40" l="1"/>
  <c r="F30" i="40"/>
  <c r="D30" i="40"/>
  <c r="E30" i="40"/>
  <c r="D31" i="40"/>
  <c r="G31" i="40"/>
  <c r="F31" i="40"/>
  <c r="E31" i="40"/>
  <c r="F28" i="40"/>
  <c r="G28" i="40"/>
  <c r="E28" i="40"/>
  <c r="D28" i="40"/>
  <c r="D22" i="40"/>
  <c r="F35" i="39"/>
  <c r="O17" i="39"/>
  <c r="O18" i="20"/>
  <c r="O31" i="20" s="1"/>
  <c r="J37" i="20" s="1"/>
  <c r="O17" i="20"/>
  <c r="N18" i="39"/>
  <c r="N31" i="39" s="1"/>
  <c r="BV36" i="34"/>
  <c r="BV59" i="34" s="1"/>
  <c r="H28" i="40" l="1"/>
  <c r="H31" i="40"/>
  <c r="H30" i="40"/>
  <c r="D29" i="40"/>
  <c r="G29" i="40"/>
  <c r="E29" i="40"/>
  <c r="F29" i="40"/>
  <c r="O18" i="39"/>
  <c r="O31" i="39" s="1"/>
  <c r="H29" i="40" l="1"/>
  <c r="H32" i="40" s="1"/>
  <c r="H33" i="40" l="1"/>
  <c r="H21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BG131" authorId="0" shapeId="0" xr:uid="{CC783EC3-435D-4F45-B5DD-07A3E7EC2854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letter of correspondence with JDA to increase cluster price.</t>
        </r>
      </text>
    </comment>
  </commentList>
</comments>
</file>

<file path=xl/sharedStrings.xml><?xml version="1.0" encoding="utf-8"?>
<sst xmlns="http://schemas.openxmlformats.org/spreadsheetml/2006/main" count="3055" uniqueCount="912">
  <si>
    <t>COMMUNITY EMPOWERMENT</t>
  </si>
  <si>
    <t>Acct</t>
  </si>
  <si>
    <t>Code</t>
  </si>
  <si>
    <t>Sub Total</t>
  </si>
  <si>
    <t>GRAND TOTAL</t>
  </si>
  <si>
    <t>SUMMARY</t>
  </si>
  <si>
    <t>Quarterly planned expenditure (in Rs.)</t>
  </si>
  <si>
    <t>Q1</t>
  </si>
  <si>
    <t>Q2</t>
  </si>
  <si>
    <t>Q3</t>
  </si>
  <si>
    <t>Q4</t>
  </si>
  <si>
    <t>AWP&amp;B (in Rs.)</t>
  </si>
  <si>
    <t>Activity</t>
  </si>
  <si>
    <t>Total:</t>
  </si>
  <si>
    <t>Component</t>
  </si>
  <si>
    <t>Unit</t>
  </si>
  <si>
    <t>Amount</t>
  </si>
  <si>
    <t>LS</t>
  </si>
  <si>
    <t>Total</t>
  </si>
  <si>
    <t>Unit cost (in Rs.)</t>
  </si>
  <si>
    <t xml:space="preserve">No. of Unit </t>
  </si>
  <si>
    <t>Acct. Code</t>
  </si>
  <si>
    <t xml:space="preserve">   AWP&amp;B </t>
  </si>
  <si>
    <t>Unit Cost (In Rs.)</t>
  </si>
  <si>
    <t>No. of Unit</t>
  </si>
  <si>
    <t xml:space="preserve">Acct code </t>
  </si>
  <si>
    <t>Amount               (In Rs.)</t>
  </si>
  <si>
    <t>per month</t>
  </si>
  <si>
    <t>Utilities</t>
  </si>
  <si>
    <t>No of Unit</t>
  </si>
  <si>
    <t xml:space="preserve">Amount (In Rs) </t>
  </si>
  <si>
    <t>unit Cost (In Rs.)</t>
  </si>
  <si>
    <t>Monitoring &amp; Knoweldge Management</t>
  </si>
  <si>
    <t xml:space="preserve">No. of unit </t>
  </si>
  <si>
    <t xml:space="preserve">Amount (In Rs.) </t>
  </si>
  <si>
    <t>village</t>
  </si>
  <si>
    <t xml:space="preserve">Sub total </t>
  </si>
  <si>
    <t>Sub total</t>
  </si>
  <si>
    <t>unit cost</t>
  </si>
  <si>
    <t>Internal audit</t>
  </si>
  <si>
    <t>Unit Cost</t>
  </si>
  <si>
    <t xml:space="preserve"> </t>
  </si>
  <si>
    <t>TOTAL</t>
  </si>
  <si>
    <t>Quarterly planned expenditure (in Rs)</t>
  </si>
  <si>
    <t>year</t>
  </si>
  <si>
    <t>SPMU</t>
  </si>
  <si>
    <t>Com-
ponent</t>
  </si>
  <si>
    <t>Acct. 
Code</t>
  </si>
  <si>
    <t>No. of unit</t>
  </si>
  <si>
    <t>Khunti</t>
  </si>
  <si>
    <t>Gumla</t>
  </si>
  <si>
    <t>Lohardaga</t>
  </si>
  <si>
    <t>Latehar</t>
  </si>
  <si>
    <t>Simdega</t>
  </si>
  <si>
    <t>East Singhbhum</t>
  </si>
  <si>
    <t>West Singhbhum</t>
  </si>
  <si>
    <t>Saraikhela Kharsawan</t>
  </si>
  <si>
    <t>Godda</t>
  </si>
  <si>
    <t>Dumka</t>
  </si>
  <si>
    <t>Jamtara</t>
  </si>
  <si>
    <t>Pakur</t>
  </si>
  <si>
    <t>Sahibgang</t>
  </si>
  <si>
    <t>Acct Code</t>
  </si>
  <si>
    <t>Amount (In Rs.)</t>
  </si>
  <si>
    <t>Sl. No.</t>
  </si>
  <si>
    <t>Community Empowerment</t>
  </si>
  <si>
    <t>Quarterly planned unit</t>
  </si>
  <si>
    <t>Quarterly planned Unit</t>
  </si>
  <si>
    <t>Quarterly planned  Unit</t>
  </si>
  <si>
    <t>Community Institutions Development</t>
  </si>
  <si>
    <t>Service provider contracts (NGO)</t>
  </si>
  <si>
    <t>Wages to MPWs /b</t>
  </si>
  <si>
    <t>MPA</t>
  </si>
  <si>
    <t>pers_month</t>
  </si>
  <si>
    <t>PMU &amp; MPA Staff Exposure and Training</t>
  </si>
  <si>
    <t>Exposure visits- 7 days /c</t>
  </si>
  <si>
    <t>Nutrition &amp; gender training /d</t>
  </si>
  <si>
    <t>Training for Junior engineers /e</t>
  </si>
  <si>
    <t>Programme concept &amp; orientation /f</t>
  </si>
  <si>
    <t>pers_days</t>
  </si>
  <si>
    <t>NGO staff Exposure and Training</t>
  </si>
  <si>
    <t>Exposure visits /g</t>
  </si>
  <si>
    <t>Nutrition &amp; Gender training /h</t>
  </si>
  <si>
    <t>NRM training 4 pers for 2 days</t>
  </si>
  <si>
    <t>CRP training</t>
  </si>
  <si>
    <t>Programme concept &amp; orientation /j</t>
  </si>
  <si>
    <t>VDP prepartion and book-keeping /l</t>
  </si>
  <si>
    <t>TOT Training module</t>
  </si>
  <si>
    <t>Training arrangement</t>
  </si>
  <si>
    <t>Honorarium to the translator</t>
  </si>
  <si>
    <t>persons</t>
  </si>
  <si>
    <t>session</t>
  </si>
  <si>
    <t>Honorarium to the tranlator</t>
  </si>
  <si>
    <t>Women sexual and reproduction health</t>
  </si>
  <si>
    <t>Confronting malaria</t>
  </si>
  <si>
    <t>Training VDA &amp; VDC  members on preparation of VDP</t>
  </si>
  <si>
    <t>VDP preparation /m</t>
  </si>
  <si>
    <t>Entry point interventions(EPI)</t>
  </si>
  <si>
    <t>Stregthening SHGs and Rural Finance</t>
  </si>
  <si>
    <t xml:space="preserve"> SHG formation &amp; strengthening</t>
  </si>
  <si>
    <t>SHG mapping,audit &amp; accounts</t>
  </si>
  <si>
    <t>SHG mapping, audit etc(only mapping &amp; grading)</t>
  </si>
  <si>
    <t>SHG</t>
  </si>
  <si>
    <t xml:space="preserve"> TOT to NGO staff including CRPs</t>
  </si>
  <si>
    <t>SHG functioning</t>
  </si>
  <si>
    <t>Resource agency cost for TOT</t>
  </si>
  <si>
    <t>Training SHG members</t>
  </si>
  <si>
    <t>Training Leaders for 2 days</t>
  </si>
  <si>
    <t>Training book-keepers, 2 days</t>
  </si>
  <si>
    <t>CRP_day</t>
  </si>
  <si>
    <t>Financial literacy, with 6 modules</t>
  </si>
  <si>
    <t>Resource agency cost for TOT /c</t>
  </si>
  <si>
    <t>Training of CRPs 4 days</t>
  </si>
  <si>
    <t>CRP</t>
  </si>
  <si>
    <t>Rural Finance</t>
  </si>
  <si>
    <t>Accounting training-2 days /h</t>
  </si>
  <si>
    <t>Start up funds for furniture, bicycles etc</t>
  </si>
  <si>
    <t>Annual general body meeting</t>
  </si>
  <si>
    <t>Mobility expenses</t>
  </si>
  <si>
    <t xml:space="preserve">Operating costs to GPLF </t>
  </si>
  <si>
    <t>person</t>
  </si>
  <si>
    <t>GPLF</t>
  </si>
  <si>
    <t xml:space="preserve"> Funding support to SHG</t>
  </si>
  <si>
    <t>Pro-poor Fund first instalment</t>
  </si>
  <si>
    <t>VRF 1st &amp; 2nd instalments/i</t>
  </si>
  <si>
    <t>VRF 3rd and 4th instalments</t>
  </si>
  <si>
    <t>Pilot on women cooperative</t>
  </si>
  <si>
    <t>Feasibility study /k</t>
  </si>
  <si>
    <t>study</t>
  </si>
  <si>
    <t>Exposure visits (in country)</t>
  </si>
  <si>
    <t>Viability gap expenses</t>
  </si>
  <si>
    <t>Equipment &amp; computer</t>
  </si>
  <si>
    <t>Staff training on cooperatives</t>
  </si>
  <si>
    <t>Training on governance &amp; responsibilities</t>
  </si>
  <si>
    <t>Legal assistance</t>
  </si>
  <si>
    <t>Training on accounting &amp; book-keeping</t>
  </si>
  <si>
    <t>TA for hand-holding</t>
  </si>
  <si>
    <t>Nutrition and social issues</t>
  </si>
  <si>
    <t>Dal Poshak banks</t>
  </si>
  <si>
    <t>Training CRPs and SHG</t>
  </si>
  <si>
    <t>Dal Bank equipment /l</t>
  </si>
  <si>
    <t>Supply of Dal /m</t>
  </si>
  <si>
    <t>Marriage incentives /n</t>
  </si>
  <si>
    <t>Late marriage incentives to girls</t>
  </si>
  <si>
    <t xml:space="preserve"> COMMUNITY EMPOWERMENT</t>
  </si>
  <si>
    <t>Natural Resource Management</t>
  </si>
  <si>
    <t xml:space="preserve">Horticulture /d </t>
  </si>
  <si>
    <t xml:space="preserve">Agriculture Training /a </t>
  </si>
  <si>
    <t xml:space="preserve">Land Rights Allocation: RNGO /e </t>
  </si>
  <si>
    <t>Human resources costs- field level (CRPs),Amin</t>
  </si>
  <si>
    <t>lumpsum</t>
  </si>
  <si>
    <t xml:space="preserve">Land treatment /g </t>
  </si>
  <si>
    <t>ha</t>
  </si>
  <si>
    <t xml:space="preserve">Irrigation structures /h </t>
  </si>
  <si>
    <t xml:space="preserve">Pulses, oilseeds, tubers development /k </t>
  </si>
  <si>
    <t xml:space="preserve"> Food and Nutrition Security</t>
  </si>
  <si>
    <t>Food security</t>
  </si>
  <si>
    <t>PTG Food production system</t>
  </si>
  <si>
    <t>Farmers training /a</t>
  </si>
  <si>
    <t>Onfarm demonstrations</t>
  </si>
  <si>
    <t>Seed Production support /b</t>
  </si>
  <si>
    <t>Farmers Field Schools, FFS</t>
  </si>
  <si>
    <t>Capacity building</t>
  </si>
  <si>
    <t>FSS</t>
  </si>
  <si>
    <t>FFS</t>
  </si>
  <si>
    <t>Research and development support</t>
  </si>
  <si>
    <t>R&amp;D support on crop varities (OUAT) /e</t>
  </si>
  <si>
    <t>Farmer-led crop trials /f</t>
  </si>
  <si>
    <t>farmers</t>
  </si>
  <si>
    <t>Nutrition security</t>
  </si>
  <si>
    <t>Nutrition-dense crop diversification</t>
  </si>
  <si>
    <t>Nutrition needs assessment</t>
  </si>
  <si>
    <t xml:space="preserve"> Assessment of use and  nutrient value  of uncultivated foods</t>
  </si>
  <si>
    <t>GP</t>
  </si>
  <si>
    <t>Livelihoods Improvement</t>
  </si>
  <si>
    <t>Training Community Service Provider(CSP)</t>
  </si>
  <si>
    <t>CSP</t>
  </si>
  <si>
    <t>pers_day</t>
  </si>
  <si>
    <t>Support to CSPs in upscaling</t>
  </si>
  <si>
    <t>Support for horticulture 1st year /e</t>
  </si>
  <si>
    <t>Support for horticulture 2nd year</t>
  </si>
  <si>
    <t>Support for horticulture 3rd year</t>
  </si>
  <si>
    <t>Livestock demonstrations</t>
  </si>
  <si>
    <t>Poultry mother units /f</t>
  </si>
  <si>
    <t>Goat rearing unit (5+1) including shed</t>
  </si>
  <si>
    <t>Household production support</t>
  </si>
  <si>
    <t>IGA units /i</t>
  </si>
  <si>
    <t>Setting up of Producers Collectives</t>
  </si>
  <si>
    <t>Preparation of Feasibility Reports</t>
  </si>
  <si>
    <t>per MPA</t>
  </si>
  <si>
    <t>LRA for Producer collectives</t>
  </si>
  <si>
    <t>Collective</t>
  </si>
  <si>
    <t>Promotion of Livelihoods collectives</t>
  </si>
  <si>
    <t>collective</t>
  </si>
  <si>
    <t>Infrastructure and equipment</t>
  </si>
  <si>
    <t>Hand-holding facilities</t>
  </si>
  <si>
    <t>Support for NTFP marketing</t>
  </si>
  <si>
    <t>per GP</t>
  </si>
  <si>
    <t>Vocational Training /l</t>
  </si>
  <si>
    <t>Natural Resources Management and Livelihoods Improvement</t>
  </si>
  <si>
    <t xml:space="preserve"> Natural Resources Management and Livelihoods Improvement</t>
  </si>
  <si>
    <t>Community Infrastructure and Drudgery reduction.</t>
  </si>
  <si>
    <t>Survey, preparation of feasibility reports</t>
  </si>
  <si>
    <t>Feasibiltiy studies</t>
  </si>
  <si>
    <t>feasibility studies for micro-hydel</t>
  </si>
  <si>
    <t>Drinking water &amp; sanitation</t>
  </si>
  <si>
    <t>Toilets</t>
  </si>
  <si>
    <t>Water Purification pilot</t>
  </si>
  <si>
    <t>each</t>
  </si>
  <si>
    <t>Housing &amp; habitat development</t>
  </si>
  <si>
    <t>Housing units</t>
  </si>
  <si>
    <t>Construction materials for house improvement</t>
  </si>
  <si>
    <t>CC road in villages /a</t>
  </si>
  <si>
    <t>km</t>
  </si>
  <si>
    <t>Foot paths</t>
  </si>
  <si>
    <t>Grid connection</t>
  </si>
  <si>
    <t>Community solar lighting</t>
  </si>
  <si>
    <t>Social  infrastructure</t>
  </si>
  <si>
    <t>Multi-purpose community hall</t>
  </si>
  <si>
    <t>Economic Infrastructure</t>
  </si>
  <si>
    <t>Drying yards</t>
  </si>
  <si>
    <t>Market yards</t>
  </si>
  <si>
    <t>Aggregation centres</t>
  </si>
  <si>
    <t>SHG worksheds</t>
  </si>
  <si>
    <t>Agricultural machinery &amp; tools /b</t>
  </si>
  <si>
    <t>set</t>
  </si>
  <si>
    <t>Drudgery Reduction</t>
  </si>
  <si>
    <t>Drugery reduction interventions</t>
  </si>
  <si>
    <t>Milling units for millets, rice /b</t>
  </si>
  <si>
    <t>Tribal culture and values</t>
  </si>
  <si>
    <t>Support to cultural festivals /c</t>
  </si>
  <si>
    <t>Community halls /d</t>
  </si>
  <si>
    <t>Youth dormentary</t>
  </si>
  <si>
    <t>Sacred Fencing /e</t>
  </si>
  <si>
    <t>Policy initiatives</t>
  </si>
  <si>
    <t>Studies and surveys</t>
  </si>
  <si>
    <t>Legal Advocacy</t>
  </si>
  <si>
    <t xml:space="preserve"> Project Management Unit</t>
  </si>
  <si>
    <t xml:space="preserve">Vehicles </t>
  </si>
  <si>
    <t xml:space="preserve">Procurement of Vehicles </t>
  </si>
  <si>
    <t>Each</t>
  </si>
  <si>
    <t>Hiring of Vehicles(Monthly &amp; Daily)</t>
  </si>
  <si>
    <t>Motor Cycles</t>
  </si>
  <si>
    <t>POL for Vehicles and Motor Cycles</t>
  </si>
  <si>
    <t>Maintenance of Vehicles/Motor Cycles etc</t>
  </si>
  <si>
    <t>Sub total Vehicles</t>
  </si>
  <si>
    <t>Equipments</t>
  </si>
  <si>
    <t xml:space="preserve">Computer Desktop </t>
  </si>
  <si>
    <t>Printer,Scaner cum Photocopier (Large)</t>
  </si>
  <si>
    <t>Printer,Scaner cum Photocopier (small )</t>
  </si>
  <si>
    <t>Scanner</t>
  </si>
  <si>
    <t>Air conditioners</t>
  </si>
  <si>
    <t>Water filters (Aqua guard)</t>
  </si>
  <si>
    <t>Water Coolers</t>
  </si>
  <si>
    <t>Ceiling fans/wall mounted/pedestral</t>
  </si>
  <si>
    <t>Genset, silent mode</t>
  </si>
  <si>
    <t>Invertors</t>
  </si>
  <si>
    <t>Cameras</t>
  </si>
  <si>
    <t>EPBX Box</t>
  </si>
  <si>
    <t>Fax Machine</t>
  </si>
  <si>
    <t>V sat / Broadband connection</t>
  </si>
  <si>
    <t>Intercom</t>
  </si>
  <si>
    <t>Handycam</t>
  </si>
  <si>
    <t>Digital cameras</t>
  </si>
  <si>
    <t>Mobile</t>
  </si>
  <si>
    <t>TV</t>
  </si>
  <si>
    <t>LCD projector</t>
  </si>
  <si>
    <t>Other equipment /a</t>
  </si>
  <si>
    <t>Furniture set</t>
  </si>
  <si>
    <t>Office Renovation</t>
  </si>
  <si>
    <t>Sub total Equipments</t>
  </si>
  <si>
    <t>Surveys, audits and TA</t>
  </si>
  <si>
    <t>1. Surveys and studies</t>
  </si>
  <si>
    <t>Baseline survey /b</t>
  </si>
  <si>
    <t>RIMS baseline, MTR and endline</t>
  </si>
  <si>
    <t>survey</t>
  </si>
  <si>
    <t>Annual outcome survey</t>
  </si>
  <si>
    <t>MTR survey</t>
  </si>
  <si>
    <t>PCR study</t>
  </si>
  <si>
    <t>Subtotal Surveys and studies</t>
  </si>
  <si>
    <t/>
  </si>
  <si>
    <t>Audits</t>
  </si>
  <si>
    <t>Statutory audits</t>
  </si>
  <si>
    <t>Preparation of Finance Manual /c</t>
  </si>
  <si>
    <t>Subtotal Audits</t>
  </si>
  <si>
    <t>Technical assistance</t>
  </si>
  <si>
    <t>Staff recruitment expenses</t>
  </si>
  <si>
    <t>MPA Staff &amp; NGO recruitment expenses</t>
  </si>
  <si>
    <t>Subtotal Technical assistance</t>
  </si>
  <si>
    <t>Sub total Surveys, audits and TA</t>
  </si>
  <si>
    <t>Staff Salary and Allowances</t>
  </si>
  <si>
    <t>Staff salary</t>
  </si>
  <si>
    <t>State Programme Director</t>
  </si>
  <si>
    <t>Deputy Programme Director</t>
  </si>
  <si>
    <t>Revenue Officer (Land rights) /d</t>
  </si>
  <si>
    <t>Senior Engineer</t>
  </si>
  <si>
    <t>Manager Finance</t>
  </si>
  <si>
    <t>PO(NRM)</t>
  </si>
  <si>
    <t>PO( L &amp; C)</t>
  </si>
  <si>
    <t>PO(CB, Gender &amp;Nutrition)</t>
  </si>
  <si>
    <t>Manager ( MIS and M&amp;E)</t>
  </si>
  <si>
    <t>PO(CI &amp; RF)</t>
  </si>
  <si>
    <t>Manager( GIS)</t>
  </si>
  <si>
    <t>System Analyst</t>
  </si>
  <si>
    <t>Manager, Communications &amp; KM</t>
  </si>
  <si>
    <t>Accounts Assistants</t>
  </si>
  <si>
    <t>Project Assistant MIS</t>
  </si>
  <si>
    <t>Executive Assistants</t>
  </si>
  <si>
    <t>Support staff</t>
  </si>
  <si>
    <t>Sub total Staff Salary</t>
  </si>
  <si>
    <t xml:space="preserve">Staff Allowances and Salary Enhancement  </t>
  </si>
  <si>
    <t>Travel allowance including DA</t>
  </si>
  <si>
    <t>Deputation Allowance</t>
  </si>
  <si>
    <t>House Rent Allowances(HRA)</t>
  </si>
  <si>
    <t>Medical/Health/Accident Insurance Allowances)</t>
  </si>
  <si>
    <t>Communication Allowances</t>
  </si>
  <si>
    <t>Statutory  provision(EPF)/f</t>
  </si>
  <si>
    <t>Sub total Staff Allowances</t>
  </si>
  <si>
    <t>Sub total Staff Salary &amp; Allowances</t>
  </si>
  <si>
    <t>Office operating costs</t>
  </si>
  <si>
    <t>Books and Periodicals</t>
  </si>
  <si>
    <t>Professional &amp; Legal Charges</t>
  </si>
  <si>
    <t>Memberships and Subscription</t>
  </si>
  <si>
    <t>Bank Charges</t>
  </si>
  <si>
    <t>Rates and Taxes</t>
  </si>
  <si>
    <t>Printing and Stationery</t>
  </si>
  <si>
    <t>Postage and Telegram</t>
  </si>
  <si>
    <t>Insurance of Assets</t>
  </si>
  <si>
    <t>Arbitation Charges</t>
  </si>
  <si>
    <t>Hiring of Security Services</t>
  </si>
  <si>
    <t>Hiring of Auxiliary Services</t>
  </si>
  <si>
    <t>Office operating expenses</t>
  </si>
  <si>
    <t>Office Rent</t>
  </si>
  <si>
    <t>Sub total Office Operating Costs</t>
  </si>
  <si>
    <t>Bycycles</t>
  </si>
  <si>
    <t>Ceiling fans</t>
  </si>
  <si>
    <t>Surveys, audits and Techinical Assistant(TA)</t>
  </si>
  <si>
    <t>Survey and Studies</t>
  </si>
  <si>
    <t xml:space="preserve">Sub total Surveys,Audits </t>
  </si>
  <si>
    <t>Sub total TA Asst Engineers</t>
  </si>
  <si>
    <t>Staff salary (Regular)</t>
  </si>
  <si>
    <t>Special Officer</t>
  </si>
  <si>
    <t>Junior Engineer (5 Regular)</t>
  </si>
  <si>
    <t>Junior Agricultural Officer</t>
  </si>
  <si>
    <t>Senior Clerk or Accountant (6 Regular)</t>
  </si>
  <si>
    <t>Junier Clerk (Accountants) (10 Regular)</t>
  </si>
  <si>
    <t>Field Assistant (Nutrition focal point) (9 Regular)</t>
  </si>
  <si>
    <t>Drivers</t>
  </si>
  <si>
    <t>Peons</t>
  </si>
  <si>
    <t>Sub total Staff Salary (Regular)</t>
  </si>
  <si>
    <t>Staff Allowances (Regular)</t>
  </si>
  <si>
    <t>Travel allowance</t>
  </si>
  <si>
    <t>Deputation Hardship Allowance</t>
  </si>
  <si>
    <t>Obligatory provisions /e</t>
  </si>
  <si>
    <t>Sub total  staff  Allowances(Regular)</t>
  </si>
  <si>
    <t>Staff salary (Contratual)</t>
  </si>
  <si>
    <t>Project Managers (17 contractual)</t>
  </si>
  <si>
    <t>Junior Agriculture Officer (17 Contratual)</t>
  </si>
  <si>
    <t>Accountants (17 Contractual)</t>
  </si>
  <si>
    <t>Social Mobiliser(17 Contratual)</t>
  </si>
  <si>
    <t>MIS Assistant -(DEO) (17 Contractual)</t>
  </si>
  <si>
    <t>Sub total staff Salary(Contractual)</t>
  </si>
  <si>
    <t>Obligatory provisions/Salary Enhancement  /e</t>
  </si>
  <si>
    <t>Sub total staff Allowances(Contractual)</t>
  </si>
  <si>
    <t>Construction and Renovation of Buildings</t>
  </si>
  <si>
    <t>New Office buildings /a</t>
  </si>
  <si>
    <t>Renovation of existing buildings</t>
  </si>
  <si>
    <t>Camp offices /b</t>
  </si>
  <si>
    <t>No of units</t>
  </si>
  <si>
    <t xml:space="preserve"> Micro-Project Agency  Unit</t>
  </si>
  <si>
    <t>Start up workshop</t>
  </si>
  <si>
    <t>OPELIP startup at state level</t>
  </si>
  <si>
    <t>event</t>
  </si>
  <si>
    <t>MPA level</t>
  </si>
  <si>
    <t>Subtotal Start up workshop</t>
  </si>
  <si>
    <t>at state level</t>
  </si>
  <si>
    <t>meeting</t>
  </si>
  <si>
    <t>at MPA level /a</t>
  </si>
  <si>
    <t>Subtotal Monthly review meetings</t>
  </si>
  <si>
    <t>Learning and sharing workshop</t>
  </si>
  <si>
    <t>Quality workshop at GP level /b</t>
  </si>
  <si>
    <t>Quality workshop at MPA level /c</t>
  </si>
  <si>
    <t>Quality workshop at PMU level /d</t>
  </si>
  <si>
    <t>Subtotal Learning and sharing workshop</t>
  </si>
  <si>
    <t>Review workshop</t>
  </si>
  <si>
    <t>MTR review</t>
  </si>
  <si>
    <t>PCR review workshop</t>
  </si>
  <si>
    <t>Subtotal Review workshop</t>
  </si>
  <si>
    <t>Training</t>
  </si>
  <si>
    <t>RIMS and M&amp;E state level training</t>
  </si>
  <si>
    <t>RIMS and M&amp;E training at MPA level</t>
  </si>
  <si>
    <t>Annual Outcome survey training</t>
  </si>
  <si>
    <t>KAPS survey training</t>
  </si>
  <si>
    <t>Subtotal Training</t>
  </si>
  <si>
    <t>M&amp;E support</t>
  </si>
  <si>
    <t>PME consultants</t>
  </si>
  <si>
    <t>Participatory M&amp;E consultant</t>
  </si>
  <si>
    <t>Concurrent monitoring by external Agency</t>
  </si>
  <si>
    <t>Subtotal Concurrent monitoring /f</t>
  </si>
  <si>
    <t>Monitoring and Evaluation and KM</t>
  </si>
  <si>
    <t>Funding Source</t>
  </si>
  <si>
    <t>ST &amp; SC DEVELOPMENT DEPARTMENT, GOVERNMENT OF ODISHA</t>
  </si>
  <si>
    <t>ODISHA PVTG EMPOWERMENT AND LIVELIHOODS IMPROVEMENT PROGRAMME</t>
  </si>
  <si>
    <t xml:space="preserve">INDIA:      </t>
  </si>
  <si>
    <t xml:space="preserve">AWPB:  </t>
  </si>
  <si>
    <t>Component: 1</t>
  </si>
  <si>
    <t xml:space="preserve">Subcomponent:1.1 </t>
  </si>
  <si>
    <t>Department</t>
  </si>
  <si>
    <t>Programme Management</t>
  </si>
  <si>
    <t>INDIA:</t>
  </si>
  <si>
    <t>Component: 4</t>
  </si>
  <si>
    <t>Subcomponent:4.3</t>
  </si>
  <si>
    <t>Subcomponent:4.2</t>
  </si>
  <si>
    <t xml:space="preserve"> Project management Unit</t>
  </si>
  <si>
    <t xml:space="preserve">Subcomponent:4.1 </t>
  </si>
  <si>
    <t xml:space="preserve"> Drudgery Reduction</t>
  </si>
  <si>
    <t>Subcomponent:3.2</t>
  </si>
  <si>
    <t>Component: 3</t>
  </si>
  <si>
    <t xml:space="preserve">Subcomponent:3.1 </t>
  </si>
  <si>
    <t>Community Infrastructure</t>
  </si>
  <si>
    <t>Component: 2</t>
  </si>
  <si>
    <t xml:space="preserve"> Livelihoods Improvement</t>
  </si>
  <si>
    <t xml:space="preserve">Subcomponent:2.3 </t>
  </si>
  <si>
    <t>Component:2</t>
  </si>
  <si>
    <t xml:space="preserve">Subcomponent:2.2 </t>
  </si>
  <si>
    <t>Land &amp; Water Resources Development</t>
  </si>
  <si>
    <t xml:space="preserve">Subcomponent:2.1 </t>
  </si>
  <si>
    <t xml:space="preserve"> Natural Resource Management</t>
  </si>
  <si>
    <t xml:space="preserve">   Stregthening SHGs and Rural Finance</t>
  </si>
  <si>
    <t xml:space="preserve">Subcomponent:1.2 </t>
  </si>
  <si>
    <t>Unit Cost 
 (In Rs.)</t>
  </si>
  <si>
    <t>Amount in INR</t>
  </si>
  <si>
    <t>BDA,Mudulipada</t>
  </si>
  <si>
    <t>CBDA,Sunabeda</t>
  </si>
  <si>
    <t>DDA,Kudumuluguma</t>
  </si>
  <si>
    <t>DKDA,Chatikona</t>
  </si>
  <si>
    <t>DKDA,parsali</t>
  </si>
  <si>
    <t>KKDA,Belghar</t>
  </si>
  <si>
    <t>KKDA,Lanjigarh</t>
  </si>
  <si>
    <t>LDA,Morada</t>
  </si>
  <si>
    <t>LSDA,Puttasing</t>
  </si>
  <si>
    <t>LSDA,Serango</t>
  </si>
  <si>
    <t>PBDA,Jamardihi</t>
  </si>
  <si>
    <t>PBDA,Khutungaon</t>
  </si>
  <si>
    <t>PBDA,Rugudakudar</t>
  </si>
  <si>
    <t>SDA,Chandragiri</t>
  </si>
  <si>
    <t>TDA,Tumba</t>
  </si>
  <si>
    <t>HKMDA,Jasipur</t>
  </si>
  <si>
    <t>JDA,Gonasika</t>
  </si>
  <si>
    <t>PMU</t>
  </si>
  <si>
    <t>AWPB</t>
  </si>
  <si>
    <t>Responsible</t>
  </si>
  <si>
    <t>Implemented by</t>
  </si>
  <si>
    <t>NGO</t>
  </si>
  <si>
    <t>Total : Eighty-eight  crore four lakh fifteen thousand and eight four rupees only..</t>
  </si>
  <si>
    <t>GoO %</t>
  </si>
  <si>
    <t>IFAD %</t>
  </si>
  <si>
    <t>SCA-TSP %</t>
  </si>
  <si>
    <t>Article 275 %</t>
  </si>
  <si>
    <t>CCD %</t>
  </si>
  <si>
    <t>MGNERGA%</t>
  </si>
  <si>
    <t>IAY%</t>
  </si>
  <si>
    <t>NHM%</t>
  </si>
  <si>
    <t>Benificiary%</t>
  </si>
  <si>
    <t>Other %</t>
  </si>
  <si>
    <t>Amount(INR)</t>
  </si>
  <si>
    <t>Source of Fund</t>
  </si>
  <si>
    <t>IFAD ( 80% )</t>
  </si>
  <si>
    <t>CCD ( 25% ), OTHER ( 25% )</t>
  </si>
  <si>
    <t>IFAD ( 100% )</t>
  </si>
  <si>
    <t>IFAD ( 50% )</t>
  </si>
  <si>
    <t>IFAD ( 80% ), BEN ( 10% )</t>
  </si>
  <si>
    <t>IFAD ( 80% ), CCD ( 20% )</t>
  </si>
  <si>
    <t>IFAD(80%)</t>
  </si>
  <si>
    <t>CCD ( 90% )</t>
  </si>
  <si>
    <t>BEN ( 5% ), CCD ( 45% ), SCA ( 45% )</t>
  </si>
  <si>
    <t>IFAD ( 80% ), BEN ( 20% )</t>
  </si>
  <si>
    <t>IFAD ( 80% ), BEN (10%)</t>
  </si>
  <si>
    <t>IFAD ( 80% ), SCA ( 20% )</t>
  </si>
  <si>
    <t>IFAD ( 80% ), CCD ( 10% )</t>
  </si>
  <si>
    <t>BEN ( 10% ), IFAD(80%)</t>
  </si>
  <si>
    <t>As per Cost Tab</t>
  </si>
  <si>
    <t>Operating cost to VDC</t>
  </si>
  <si>
    <t>Monthly</t>
  </si>
  <si>
    <t xml:space="preserve">Workshop, review meetings /f </t>
  </si>
  <si>
    <t>Works</t>
  </si>
  <si>
    <t>Training &amp; Capacity Building</t>
  </si>
  <si>
    <t>Goods,Service ,Input</t>
  </si>
  <si>
    <t>Grants</t>
  </si>
  <si>
    <t>Total Investment Cost</t>
  </si>
  <si>
    <t>Salary &amp; Allowances</t>
  </si>
  <si>
    <t>Operating Cost</t>
  </si>
  <si>
    <t>Total Recurring Cost</t>
  </si>
  <si>
    <t>IFAD</t>
  </si>
  <si>
    <t xml:space="preserve"> Investment Cost</t>
  </si>
  <si>
    <t>Recurring Cost</t>
  </si>
  <si>
    <t>As Per Cost Tab</t>
  </si>
  <si>
    <t xml:space="preserve">IFAD (50% ) </t>
  </si>
  <si>
    <t xml:space="preserve">NRM Training </t>
  </si>
  <si>
    <t xml:space="preserve">Agriculture Training </t>
  </si>
  <si>
    <t>Horticulture Training</t>
  </si>
  <si>
    <t xml:space="preserve">Livestock Training </t>
  </si>
  <si>
    <t xml:space="preserve">Accounts training </t>
  </si>
  <si>
    <t xml:space="preserve">MGNREGA </t>
  </si>
  <si>
    <t>MEM &amp; IGA</t>
  </si>
  <si>
    <t>NB:</t>
  </si>
  <si>
    <t xml:space="preserve"> 1.1. Community Institutions</t>
  </si>
  <si>
    <t>\a Cost inclusive of the service tax of 12.5%</t>
  </si>
  <si>
    <t>\b Wages at INR 4500/month for 80 MPW from April 2014 to March 2015</t>
  </si>
  <si>
    <t>\c 10 from PMU and 3 each from MPA</t>
  </si>
  <si>
    <t>\d 2 each from PMU and MPA</t>
  </si>
  <si>
    <t>\e one each from MPA and NGO</t>
  </si>
  <si>
    <t>\f 5 from each MPA and 12 from PMU</t>
  </si>
  <si>
    <t>\g 4 persons per MPA for 5 days</t>
  </si>
  <si>
    <t>\h 4 person per MPA for 2 days</t>
  </si>
  <si>
    <t>\i 4 person per MPA for one day</t>
  </si>
  <si>
    <t>\j One orientation training</t>
  </si>
  <si>
    <t>\k Two day training</t>
  </si>
  <si>
    <t>\l A two day training</t>
  </si>
  <si>
    <t>\m 4 person per village</t>
  </si>
  <si>
    <t>\n 4 person per village</t>
  </si>
  <si>
    <t xml:space="preserve"> 1.2. Stregthening SHGs and Rural Finance</t>
  </si>
  <si>
    <t>\b 3 per MPA</t>
  </si>
  <si>
    <t>\c 3 per MPA</t>
  </si>
  <si>
    <t>\d 6 staff per MPA</t>
  </si>
  <si>
    <t>\e Two women per village</t>
  </si>
  <si>
    <t>\f GP level cluster forums; 10 per GPLF and 2 from each village</t>
  </si>
  <si>
    <t>\g One GPLF for each Gram Panchayat and 30 person from each GPLF</t>
  </si>
  <si>
    <t>\h 3 persons from each GPLF</t>
  </si>
  <si>
    <t>\i vrf-vulnerability reduction fund</t>
  </si>
  <si>
    <t>\j SHG member</t>
  </si>
  <si>
    <t>\k for piloting two cooperatives</t>
  </si>
  <si>
    <t>\l 200 kg capacity bins per SHG targeted to PTG communities.</t>
  </si>
  <si>
    <t>\m 75 kg dal per SHG per year for 2 year period;</t>
  </si>
  <si>
    <t>\n Incentive to girls for marriage after 18 year</t>
  </si>
  <si>
    <t xml:space="preserve"> 2.1. Natural Resource Management</t>
  </si>
  <si>
    <t>\a A group of 15 to 20 persons from each village, for a 3 year period</t>
  </si>
  <si>
    <t>\b one event day</t>
  </si>
  <si>
    <t>\c one event day</t>
  </si>
  <si>
    <t>\d 3 events one day each</t>
  </si>
  <si>
    <t>\e Survey and demarcation of land for allotting land use rights</t>
  </si>
  <si>
    <t>\f Actual reimbursement</t>
  </si>
  <si>
    <t>\g Approx 20 ha of arable land, about 40 households per village;</t>
  </si>
  <si>
    <t>\h each irrigates about 4 ha and benefits 20 households</t>
  </si>
  <si>
    <t xml:space="preserve"> 2.2. Food and Nutrition Security</t>
  </si>
  <si>
    <t>\a Covered under Table 2.2</t>
  </si>
  <si>
    <t>\c Two demo per village for 3 year period</t>
  </si>
  <si>
    <t>\d at least 2 FFS from each village</t>
  </si>
  <si>
    <t>\e for one of three KVKs under OUAT</t>
  </si>
  <si>
    <t>\g cultivation of nutrrition-dense crops; cost for supply of seeds, tools etc</t>
  </si>
  <si>
    <t xml:space="preserve"> 2.3. Livelihoods Improvement</t>
  </si>
  <si>
    <t>\b 2 CSP per GP and training for 45 days</t>
  </si>
  <si>
    <t>\c focus on pulses, oilseeds and millets</t>
  </si>
  <si>
    <t>\d 2 per GP; cost inclusive of tools, seeds and low cost drip irrigation for a 400 sq ft area etc</t>
  </si>
  <si>
    <t>\e 2 per GP</t>
  </si>
  <si>
    <t>\f two CSP per GP; cost inclusive of shed, feed, chicks, wages</t>
  </si>
  <si>
    <t>\g Two camp per year</t>
  </si>
  <si>
    <t>\h all PTG households covered; support includes seeds, tools,training etc</t>
  </si>
  <si>
    <t>\i Unspecified units; a lumpsum provision</t>
  </si>
  <si>
    <t xml:space="preserve"> 3.1. Community Infrastructure</t>
  </si>
  <si>
    <t>\a 50% of villages</t>
  </si>
  <si>
    <t>\b to be operated by any group.</t>
  </si>
  <si>
    <t>\c to be operated by a group, CSP or SHG</t>
  </si>
  <si>
    <t xml:space="preserve"> 3.2. Drudgery Reduction</t>
  </si>
  <si>
    <t>\a 20 ha plot in each village &amp; managed by women' group; cost inclusive of wages for 2 persons for 200 days plus planting materials</t>
  </si>
  <si>
    <t>\b at each GP and to be managed by SHG or VDC; beneficiaries contribution in the form of labour</t>
  </si>
  <si>
    <t>\c Organised by youth groups in respective GP</t>
  </si>
  <si>
    <t>\d This is provided under Table 3.1, Community infrastructure</t>
  </si>
  <si>
    <t>\e Fencing the sacred area within villages</t>
  </si>
  <si>
    <t xml:space="preserve"> 4.1. Project Management Unit</t>
  </si>
  <si>
    <t>\a fax machine, broadband connection, intercom, handycam, digital cameras,mobile, TV, LCD projector etc</t>
  </si>
  <si>
    <t>\b Baseline survey using census approach;</t>
  </si>
  <si>
    <t>\c Manual preparation, training to accountants etc</t>
  </si>
  <si>
    <t>\d Services of a Deputy Secretary from the Revenue Department</t>
  </si>
  <si>
    <t>\e  Conveyance allowance, HRA, Medical Allowance, EPF- as per Govt., Communication allowance,etc</t>
  </si>
  <si>
    <t>\f such as EPF, leave salary, gratuity</t>
  </si>
  <si>
    <t xml:space="preserve"> 4.2. Micro-Project Agency  Unit</t>
  </si>
  <si>
    <t>\a with an area of 90 m3</t>
  </si>
  <si>
    <t>\b with an area of 135 m3</t>
  </si>
  <si>
    <t>\c fax machine, broadband connection, intercom, handycam, digital cameras, TV, LCD projector etc</t>
  </si>
  <si>
    <t>\e such as EPF, leave salary, gratuity, medical, insurance etc</t>
  </si>
  <si>
    <t xml:space="preserve"> 4.3. Monitoring and evaluation and KM</t>
  </si>
  <si>
    <t>\a 204 meetings per year for 17 MPAs</t>
  </si>
  <si>
    <t>\b one annual workshop at each GP</t>
  </si>
  <si>
    <t>\c Quarterly workshop at each MPA</t>
  </si>
  <si>
    <t>\d Quarlerly workshops</t>
  </si>
  <si>
    <t>\e website, software,  email ids etc.</t>
  </si>
  <si>
    <t>\f to be carried out by external agencies on quarterly basis</t>
  </si>
  <si>
    <t>Remarks</t>
  </si>
  <si>
    <t>2 Days training per VDA @750 for 4 Persons</t>
  </si>
  <si>
    <t>4 Persons for all VDA @ 750 for one day</t>
  </si>
  <si>
    <t>Funds already released for VDP</t>
  </si>
  <si>
    <t>Total VDA/VDP</t>
  </si>
  <si>
    <t>EPA Completed</t>
  </si>
  <si>
    <t xml:space="preserve">LS/Group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</si>
  <si>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Bench Terracing</t>
  </si>
  <si>
    <t>Field bunding</t>
  </si>
  <si>
    <t>WAT</t>
  </si>
  <si>
    <t>Stone bunding</t>
  </si>
  <si>
    <t>SCT</t>
  </si>
  <si>
    <t>LBCD/LBS</t>
  </si>
  <si>
    <t>RMS/Earthen Bund</t>
  </si>
  <si>
    <t>Gully Control Structure</t>
  </si>
  <si>
    <t>ha.</t>
  </si>
  <si>
    <t>No</t>
  </si>
  <si>
    <t>rmt</t>
  </si>
  <si>
    <t>Land Levelling/development</t>
  </si>
  <si>
    <t>Earthen Canal</t>
  </si>
  <si>
    <t>Water Harvesting Structure</t>
  </si>
  <si>
    <t>River Lift</t>
  </si>
  <si>
    <t>Mango Plantation</t>
  </si>
  <si>
    <t>Lemon Grass</t>
  </si>
  <si>
    <t>Hill Broom</t>
  </si>
  <si>
    <t>Litchi</t>
  </si>
  <si>
    <t>Orange</t>
  </si>
  <si>
    <t>Guava</t>
  </si>
  <si>
    <t>Pine Apple</t>
  </si>
  <si>
    <t>Banana</t>
  </si>
  <si>
    <t>Amla</t>
  </si>
  <si>
    <t>Ground Nut</t>
  </si>
  <si>
    <t>K Lime</t>
  </si>
  <si>
    <t>Ragi</t>
  </si>
  <si>
    <t>Mustard</t>
  </si>
  <si>
    <t>Sun Flower</t>
  </si>
  <si>
    <t>Arhar</t>
  </si>
  <si>
    <t>Black Gram</t>
  </si>
  <si>
    <t>Green Gram</t>
  </si>
  <si>
    <t>Yam</t>
  </si>
  <si>
    <t>Potato</t>
  </si>
  <si>
    <t>Onion</t>
  </si>
  <si>
    <t>Garlic</t>
  </si>
  <si>
    <t>Turmaric</t>
  </si>
  <si>
    <t>Minor Millet</t>
  </si>
  <si>
    <t>Ginger</t>
  </si>
  <si>
    <t>Horsegram</t>
  </si>
  <si>
    <t>Paddy (Line Sowing, Critical Intervention)</t>
  </si>
  <si>
    <t>Mushroom</t>
  </si>
  <si>
    <t>Hand Pumps</t>
  </si>
  <si>
    <t>Household Gas Connection (Ujwala)</t>
  </si>
  <si>
    <t>Tamarind Deseeding</t>
  </si>
  <si>
    <t>Lemongrass oil distillation process</t>
  </si>
  <si>
    <t>Ragi processing &amp; Biscuit making</t>
  </si>
  <si>
    <t>Dal Processing Unit</t>
  </si>
  <si>
    <t>Maize Thresing Unit</t>
  </si>
  <si>
    <t>Oil Extration Unit</t>
  </si>
  <si>
    <t>HH Drinking Water Supply</t>
  </si>
  <si>
    <t>Hill Broom Binding Unit</t>
  </si>
  <si>
    <t>Pine Apple Processing Unit</t>
  </si>
  <si>
    <t>Bee Keeping Unit</t>
  </si>
  <si>
    <t>Wild Honey Collection Equipment</t>
  </si>
  <si>
    <t>Rice Processing Unit</t>
  </si>
  <si>
    <t>Mango Processsing Unit (Amchoor)</t>
  </si>
  <si>
    <t>Jack Fruit Processing Unit</t>
  </si>
  <si>
    <t>Innovative Model</t>
  </si>
  <si>
    <t>DKDA,Parsali</t>
  </si>
  <si>
    <t>Niger</t>
  </si>
  <si>
    <t>Brinjal</t>
  </si>
  <si>
    <t>Tomato</t>
  </si>
  <si>
    <t>Ivy guard</t>
  </si>
  <si>
    <t>Pointed Guard</t>
  </si>
  <si>
    <t>Spine Guard</t>
  </si>
  <si>
    <t>Other Vegetables</t>
  </si>
  <si>
    <t>Soure</t>
  </si>
  <si>
    <t>Check Dam</t>
  </si>
  <si>
    <t>Sweet Corn</t>
  </si>
  <si>
    <t>Brocoli</t>
  </si>
  <si>
    <t>Marigold</t>
  </si>
  <si>
    <t>Ginger Slicing</t>
  </si>
  <si>
    <t>Turmeric processing unit</t>
  </si>
  <si>
    <t>Model Nursery</t>
  </si>
  <si>
    <t>Piscuculture</t>
  </si>
  <si>
    <t xml:space="preserve">Lac cultivation </t>
  </si>
  <si>
    <t>Sericulture</t>
  </si>
  <si>
    <t xml:space="preserve">Integrated Farming </t>
  </si>
  <si>
    <t>Total village</t>
  </si>
  <si>
    <t xml:space="preserve">Documentation &amp; creative writing </t>
  </si>
  <si>
    <t>Earthen GC</t>
  </si>
  <si>
    <t>Community Tank Rennovation</t>
  </si>
  <si>
    <t>Ghat Cutting roads</t>
  </si>
  <si>
    <t>Mechanised Sabai rope making machine</t>
  </si>
  <si>
    <t>Information-cum-Culture  Centre in Model villages (MPA)</t>
  </si>
  <si>
    <t>Micro-Project Agency  Unit</t>
  </si>
  <si>
    <t xml:space="preserve">AWP&amp;B Preparation </t>
  </si>
  <si>
    <t>Cow Shed</t>
  </si>
  <si>
    <t>Renovation of Dug Well</t>
  </si>
  <si>
    <t>Hill Broom Binding</t>
  </si>
  <si>
    <t>mds</t>
  </si>
  <si>
    <t>Sweet Potato</t>
  </si>
  <si>
    <t>Floride Filters in Tubewells</t>
  </si>
  <si>
    <t>Km</t>
  </si>
  <si>
    <t>Improvement of Road</t>
  </si>
  <si>
    <t>Improvement of Foot Path (Bush Cutting)</t>
  </si>
  <si>
    <t>Drain</t>
  </si>
  <si>
    <t>Renovation of Multi-purpose community hall</t>
  </si>
  <si>
    <t>Field Channel</t>
  </si>
  <si>
    <t>Goatery Shed</t>
  </si>
  <si>
    <t>Cabbage</t>
  </si>
  <si>
    <t>cauli flower</t>
  </si>
  <si>
    <t>Pumpkin</t>
  </si>
  <si>
    <t>Guard Wall</t>
  </si>
  <si>
    <t>Stabilizer</t>
  </si>
  <si>
    <t>VDP preparation training /m (4 days )</t>
  </si>
  <si>
    <t>AWPB preparation training /n (2 days)</t>
  </si>
  <si>
    <t>Book-keeping training /o (2 days )</t>
  </si>
  <si>
    <t>Resource Agency cost for TOT for 4 modules</t>
  </si>
  <si>
    <t>Training cost for organizing ToT for 3 from MPA &amp; 4 from NGO (4 days) 4 module</t>
  </si>
  <si>
    <t>CRP salary(1 for each GPLF))</t>
  </si>
  <si>
    <t xml:space="preserve">     </t>
  </si>
  <si>
    <t>Vegetables</t>
  </si>
  <si>
    <t>RMT</t>
  </si>
  <si>
    <t>Gabion Structure</t>
  </si>
  <si>
    <t>Percolation Tank</t>
  </si>
  <si>
    <t xml:space="preserve">Paddy Bio Diversity Black Rice/Sala Phula /Aromatic </t>
  </si>
  <si>
    <t xml:space="preserve">Nursery </t>
  </si>
  <si>
    <t>Other Misc.works</t>
  </si>
  <si>
    <t>Floricultutre,Mushroom &amp; Commercial Crop</t>
  </si>
  <si>
    <t>NADEP Compost Pit</t>
  </si>
  <si>
    <t>Roads, electricity &amp; Solar lighting</t>
  </si>
  <si>
    <t>Press Khali/Dana stitching unit</t>
  </si>
  <si>
    <t>Tal gud processing Unit</t>
  </si>
  <si>
    <t>Computers Laptop</t>
  </si>
  <si>
    <t>NREGS(100 %)</t>
  </si>
  <si>
    <t>Digital Camera (with GPS )</t>
  </si>
  <si>
    <t>Digital cameras( with GPS)</t>
  </si>
  <si>
    <t>NREGS(80 %), SCA(20%)</t>
  </si>
  <si>
    <t>RKVY(100 %)</t>
  </si>
  <si>
    <t>MGNREGS(100 %)</t>
  </si>
  <si>
    <t xml:space="preserve">other crops </t>
  </si>
  <si>
    <t>Entrepreneur Development Centre</t>
  </si>
  <si>
    <t>IFAD(100%)</t>
  </si>
  <si>
    <t>Seminar/Conference/Workshop/Speciallised Meeting/Training etc.</t>
  </si>
  <si>
    <t xml:space="preserve">Tablets </t>
  </si>
  <si>
    <t>Mobile Health Van</t>
  </si>
  <si>
    <t>Implementation of MGNREGA</t>
  </si>
  <si>
    <t>Micro Enterprise Management &amp;IGA</t>
  </si>
  <si>
    <t xml:space="preserve">MIS &amp; GIS Training </t>
  </si>
  <si>
    <t>Support to SHG to Run Catering services in MPAs</t>
  </si>
  <si>
    <t>Monthly review/Other  meetings etc</t>
  </si>
  <si>
    <t>Mushroom/Spawn Production Unit</t>
  </si>
  <si>
    <t>VDC</t>
  </si>
  <si>
    <t xml:space="preserve">Identification of the Landless, mapping land allocation </t>
  </si>
  <si>
    <t>Travel allowance/expenses including DA</t>
  </si>
  <si>
    <t>Conveyance Allowances</t>
  </si>
  <si>
    <t>Other office equipment ,  lights, UPS , battery etc. /a</t>
  </si>
  <si>
    <t>Tally software/renewal</t>
  </si>
  <si>
    <t>Drivers (supporting staff/ DEO)</t>
  </si>
  <si>
    <t>April 2019 to March 2020</t>
  </si>
  <si>
    <t>NRM /Agri/ Horti/ Livestock/Land rights</t>
  </si>
  <si>
    <t>Community mobilisation/leadership/documentation/institution building/, health &amp; nutrition /k</t>
  </si>
  <si>
    <t xml:space="preserve">VDA General body Meeting/Social Audit </t>
  </si>
  <si>
    <t>Others</t>
  </si>
  <si>
    <t>Beans</t>
  </si>
  <si>
    <t>Cashew New plus Maintenance</t>
  </si>
  <si>
    <t>Sesamam</t>
  </si>
  <si>
    <t>Coconut</t>
  </si>
  <si>
    <t>Per village</t>
  </si>
  <si>
    <t>Puffed Rice Mill/FlatternRice</t>
  </si>
  <si>
    <t>each(12000)</t>
  </si>
  <si>
    <t>Fly ash brick unit/Eco friendly brick unit</t>
  </si>
  <si>
    <t>Vermin Compost</t>
  </si>
  <si>
    <t>Sunhemp</t>
  </si>
  <si>
    <t>Rennovation of WHS</t>
  </si>
  <si>
    <t>Rennovation of Irrigation canal</t>
  </si>
  <si>
    <t>Rennovation of diversion wire</t>
  </si>
  <si>
    <t>Avenue Plantation</t>
  </si>
  <si>
    <t>SHG/Farmers</t>
  </si>
  <si>
    <t>Computer Desktop (work station)</t>
  </si>
  <si>
    <t>Server Set up &amp; Maintenance</t>
  </si>
  <si>
    <t>Postage and Telegram/telephone/internet</t>
  </si>
  <si>
    <t>Invertors/ Battery (Maintenance)</t>
  </si>
  <si>
    <t>Hiring of Vehicles including POL</t>
  </si>
  <si>
    <t>Social Security scheme ( all related schemes )</t>
  </si>
  <si>
    <t>VDA</t>
  </si>
  <si>
    <t>Refresher training for VAW &amp; LI
(7 days*8 max VAW &amp; LI*17MPA)</t>
  </si>
  <si>
    <t>Hiring of CB agency for TOT</t>
  </si>
  <si>
    <t>Arrangement of training &amp; other related expenses</t>
  </si>
  <si>
    <t>\a 7persons from  SHG by MPA</t>
  </si>
  <si>
    <t>GPLF / CLF building &amp; strenthening</t>
  </si>
  <si>
    <t>SHG equipment: A/c books as per OLM format (Cash book, member pass book &amp; Minutes book)</t>
  </si>
  <si>
    <t>Village</t>
  </si>
  <si>
    <t>%</t>
  </si>
  <si>
    <t>PVTG</t>
  </si>
  <si>
    <t xml:space="preserve">Cereal crops SRI for rice, millet  etc./b </t>
  </si>
  <si>
    <t xml:space="preserve">Pulses, oilseeds, tuber crops  etc./c </t>
  </si>
  <si>
    <t>CCD(100 %)</t>
  </si>
  <si>
    <t>IGA training 
(2 csp for 30days)</t>
  </si>
  <si>
    <t>Livestock  training /b (2CSP for 45 days)</t>
  </si>
  <si>
    <t>Agriculture and horticulture training /a (2CSP for 30 days)</t>
  </si>
  <si>
    <t>Support for Crops diversification /c (Agl)</t>
  </si>
  <si>
    <t>Support for Kitchen garden /d (Hort)</t>
  </si>
  <si>
    <t>SHG/CIG</t>
  </si>
  <si>
    <t>Poultry 
(100 bird unit)/ Mother Chick Unit</t>
  </si>
  <si>
    <t>Goat rearing unit (50 does+5 buck)-goat &amp; other cost</t>
  </si>
  <si>
    <t xml:space="preserve">Internal audit </t>
  </si>
  <si>
    <t>Advertisement / Publicity(IEC)/participation in Adivasi mela/other exibition etc.</t>
  </si>
  <si>
    <t>CCD (100%)</t>
  </si>
  <si>
    <t>Ragi Biodiversity</t>
  </si>
  <si>
    <t>lesser millet bio-diversity</t>
  </si>
  <si>
    <t>pulses bio diversity</t>
  </si>
  <si>
    <t>Okra</t>
  </si>
  <si>
    <t>cow pea/gourd</t>
  </si>
  <si>
    <t xml:space="preserve">Human Resource Cost RI &amp; Amin  </t>
  </si>
  <si>
    <t xml:space="preserve">Agency cost for Land survey &amp; training /software/application/equipments </t>
  </si>
  <si>
    <t>Ha</t>
  </si>
  <si>
    <t>Diversion drain</t>
  </si>
  <si>
    <t>DBI/Piped water conveyance system (Rs.10000/Ha.)</t>
  </si>
  <si>
    <t>Dug well /Borewell/Tubewell with solar lifting</t>
  </si>
  <si>
    <t>CCD-(75%), RKVY(25%)</t>
  </si>
  <si>
    <t>Culvert/Cause Weir/CDworks</t>
  </si>
  <si>
    <t>Art (100%)</t>
  </si>
  <si>
    <t>Connecting roads/Link road</t>
  </si>
  <si>
    <t>SCA (100%)</t>
  </si>
  <si>
    <t>Education infrastructure</t>
  </si>
  <si>
    <t>Social Mobilisation/Strengthening of SHG/VDC</t>
  </si>
  <si>
    <t>Capacity building of SHG/CLF/ GPLF /f</t>
  </si>
  <si>
    <t>Thematic exposure visits /a (17*7)</t>
  </si>
  <si>
    <t xml:space="preserve">Training on leadership &amp; governance /g </t>
  </si>
  <si>
    <t>Member</t>
  </si>
  <si>
    <t>LS-per MPA</t>
  </si>
  <si>
    <t>RKVY (100%)</t>
  </si>
  <si>
    <t>Reappropriated Annual Work Plan and Budget- From April 2019 to March 2020</t>
  </si>
  <si>
    <t>AWP&amp;B (in Rs.) Apr 19 to March 20</t>
  </si>
  <si>
    <t>Obligatory provisions /Salary Enhancement/arrear etc/e</t>
  </si>
  <si>
    <t>LCD /Pico projector with Screen</t>
  </si>
  <si>
    <t>Seminar/Conference/Specialised meeting (OLM)/Convergencce Meeting/Review meeting</t>
  </si>
  <si>
    <t xml:space="preserve">IFAD ( 80%) </t>
  </si>
  <si>
    <t>IFAD ( 80% ), CCD( 10% )</t>
  </si>
  <si>
    <t>IFAD( 75 % ),CCD( 15% ), BEN (10%)</t>
  </si>
  <si>
    <t>CCD ( 100% )</t>
  </si>
  <si>
    <t xml:space="preserve"> RWSS(100% )</t>
  </si>
  <si>
    <t>IAY ( 100% )</t>
  </si>
  <si>
    <t>Art ( 40%),SCA(30 %), CCD (30 %)</t>
  </si>
  <si>
    <t>IFAD ( 75% ), BEN ( 10% )</t>
  </si>
  <si>
    <t>Farm Pond/Water Harvestng Structure for livelihood</t>
  </si>
  <si>
    <t>Support for SHG,equipment for NTFP /MFP/SAP collection /j</t>
  </si>
  <si>
    <t>Training for VDC President , Secretary &amp; Treasurer</t>
  </si>
  <si>
    <t>per_day</t>
  </si>
  <si>
    <t>Eco cottage</t>
  </si>
  <si>
    <t xml:space="preserve"> CCD ( 100% )</t>
  </si>
  <si>
    <t>Vermin Compost-making /c</t>
  </si>
  <si>
    <t>NB</t>
  </si>
  <si>
    <t>Gravity water supply/ Drinking Water  with Solar</t>
  </si>
  <si>
    <t>Power tillers, Agro service Centre /c</t>
  </si>
  <si>
    <t>Working shed for Producer Groups and business activity centre for NTFP/MFP/SAP etc.  /k</t>
  </si>
  <si>
    <t xml:space="preserve">Pico Hydro power </t>
  </si>
  <si>
    <r>
      <t>POL for</t>
    </r>
    <r>
      <rPr>
        <b/>
        <u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Motor Cycles @Rs.1750/vehicle/month max.</t>
    </r>
  </si>
  <si>
    <t>household/group</t>
  </si>
  <si>
    <t>\o 4 person per village</t>
  </si>
  <si>
    <t xml:space="preserve">Plantation </t>
  </si>
  <si>
    <t xml:space="preserve">Cereal / millets crops development </t>
  </si>
  <si>
    <t>\f in particular for rain-fed and other  crops etc.</t>
  </si>
  <si>
    <t>\b 2 SHG/groups  per village for 3 year period</t>
  </si>
  <si>
    <t>\a 2 per GP; cost for wages foregone; 30 days training at any KVK/other state level institute</t>
  </si>
  <si>
    <t>\j one SHG/group  per GP</t>
  </si>
  <si>
    <t xml:space="preserve">\k set up near haat bazar </t>
  </si>
  <si>
    <t xml:space="preserve">\l Two month  training or duration as appicable </t>
  </si>
  <si>
    <t>\d Degree holding retired or fresh engineers; cost inclusive of DA and travel</t>
  </si>
  <si>
    <t>Technical Assistant (Asst Engineers (Degree-holders)  /d</t>
  </si>
  <si>
    <t>IFAD (80%)</t>
  </si>
  <si>
    <t>NREGA ( 100% )</t>
  </si>
  <si>
    <t>MIS support to MPA(SHG Software)</t>
  </si>
  <si>
    <t>Support to SHG/JLG</t>
  </si>
  <si>
    <t>Mixed Plantation</t>
  </si>
  <si>
    <t>Formation/organisation  and execution of FFS /d</t>
  </si>
  <si>
    <t>Poultry Breeding Unit (Kadaknath Variety)</t>
  </si>
  <si>
    <t xml:space="preserve">each </t>
  </si>
  <si>
    <t>Pigeon  Pea(Chana)/pea</t>
  </si>
  <si>
    <t>Household crop development(Sat din Sath Ghar) 7days 7 plots /g</t>
  </si>
  <si>
    <t>Kitchen gardens tools /Micro Irrigation (pipes. Storage, drips)/Fodder Garden/Azolla/Agro Forestry  /h</t>
  </si>
  <si>
    <t xml:space="preserve">household or group of households </t>
  </si>
  <si>
    <t>Designing  &amp; functioning of web site &amp; WEB GIS  , GIS Related Equpment/e</t>
  </si>
  <si>
    <t>Veterenary Tool kit for CSP/Prani  Sathi</t>
  </si>
  <si>
    <t>CSP &amp;PS</t>
  </si>
  <si>
    <t>Hiring of agency/consultant</t>
  </si>
  <si>
    <t>Audit of VDC @1800/VDC</t>
  </si>
  <si>
    <t>Promotion of agril  production Cluster critical input/soil health card</t>
  </si>
  <si>
    <t>Advertisement / Publicity/documentation</t>
  </si>
  <si>
    <t>palua processing unit</t>
  </si>
  <si>
    <t>BDA, Mudulipada</t>
  </si>
  <si>
    <t>CBDA, Sunabeda</t>
  </si>
  <si>
    <t>DDA, Kudumuluguma</t>
  </si>
  <si>
    <t>DKDA, Chatikona</t>
  </si>
  <si>
    <t>Duckery(1000) birds/250 per cycle</t>
  </si>
  <si>
    <t xml:space="preserve">Chilly </t>
  </si>
  <si>
    <t>Funding Support to GPLF</t>
  </si>
  <si>
    <t xml:space="preserve">GPLF </t>
  </si>
  <si>
    <t xml:space="preserve">households </t>
  </si>
  <si>
    <t xml:space="preserve">Promotion of poultry clusters ( 100 HH in a compact 1 or 2 villages) </t>
  </si>
  <si>
    <t xml:space="preserve">Promotion of Goatery Cluster in 1 or  2 villages ( 5 goats per HH and total 50 HH  in one cluster with 6 bucks ) </t>
  </si>
  <si>
    <t>Promotion of poultry clusters ( 100 HH in a compact 1 or 2 villages) SCA to TSS</t>
  </si>
  <si>
    <t xml:space="preserve">SCA to TSS (100 %) </t>
  </si>
  <si>
    <t xml:space="preserve">Horticulture Cluster (SCA to TSS) </t>
  </si>
  <si>
    <t xml:space="preserve">NTFP cluster (SCA to TSS) </t>
  </si>
  <si>
    <t>Nutri Resource Centre</t>
  </si>
  <si>
    <t xml:space="preserve">Cooked Food for Nutritional Security </t>
  </si>
  <si>
    <t>4 days Training of CRPs at MPA &amp; SMS at State level</t>
  </si>
  <si>
    <t>Other studies (documentation)</t>
  </si>
  <si>
    <t>Training SHG members and adult literacy</t>
  </si>
  <si>
    <t xml:space="preserve">    </t>
  </si>
  <si>
    <t>Maize</t>
  </si>
  <si>
    <t>Consolidt. Scheme</t>
  </si>
  <si>
    <t>GoO</t>
  </si>
  <si>
    <t>Sub-Total</t>
  </si>
  <si>
    <t>Grand Total</t>
  </si>
  <si>
    <t>#</t>
  </si>
  <si>
    <t>Farmers share for various activities</t>
  </si>
  <si>
    <t>Beneficiary</t>
  </si>
  <si>
    <t>National Govt</t>
  </si>
  <si>
    <t>MGNREGS</t>
  </si>
  <si>
    <t>IFAD ( 80% ), BEN (20%)</t>
  </si>
  <si>
    <t>Animal health camps /User charges vaccine /fist aid mrdicine /g</t>
  </si>
  <si>
    <t>Bambbo Craft/Tribal craft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</si>
</sst>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0.0"/>
    <numFmt numFmtId="167" formatCode="#,##0.00_ ;\-#,##0.00\ "/>
    <numFmt numFmtId="168" formatCode="#,##0.00;[Red]#,##0.00"/>
    <numFmt numFmtId="169" formatCode="#,##0.0;\-#,##0.0;\-"/>
    <numFmt numFmtId="170" formatCode="#,##0.0"/>
    <numFmt numFmtId="171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rgb="FF000000"/>
      <name val="Calibri"/>
      <family val="2"/>
    </font>
    <font>
      <u/>
      <sz val="18"/>
      <color rgb="FF000000"/>
      <name val="Calibri"/>
      <family val="2"/>
    </font>
    <font>
      <b/>
      <u/>
      <sz val="11"/>
      <color theme="1"/>
      <name val="Calibri"/>
      <family val="2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u/>
      <sz val="12"/>
      <color theme="1"/>
      <name val="Calibri"/>
      <family val="2"/>
    </font>
    <font>
      <sz val="12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sz val="1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54">
    <xf numFmtId="0" fontId="0" fillId="0" borderId="0" xfId="0"/>
    <xf numFmtId="2" fontId="0" fillId="0" borderId="0" xfId="0" applyNumberFormat="1"/>
    <xf numFmtId="0" fontId="6" fillId="2" borderId="0" xfId="0" applyFont="1" applyFill="1"/>
    <xf numFmtId="2" fontId="6" fillId="2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0" borderId="0" xfId="0" applyFont="1"/>
    <xf numFmtId="2" fontId="6" fillId="0" borderId="0" xfId="0" applyNumberFormat="1" applyFont="1"/>
    <xf numFmtId="0" fontId="7" fillId="2" borderId="0" xfId="0" applyFont="1" applyFill="1" applyAlignment="1">
      <alignment horizontal="left"/>
    </xf>
    <xf numFmtId="2" fontId="6" fillId="2" borderId="0" xfId="0" applyNumberFormat="1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4" fontId="6" fillId="2" borderId="1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/>
    </xf>
    <xf numFmtId="0" fontId="10" fillId="4" borderId="0" xfId="0" applyFont="1" applyFill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top" wrapText="1"/>
    </xf>
    <xf numFmtId="0" fontId="14" fillId="0" borderId="0" xfId="0" applyFont="1"/>
    <xf numFmtId="1" fontId="14" fillId="0" borderId="0" xfId="0" applyNumberFormat="1" applyFont="1"/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top"/>
    </xf>
    <xf numFmtId="0" fontId="14" fillId="0" borderId="1" xfId="0" applyFont="1" applyBorder="1"/>
    <xf numFmtId="1" fontId="14" fillId="0" borderId="1" xfId="0" applyNumberFormat="1" applyFont="1" applyBorder="1"/>
    <xf numFmtId="2" fontId="17" fillId="0" borderId="1" xfId="0" applyNumberFormat="1" applyFont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 wrapText="1"/>
    </xf>
    <xf numFmtId="2" fontId="14" fillId="0" borderId="1" xfId="0" applyNumberFormat="1" applyFont="1" applyBorder="1" applyAlignment="1">
      <alignment horizontal="left" vertical="top"/>
    </xf>
    <xf numFmtId="4" fontId="14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right" vertical="top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/>
    <xf numFmtId="166" fontId="14" fillId="0" borderId="1" xfId="0" applyNumberFormat="1" applyFont="1" applyBorder="1" applyAlignment="1">
      <alignment horizontal="left" vertical="top" wrapText="1"/>
    </xf>
    <xf numFmtId="0" fontId="15" fillId="6" borderId="4" xfId="0" applyFont="1" applyFill="1" applyBorder="1"/>
    <xf numFmtId="1" fontId="15" fillId="6" borderId="4" xfId="0" applyNumberFormat="1" applyFont="1" applyFill="1" applyBorder="1"/>
    <xf numFmtId="1" fontId="14" fillId="0" borderId="1" xfId="0" applyNumberFormat="1" applyFont="1" applyBorder="1" applyAlignment="1">
      <alignment horizontal="right"/>
    </xf>
    <xf numFmtId="0" fontId="15" fillId="6" borderId="1" xfId="0" applyFont="1" applyFill="1" applyBorder="1" applyAlignment="1">
      <alignment horizontal="left"/>
    </xf>
    <xf numFmtId="1" fontId="15" fillId="6" borderId="1" xfId="0" applyNumberFormat="1" applyFont="1" applyFill="1" applyBorder="1" applyAlignment="1">
      <alignment horizontal="right"/>
    </xf>
    <xf numFmtId="0" fontId="15" fillId="9" borderId="1" xfId="0" applyFont="1" applyFill="1" applyBorder="1" applyAlignment="1">
      <alignment horizontal="left"/>
    </xf>
    <xf numFmtId="0" fontId="15" fillId="9" borderId="1" xfId="0" applyFont="1" applyFill="1" applyBorder="1" applyAlignment="1">
      <alignment horizontal="center"/>
    </xf>
    <xf numFmtId="1" fontId="15" fillId="9" borderId="1" xfId="0" applyNumberFormat="1" applyFont="1" applyFill="1" applyBorder="1" applyAlignment="1">
      <alignment horizontal="right"/>
    </xf>
    <xf numFmtId="4" fontId="15" fillId="9" borderId="1" xfId="0" applyNumberFormat="1" applyFont="1" applyFill="1" applyBorder="1" applyAlignment="1">
      <alignment horizontal="right"/>
    </xf>
    <xf numFmtId="0" fontId="15" fillId="0" borderId="0" xfId="0" applyFont="1"/>
    <xf numFmtId="0" fontId="13" fillId="0" borderId="1" xfId="0" applyFont="1" applyBorder="1" applyAlignment="1">
      <alignment horizontal="right"/>
    </xf>
    <xf numFmtId="4" fontId="14" fillId="0" borderId="1" xfId="0" applyNumberFormat="1" applyFont="1" applyBorder="1" applyAlignment="1">
      <alignment vertical="center"/>
    </xf>
    <xf numFmtId="4" fontId="15" fillId="11" borderId="1" xfId="0" applyNumberFormat="1" applyFont="1" applyFill="1" applyBorder="1" applyAlignment="1">
      <alignment vertical="top"/>
    </xf>
    <xf numFmtId="4" fontId="14" fillId="11" borderId="1" xfId="0" applyNumberFormat="1" applyFont="1" applyFill="1" applyBorder="1" applyAlignment="1">
      <alignment vertical="top"/>
    </xf>
    <xf numFmtId="0" fontId="13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4" fontId="15" fillId="6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Border="1" applyAlignment="1">
      <alignment horizontal="right" vertical="top"/>
    </xf>
    <xf numFmtId="4" fontId="14" fillId="0" borderId="1" xfId="0" applyNumberFormat="1" applyFont="1" applyBorder="1" applyAlignment="1">
      <alignment horizontal="left" vertical="top"/>
    </xf>
    <xf numFmtId="4" fontId="15" fillId="0" borderId="1" xfId="0" applyNumberFormat="1" applyFont="1" applyBorder="1" applyAlignment="1">
      <alignment horizontal="left" vertical="top"/>
    </xf>
    <xf numFmtId="164" fontId="14" fillId="0" borderId="1" xfId="0" applyNumberFormat="1" applyFont="1" applyBorder="1" applyAlignment="1">
      <alignment horizontal="left"/>
    </xf>
    <xf numFmtId="164" fontId="14" fillId="0" borderId="1" xfId="0" applyNumberFormat="1" applyFont="1" applyBorder="1" applyAlignment="1">
      <alignment horizontal="right" vertical="top"/>
    </xf>
    <xf numFmtId="164" fontId="15" fillId="6" borderId="4" xfId="0" applyNumberFormat="1" applyFont="1" applyFill="1" applyBorder="1"/>
    <xf numFmtId="4" fontId="14" fillId="0" borderId="0" xfId="0" applyNumberFormat="1" applyFont="1"/>
    <xf numFmtId="4" fontId="17" fillId="0" borderId="1" xfId="0" applyNumberFormat="1" applyFont="1" applyBorder="1" applyAlignment="1">
      <alignment horizontal="left" vertical="top"/>
    </xf>
    <xf numFmtId="4" fontId="15" fillId="0" borderId="1" xfId="0" applyNumberFormat="1" applyFont="1" applyBorder="1" applyAlignment="1">
      <alignment horizontal="center" vertical="top"/>
    </xf>
    <xf numFmtId="4" fontId="14" fillId="0" borderId="1" xfId="0" applyNumberFormat="1" applyFont="1" applyBorder="1"/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1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/>
    </xf>
    <xf numFmtId="0" fontId="14" fillId="4" borderId="0" xfId="0" applyFont="1" applyFill="1" applyAlignment="1">
      <alignment vertical="top"/>
    </xf>
    <xf numFmtId="0" fontId="14" fillId="4" borderId="0" xfId="0" applyFont="1" applyFill="1" applyAlignment="1">
      <alignment horizontal="left" vertical="top"/>
    </xf>
    <xf numFmtId="3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 vertical="top" wrapText="1"/>
    </xf>
    <xf numFmtId="0" fontId="11" fillId="0" borderId="0" xfId="0" applyFont="1"/>
    <xf numFmtId="1" fontId="15" fillId="0" borderId="2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1" fontId="15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1" xfId="0" applyFont="1" applyBorder="1"/>
    <xf numFmtId="43" fontId="12" fillId="0" borderId="1" xfId="1" applyNumberFormat="1" applyFont="1" applyBorder="1"/>
    <xf numFmtId="43" fontId="14" fillId="4" borderId="1" xfId="1" applyNumberFormat="1" applyFont="1" applyFill="1" applyBorder="1" applyAlignment="1">
      <alignment vertical="top"/>
    </xf>
    <xf numFmtId="43" fontId="14" fillId="0" borderId="1" xfId="1" applyNumberFormat="1" applyFont="1" applyBorder="1"/>
    <xf numFmtId="0" fontId="12" fillId="0" borderId="11" xfId="0" applyFont="1" applyBorder="1" applyAlignment="1">
      <alignment vertical="top"/>
    </xf>
    <xf numFmtId="165" fontId="12" fillId="0" borderId="1" xfId="0" applyNumberFormat="1" applyFont="1" applyBorder="1"/>
    <xf numFmtId="4" fontId="15" fillId="0" borderId="4" xfId="0" applyNumberFormat="1" applyFont="1" applyBorder="1" applyAlignment="1">
      <alignment horizontal="center" vertical="top"/>
    </xf>
    <xf numFmtId="4" fontId="14" fillId="0" borderId="4" xfId="0" applyNumberFormat="1" applyFont="1" applyBorder="1"/>
    <xf numFmtId="0" fontId="15" fillId="0" borderId="1" xfId="0" applyFont="1" applyBorder="1"/>
    <xf numFmtId="0" fontId="15" fillId="0" borderId="4" xfId="0" applyFont="1" applyBorder="1" applyAlignment="1">
      <alignment horizontal="left" wrapText="1"/>
    </xf>
    <xf numFmtId="164" fontId="14" fillId="0" borderId="4" xfId="0" applyNumberFormat="1" applyFont="1" applyBorder="1" applyAlignment="1">
      <alignment horizontal="left"/>
    </xf>
    <xf numFmtId="164" fontId="14" fillId="0" borderId="4" xfId="0" applyNumberFormat="1" applyFont="1" applyBorder="1" applyAlignment="1">
      <alignment horizontal="right" vertical="top"/>
    </xf>
    <xf numFmtId="4" fontId="14" fillId="0" borderId="4" xfId="0" applyNumberFormat="1" applyFont="1" applyBorder="1" applyAlignment="1">
      <alignment horizontal="right" vertical="top"/>
    </xf>
    <xf numFmtId="0" fontId="14" fillId="0" borderId="4" xfId="0" applyFont="1" applyBorder="1"/>
    <xf numFmtId="43" fontId="14" fillId="0" borderId="4" xfId="1" applyNumberFormat="1" applyFont="1" applyBorder="1"/>
    <xf numFmtId="4" fontId="14" fillId="4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textRotation="90" wrapText="1"/>
    </xf>
    <xf numFmtId="4" fontId="14" fillId="0" borderId="1" xfId="0" applyNumberFormat="1" applyFont="1" applyBorder="1" applyAlignment="1">
      <alignment horizontal="center" vertical="center"/>
    </xf>
    <xf numFmtId="4" fontId="15" fillId="11" borderId="1" xfId="0" applyNumberFormat="1" applyFont="1" applyFill="1" applyBorder="1" applyAlignment="1">
      <alignment horizontal="right" vertical="top"/>
    </xf>
    <xf numFmtId="4" fontId="14" fillId="11" borderId="1" xfId="0" applyNumberFormat="1" applyFont="1" applyFill="1" applyBorder="1" applyAlignment="1">
      <alignment horizontal="right" vertical="top"/>
    </xf>
    <xf numFmtId="1" fontId="15" fillId="11" borderId="1" xfId="0" applyNumberFormat="1" applyFont="1" applyFill="1" applyBorder="1" applyAlignment="1">
      <alignment horizontal="right" vertical="top"/>
    </xf>
    <xf numFmtId="1" fontId="14" fillId="11" borderId="1" xfId="0" applyNumberFormat="1" applyFont="1" applyFill="1" applyBorder="1" applyAlignment="1">
      <alignment horizontal="right" vertical="top"/>
    </xf>
    <xf numFmtId="0" fontId="14" fillId="4" borderId="1" xfId="0" applyFont="1" applyFill="1" applyBorder="1" applyAlignment="1">
      <alignment horizontal="left" vertical="center"/>
    </xf>
    <xf numFmtId="4" fontId="14" fillId="4" borderId="1" xfId="0" applyNumberFormat="1" applyFont="1" applyFill="1" applyBorder="1"/>
    <xf numFmtId="1" fontId="14" fillId="4" borderId="1" xfId="0" applyNumberFormat="1" applyFont="1" applyFill="1" applyBorder="1"/>
    <xf numFmtId="0" fontId="14" fillId="4" borderId="1" xfId="0" applyFont="1" applyFill="1" applyBorder="1"/>
    <xf numFmtId="0" fontId="15" fillId="6" borderId="1" xfId="0" applyFont="1" applyFill="1" applyBorder="1" applyAlignment="1">
      <alignment wrapText="1"/>
    </xf>
    <xf numFmtId="0" fontId="15" fillId="6" borderId="1" xfId="0" applyFont="1" applyFill="1" applyBorder="1"/>
    <xf numFmtId="1" fontId="15" fillId="6" borderId="1" xfId="0" applyNumberFormat="1" applyFont="1" applyFill="1" applyBorder="1"/>
    <xf numFmtId="4" fontId="15" fillId="6" borderId="1" xfId="0" applyNumberFormat="1" applyFont="1" applyFill="1" applyBorder="1"/>
    <xf numFmtId="0" fontId="14" fillId="4" borderId="1" xfId="0" applyFont="1" applyFill="1" applyBorder="1" applyAlignment="1">
      <alignment wrapText="1"/>
    </xf>
    <xf numFmtId="164" fontId="14" fillId="4" borderId="1" xfId="0" applyNumberFormat="1" applyFont="1" applyFill="1" applyBorder="1" applyAlignment="1">
      <alignment wrapText="1"/>
    </xf>
    <xf numFmtId="3" fontId="14" fillId="4" borderId="1" xfId="0" applyNumberFormat="1" applyFont="1" applyFill="1" applyBorder="1"/>
    <xf numFmtId="3" fontId="15" fillId="0" borderId="1" xfId="0" applyNumberFormat="1" applyFont="1" applyBorder="1"/>
    <xf numFmtId="4" fontId="15" fillId="0" borderId="1" xfId="0" applyNumberFormat="1" applyFont="1" applyBorder="1"/>
    <xf numFmtId="1" fontId="15" fillId="0" borderId="1" xfId="0" applyNumberFormat="1" applyFont="1" applyBorder="1"/>
    <xf numFmtId="0" fontId="15" fillId="4" borderId="4" xfId="0" applyFont="1" applyFill="1" applyBorder="1" applyAlignment="1">
      <alignment horizontal="left" wrapText="1"/>
    </xf>
    <xf numFmtId="164" fontId="14" fillId="4" borderId="4" xfId="0" applyNumberFormat="1" applyFont="1" applyFill="1" applyBorder="1" applyAlignment="1">
      <alignment horizontal="left"/>
    </xf>
    <xf numFmtId="164" fontId="14" fillId="4" borderId="4" xfId="0" applyNumberFormat="1" applyFont="1" applyFill="1" applyBorder="1" applyAlignment="1">
      <alignment horizontal="right" vertical="top"/>
    </xf>
    <xf numFmtId="4" fontId="14" fillId="4" borderId="4" xfId="0" applyNumberFormat="1" applyFont="1" applyFill="1" applyBorder="1" applyAlignment="1">
      <alignment horizontal="right" vertical="top"/>
    </xf>
    <xf numFmtId="0" fontId="14" fillId="4" borderId="4" xfId="0" applyFont="1" applyFill="1" applyBorder="1"/>
    <xf numFmtId="169" fontId="2" fillId="0" borderId="0" xfId="4" applyNumberFormat="1" applyFont="1" applyAlignment="1">
      <alignment horizontal="right"/>
    </xf>
    <xf numFmtId="169" fontId="15" fillId="0" borderId="9" xfId="4" applyNumberFormat="1" applyFont="1" applyBorder="1" applyAlignment="1">
      <alignment horizontal="right"/>
    </xf>
    <xf numFmtId="3" fontId="14" fillId="0" borderId="1" xfId="0" applyNumberFormat="1" applyFont="1" applyBorder="1" applyAlignment="1">
      <alignment vertical="center"/>
    </xf>
    <xf numFmtId="3" fontId="15" fillId="11" borderId="1" xfId="0" applyNumberFormat="1" applyFont="1" applyFill="1" applyBorder="1" applyAlignment="1">
      <alignment vertical="top"/>
    </xf>
    <xf numFmtId="3" fontId="14" fillId="11" borderId="1" xfId="0" applyNumberFormat="1" applyFont="1" applyFill="1" applyBorder="1" applyAlignment="1">
      <alignment vertical="top"/>
    </xf>
    <xf numFmtId="4" fontId="14" fillId="0" borderId="1" xfId="0" applyNumberFormat="1" applyFont="1" applyBorder="1" applyAlignment="1">
      <alignment vertical="top"/>
    </xf>
    <xf numFmtId="4" fontId="15" fillId="6" borderId="1" xfId="0" applyNumberFormat="1" applyFont="1" applyFill="1" applyBorder="1" applyAlignment="1">
      <alignment horizontal="right"/>
    </xf>
    <xf numFmtId="2" fontId="15" fillId="6" borderId="1" xfId="0" applyNumberFormat="1" applyFont="1" applyFill="1" applyBorder="1" applyAlignment="1">
      <alignment horizontal="right"/>
    </xf>
    <xf numFmtId="4" fontId="0" fillId="0" borderId="0" xfId="0" applyNumberFormat="1"/>
    <xf numFmtId="164" fontId="12" fillId="0" borderId="1" xfId="0" applyNumberFormat="1" applyFont="1" applyBorder="1" applyAlignment="1">
      <alignment horizontal="right" vertical="top" wrapText="1"/>
    </xf>
    <xf numFmtId="164" fontId="14" fillId="4" borderId="1" xfId="0" applyNumberFormat="1" applyFont="1" applyFill="1" applyBorder="1" applyAlignment="1">
      <alignment horizontal="left"/>
    </xf>
    <xf numFmtId="164" fontId="14" fillId="4" borderId="1" xfId="0" applyNumberFormat="1" applyFont="1" applyFill="1" applyBorder="1" applyAlignment="1">
      <alignment horizontal="right" vertical="top"/>
    </xf>
    <xf numFmtId="0" fontId="14" fillId="4" borderId="0" xfId="0" applyFont="1" applyFill="1"/>
    <xf numFmtId="43" fontId="14" fillId="4" borderId="4" xfId="1" applyNumberFormat="1" applyFont="1" applyFill="1" applyBorder="1"/>
    <xf numFmtId="1" fontId="14" fillId="4" borderId="1" xfId="0" applyNumberFormat="1" applyFont="1" applyFill="1" applyBorder="1" applyAlignment="1">
      <alignment horizontal="right" vertical="top"/>
    </xf>
    <xf numFmtId="1" fontId="15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vertical="top" wrapText="1"/>
    </xf>
    <xf numFmtId="0" fontId="14" fillId="7" borderId="0" xfId="0" applyFont="1" applyFill="1"/>
    <xf numFmtId="0" fontId="14" fillId="4" borderId="1" xfId="0" applyFont="1" applyFill="1" applyBorder="1" applyAlignment="1">
      <alignment vertical="top" wrapText="1"/>
    </xf>
    <xf numFmtId="4" fontId="15" fillId="6" borderId="1" xfId="0" applyNumberFormat="1" applyFont="1" applyFill="1" applyBorder="1" applyAlignment="1">
      <alignment vertical="top"/>
    </xf>
    <xf numFmtId="1" fontId="14" fillId="4" borderId="1" xfId="0" applyNumberFormat="1" applyFont="1" applyFill="1" applyBorder="1" applyAlignment="1">
      <alignment horizontal="right" vertical="top" wrapText="1"/>
    </xf>
    <xf numFmtId="4" fontId="14" fillId="4" borderId="1" xfId="0" applyNumberFormat="1" applyFont="1" applyFill="1" applyBorder="1" applyAlignment="1">
      <alignment vertical="top" wrapText="1"/>
    </xf>
    <xf numFmtId="3" fontId="14" fillId="4" borderId="1" xfId="0" applyNumberFormat="1" applyFont="1" applyFill="1" applyBorder="1" applyAlignment="1">
      <alignment vertical="top" wrapText="1"/>
    </xf>
    <xf numFmtId="4" fontId="14" fillId="4" borderId="1" xfId="0" applyNumberFormat="1" applyFont="1" applyFill="1" applyBorder="1" applyAlignment="1">
      <alignment vertical="top"/>
    </xf>
    <xf numFmtId="3" fontId="14" fillId="4" borderId="1" xfId="0" applyNumberFormat="1" applyFont="1" applyFill="1" applyBorder="1" applyAlignment="1">
      <alignment vertical="top"/>
    </xf>
    <xf numFmtId="43" fontId="14" fillId="4" borderId="1" xfId="1" applyNumberFormat="1" applyFont="1" applyFill="1" applyBorder="1"/>
    <xf numFmtId="165" fontId="14" fillId="4" borderId="1" xfId="0" applyNumberFormat="1" applyFont="1" applyFill="1" applyBorder="1"/>
    <xf numFmtId="164" fontId="14" fillId="4" borderId="1" xfId="0" applyNumberFormat="1" applyFont="1" applyFill="1" applyBorder="1" applyAlignment="1">
      <alignment vertical="top" wrapText="1"/>
    </xf>
    <xf numFmtId="43" fontId="14" fillId="0" borderId="1" xfId="0" applyNumberFormat="1" applyFont="1" applyBorder="1"/>
    <xf numFmtId="1" fontId="15" fillId="11" borderId="1" xfId="0" applyNumberFormat="1" applyFont="1" applyFill="1" applyBorder="1" applyAlignment="1">
      <alignment horizontal="right"/>
    </xf>
    <xf numFmtId="4" fontId="15" fillId="11" borderId="1" xfId="0" applyNumberFormat="1" applyFont="1" applyFill="1" applyBorder="1" applyAlignment="1">
      <alignment horizontal="right"/>
    </xf>
    <xf numFmtId="4" fontId="15" fillId="11" borderId="1" xfId="0" applyNumberFormat="1" applyFont="1" applyFill="1" applyBorder="1"/>
    <xf numFmtId="3" fontId="15" fillId="11" borderId="1" xfId="0" applyNumberFormat="1" applyFont="1" applyFill="1" applyBorder="1"/>
    <xf numFmtId="1" fontId="14" fillId="0" borderId="1" xfId="0" applyNumberFormat="1" applyFont="1" applyBorder="1" applyAlignment="1">
      <alignment vertical="top"/>
    </xf>
    <xf numFmtId="3" fontId="14" fillId="0" borderId="1" xfId="0" applyNumberFormat="1" applyFont="1" applyBorder="1"/>
    <xf numFmtId="4" fontId="15" fillId="8" borderId="1" xfId="0" applyNumberFormat="1" applyFont="1" applyFill="1" applyBorder="1"/>
    <xf numFmtId="3" fontId="15" fillId="8" borderId="1" xfId="0" applyNumberFormat="1" applyFont="1" applyFill="1" applyBorder="1"/>
    <xf numFmtId="1" fontId="14" fillId="4" borderId="1" xfId="0" applyNumberFormat="1" applyFont="1" applyFill="1" applyBorder="1" applyAlignment="1">
      <alignment vertical="top"/>
    </xf>
    <xf numFmtId="43" fontId="14" fillId="4" borderId="1" xfId="0" applyNumberFormat="1" applyFont="1" applyFill="1" applyBorder="1"/>
    <xf numFmtId="164" fontId="15" fillId="6" borderId="1" xfId="0" applyNumberFormat="1" applyFont="1" applyFill="1" applyBorder="1"/>
    <xf numFmtId="4" fontId="20" fillId="4" borderId="1" xfId="0" applyNumberFormat="1" applyFont="1" applyFill="1" applyBorder="1" applyAlignment="1">
      <alignment horizontal="right" vertical="center"/>
    </xf>
    <xf numFmtId="4" fontId="19" fillId="4" borderId="1" xfId="0" applyNumberFormat="1" applyFont="1" applyFill="1" applyBorder="1" applyAlignment="1">
      <alignment horizontal="right" vertical="center"/>
    </xf>
    <xf numFmtId="43" fontId="14" fillId="0" borderId="4" xfId="0" applyNumberFormat="1" applyFont="1" applyBorder="1"/>
    <xf numFmtId="2" fontId="12" fillId="0" borderId="0" xfId="0" applyNumberFormat="1" applyFont="1" applyAlignment="1">
      <alignment horizontal="right"/>
    </xf>
    <xf numFmtId="0" fontId="12" fillId="8" borderId="0" xfId="0" applyFont="1" applyFill="1" applyAlignment="1">
      <alignment horizontal="right"/>
    </xf>
    <xf numFmtId="0" fontId="11" fillId="12" borderId="1" xfId="0" applyFont="1" applyFill="1" applyBorder="1" applyAlignment="1">
      <alignment horizontal="center" vertical="center" textRotation="90" wrapText="1"/>
    </xf>
    <xf numFmtId="0" fontId="11" fillId="12" borderId="1" xfId="0" applyFont="1" applyFill="1" applyBorder="1" applyAlignment="1">
      <alignment horizontal="left" vertical="top"/>
    </xf>
    <xf numFmtId="0" fontId="11" fillId="12" borderId="1" xfId="0" applyFont="1" applyFill="1" applyBorder="1" applyAlignment="1">
      <alignment horizontal="left" vertical="center"/>
    </xf>
    <xf numFmtId="4" fontId="11" fillId="12" borderId="1" xfId="0" applyNumberFormat="1" applyFont="1" applyFill="1" applyBorder="1" applyAlignment="1">
      <alignment horizontal="right" vertical="center"/>
    </xf>
    <xf numFmtId="3" fontId="11" fillId="12" borderId="1" xfId="0" applyNumberFormat="1" applyFont="1" applyFill="1" applyBorder="1" applyAlignment="1">
      <alignment horizontal="right" vertical="center"/>
    </xf>
    <xf numFmtId="1" fontId="15" fillId="12" borderId="1" xfId="0" applyNumberFormat="1" applyFont="1" applyFill="1" applyBorder="1"/>
    <xf numFmtId="0" fontId="14" fillId="0" borderId="0" xfId="0" applyFont="1" applyAlignment="1">
      <alignment wrapText="1"/>
    </xf>
    <xf numFmtId="0" fontId="15" fillId="6" borderId="4" xfId="0" applyFont="1" applyFill="1" applyBorder="1" applyAlignment="1">
      <alignment wrapText="1"/>
    </xf>
    <xf numFmtId="0" fontId="15" fillId="6" borderId="5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165" fontId="15" fillId="12" borderId="1" xfId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vertical="top" wrapText="1"/>
    </xf>
    <xf numFmtId="4" fontId="14" fillId="0" borderId="4" xfId="0" applyNumberFormat="1" applyFont="1" applyBorder="1" applyAlignment="1">
      <alignment horizontal="right"/>
    </xf>
    <xf numFmtId="1" fontId="15" fillId="6" borderId="0" xfId="0" applyNumberFormat="1" applyFont="1" applyFill="1"/>
    <xf numFmtId="3" fontId="14" fillId="0" borderId="1" xfId="0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horizontal="right" vertical="top" wrapText="1"/>
    </xf>
    <xf numFmtId="3" fontId="14" fillId="0" borderId="1" xfId="0" applyNumberFormat="1" applyFont="1" applyBorder="1" applyAlignment="1">
      <alignment vertical="top"/>
    </xf>
    <xf numFmtId="165" fontId="14" fillId="0" borderId="1" xfId="0" applyNumberFormat="1" applyFont="1" applyBorder="1"/>
    <xf numFmtId="43" fontId="14" fillId="4" borderId="1" xfId="0" applyNumberFormat="1" applyFont="1" applyFill="1" applyBorder="1" applyAlignment="1">
      <alignment vertical="top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left" vertical="center"/>
    </xf>
    <xf numFmtId="4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 vertical="center"/>
    </xf>
    <xf numFmtId="4" fontId="14" fillId="8" borderId="1" xfId="0" applyNumberFormat="1" applyFont="1" applyFill="1" applyBorder="1" applyAlignment="1">
      <alignment horizontal="right" vertical="center"/>
    </xf>
    <xf numFmtId="3" fontId="14" fillId="8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/>
    </xf>
    <xf numFmtId="164" fontId="14" fillId="0" borderId="1" xfId="0" applyNumberFormat="1" applyFont="1" applyBorder="1" applyAlignment="1">
      <alignment horizontal="right" vertical="top" wrapText="1"/>
    </xf>
    <xf numFmtId="164" fontId="14" fillId="0" borderId="1" xfId="0" applyNumberFormat="1" applyFont="1" applyBorder="1" applyAlignment="1">
      <alignment horizontal="right" vertical="center"/>
    </xf>
    <xf numFmtId="164" fontId="14" fillId="4" borderId="1" xfId="0" applyNumberFormat="1" applyFont="1" applyFill="1" applyBorder="1" applyAlignment="1">
      <alignment horizontal="right" vertical="top" wrapText="1"/>
    </xf>
    <xf numFmtId="0" fontId="14" fillId="12" borderId="1" xfId="0" applyFont="1" applyFill="1" applyBorder="1" applyAlignment="1">
      <alignment horizontal="center" vertical="center" textRotation="90" wrapText="1"/>
    </xf>
    <xf numFmtId="0" fontId="15" fillId="12" borderId="1" xfId="0" applyFont="1" applyFill="1" applyBorder="1" applyAlignment="1">
      <alignment horizontal="left" vertical="center"/>
    </xf>
    <xf numFmtId="4" fontId="15" fillId="12" borderId="1" xfId="0" applyNumberFormat="1" applyFont="1" applyFill="1" applyBorder="1" applyAlignment="1">
      <alignment horizontal="right" vertical="center"/>
    </xf>
    <xf numFmtId="3" fontId="14" fillId="12" borderId="1" xfId="0" applyNumberFormat="1" applyFont="1" applyFill="1" applyBorder="1" applyAlignment="1">
      <alignment horizontal="right" vertical="top" wrapText="1"/>
    </xf>
    <xf numFmtId="3" fontId="15" fillId="12" borderId="1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 textRotation="90" wrapText="1"/>
    </xf>
    <xf numFmtId="0" fontId="15" fillId="4" borderId="1" xfId="0" applyFont="1" applyFill="1" applyBorder="1" applyAlignment="1">
      <alignment vertical="top" wrapText="1"/>
    </xf>
    <xf numFmtId="164" fontId="14" fillId="4" borderId="1" xfId="0" applyNumberFormat="1" applyFont="1" applyFill="1" applyBorder="1" applyAlignment="1">
      <alignment horizontal="right" vertical="center"/>
    </xf>
    <xf numFmtId="0" fontId="15" fillId="12" borderId="1" xfId="0" applyFont="1" applyFill="1" applyBorder="1" applyAlignment="1">
      <alignment horizontal="center" vertical="center" textRotation="90" wrapText="1"/>
    </xf>
    <xf numFmtId="0" fontId="15" fillId="12" borderId="1" xfId="0" applyFont="1" applyFill="1" applyBorder="1" applyAlignment="1">
      <alignment vertical="top" wrapText="1"/>
    </xf>
    <xf numFmtId="0" fontId="15" fillId="12" borderId="1" xfId="0" applyFont="1" applyFill="1" applyBorder="1"/>
    <xf numFmtId="164" fontId="15" fillId="12" borderId="1" xfId="0" applyNumberFormat="1" applyFont="1" applyFill="1" applyBorder="1" applyAlignment="1">
      <alignment horizontal="right" vertical="top" wrapText="1"/>
    </xf>
    <xf numFmtId="0" fontId="15" fillId="12" borderId="1" xfId="0" applyFont="1" applyFill="1" applyBorder="1" applyAlignment="1">
      <alignment horizontal="right" vertical="top" wrapText="1"/>
    </xf>
    <xf numFmtId="3" fontId="15" fillId="12" borderId="1" xfId="0" applyNumberFormat="1" applyFont="1" applyFill="1" applyBorder="1" applyAlignment="1">
      <alignment horizontal="right" vertical="top" wrapText="1"/>
    </xf>
    <xf numFmtId="4" fontId="15" fillId="12" borderId="1" xfId="0" applyNumberFormat="1" applyFont="1" applyFill="1" applyBorder="1" applyAlignment="1">
      <alignment horizontal="right" vertical="top" wrapText="1"/>
    </xf>
    <xf numFmtId="0" fontId="15" fillId="4" borderId="1" xfId="0" applyFont="1" applyFill="1" applyBorder="1" applyAlignment="1">
      <alignment horizontal="center" vertical="center" textRotation="90" wrapText="1"/>
    </xf>
    <xf numFmtId="0" fontId="15" fillId="4" borderId="1" xfId="0" applyFont="1" applyFill="1" applyBorder="1" applyAlignment="1">
      <alignment horizontal="left" vertical="center"/>
    </xf>
    <xf numFmtId="164" fontId="15" fillId="4" borderId="1" xfId="0" applyNumberFormat="1" applyFont="1" applyFill="1" applyBorder="1" applyAlignment="1">
      <alignment horizontal="right" vertical="top" wrapText="1"/>
    </xf>
    <xf numFmtId="0" fontId="15" fillId="4" borderId="1" xfId="0" applyFont="1" applyFill="1" applyBorder="1" applyAlignment="1">
      <alignment horizontal="right" vertical="top" wrapText="1"/>
    </xf>
    <xf numFmtId="3" fontId="15" fillId="4" borderId="1" xfId="0" applyNumberFormat="1" applyFont="1" applyFill="1" applyBorder="1" applyAlignment="1">
      <alignment horizontal="right" vertical="top" wrapText="1"/>
    </xf>
    <xf numFmtId="4" fontId="15" fillId="8" borderId="1" xfId="0" applyNumberFormat="1" applyFont="1" applyFill="1" applyBorder="1" applyAlignment="1">
      <alignment horizontal="right" vertical="top" wrapText="1"/>
    </xf>
    <xf numFmtId="3" fontId="15" fillId="8" borderId="1" xfId="0" applyNumberFormat="1" applyFont="1" applyFill="1" applyBorder="1" applyAlignment="1">
      <alignment horizontal="right" vertical="top" wrapText="1"/>
    </xf>
    <xf numFmtId="4" fontId="14" fillId="8" borderId="1" xfId="0" applyNumberFormat="1" applyFont="1" applyFill="1" applyBorder="1" applyAlignment="1">
      <alignment horizontal="right"/>
    </xf>
    <xf numFmtId="3" fontId="14" fillId="8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43" fontId="15" fillId="0" borderId="1" xfId="1" applyNumberFormat="1" applyFont="1" applyBorder="1"/>
    <xf numFmtId="0" fontId="15" fillId="8" borderId="0" xfId="0" applyFont="1" applyFill="1"/>
    <xf numFmtId="0" fontId="14" fillId="12" borderId="1" xfId="0" applyFont="1" applyFill="1" applyBorder="1" applyAlignment="1">
      <alignment vertical="top" wrapText="1"/>
    </xf>
    <xf numFmtId="164" fontId="14" fillId="12" borderId="1" xfId="0" applyNumberFormat="1" applyFont="1" applyFill="1" applyBorder="1" applyAlignment="1">
      <alignment horizontal="right" vertical="top" wrapText="1"/>
    </xf>
    <xf numFmtId="0" fontId="14" fillId="12" borderId="1" xfId="0" applyFont="1" applyFill="1" applyBorder="1"/>
    <xf numFmtId="165" fontId="15" fillId="12" borderId="1" xfId="1" applyFont="1" applyFill="1" applyBorder="1" applyAlignment="1">
      <alignment horizontal="right"/>
    </xf>
    <xf numFmtId="164" fontId="15" fillId="12" borderId="1" xfId="0" applyNumberFormat="1" applyFont="1" applyFill="1" applyBorder="1" applyAlignment="1">
      <alignment horizontal="right"/>
    </xf>
    <xf numFmtId="0" fontId="15" fillId="12" borderId="1" xfId="0" applyFont="1" applyFill="1" applyBorder="1" applyAlignment="1">
      <alignment horizontal="right"/>
    </xf>
    <xf numFmtId="3" fontId="15" fillId="12" borderId="1" xfId="0" applyNumberFormat="1" applyFont="1" applyFill="1" applyBorder="1" applyAlignment="1">
      <alignment horizontal="right"/>
    </xf>
    <xf numFmtId="3" fontId="14" fillId="4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 vertical="top"/>
    </xf>
    <xf numFmtId="3" fontId="14" fillId="8" borderId="1" xfId="0" applyNumberFormat="1" applyFont="1" applyFill="1" applyBorder="1" applyAlignment="1">
      <alignment horizontal="right" vertical="top"/>
    </xf>
    <xf numFmtId="0" fontId="15" fillId="0" borderId="0" xfId="0" applyFont="1" applyAlignment="1">
      <alignment vertical="top"/>
    </xf>
    <xf numFmtId="43" fontId="15" fillId="0" borderId="1" xfId="1" applyNumberFormat="1" applyFont="1" applyBorder="1" applyAlignment="1">
      <alignment vertical="top"/>
    </xf>
    <xf numFmtId="0" fontId="15" fillId="8" borderId="0" xfId="0" applyFont="1" applyFill="1" applyAlignment="1">
      <alignment vertical="top"/>
    </xf>
    <xf numFmtId="3" fontId="14" fillId="4" borderId="1" xfId="0" applyNumberFormat="1" applyFont="1" applyFill="1" applyBorder="1" applyAlignment="1">
      <alignment horizontal="right" vertical="top"/>
    </xf>
    <xf numFmtId="0" fontId="15" fillId="4" borderId="0" xfId="0" applyFont="1" applyFill="1" applyAlignment="1">
      <alignment vertical="top"/>
    </xf>
    <xf numFmtId="4" fontId="14" fillId="4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Border="1"/>
    <xf numFmtId="164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0" fontId="15" fillId="6" borderId="1" xfId="0" applyFont="1" applyFill="1" applyBorder="1" applyAlignment="1">
      <alignment vertical="top"/>
    </xf>
    <xf numFmtId="0" fontId="15" fillId="12" borderId="1" xfId="0" applyFont="1" applyFill="1" applyBorder="1" applyAlignment="1">
      <alignment vertical="top"/>
    </xf>
    <xf numFmtId="164" fontId="15" fillId="12" borderId="1" xfId="0" applyNumberFormat="1" applyFont="1" applyFill="1" applyBorder="1" applyAlignment="1">
      <alignment vertical="top"/>
    </xf>
    <xf numFmtId="165" fontId="15" fillId="12" borderId="1" xfId="1" applyFont="1" applyFill="1" applyBorder="1" applyAlignment="1">
      <alignment vertical="top"/>
    </xf>
    <xf numFmtId="0" fontId="14" fillId="11" borderId="1" xfId="0" applyFont="1" applyFill="1" applyBorder="1" applyAlignment="1">
      <alignment horizontal="center" vertical="center" textRotation="90" wrapText="1"/>
    </xf>
    <xf numFmtId="0" fontId="15" fillId="11" borderId="1" xfId="0" applyFont="1" applyFill="1" applyBorder="1"/>
    <xf numFmtId="0" fontId="15" fillId="11" borderId="1" xfId="0" applyFont="1" applyFill="1" applyBorder="1" applyAlignment="1">
      <alignment horizontal="right"/>
    </xf>
    <xf numFmtId="0" fontId="15" fillId="11" borderId="1" xfId="0" applyFont="1" applyFill="1" applyBorder="1" applyAlignment="1">
      <alignment horizontal="right" vertical="top" wrapText="1"/>
    </xf>
    <xf numFmtId="2" fontId="15" fillId="11" borderId="1" xfId="0" applyNumberFormat="1" applyFont="1" applyFill="1" applyBorder="1" applyAlignment="1">
      <alignment horizontal="right" vertical="top" wrapText="1"/>
    </xf>
    <xf numFmtId="4" fontId="15" fillId="11" borderId="1" xfId="0" applyNumberFormat="1" applyFont="1" applyFill="1" applyBorder="1" applyAlignment="1">
      <alignment horizontal="right" vertical="top" wrapText="1"/>
    </xf>
    <xf numFmtId="3" fontId="15" fillId="11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Border="1" applyAlignment="1">
      <alignment vertical="top"/>
    </xf>
    <xf numFmtId="4" fontId="15" fillId="0" borderId="0" xfId="0" applyNumberFormat="1" applyFont="1" applyAlignment="1">
      <alignment vertical="top"/>
    </xf>
    <xf numFmtId="4" fontId="15" fillId="0" borderId="0" xfId="0" applyNumberFormat="1" applyFont="1"/>
    <xf numFmtId="0" fontId="3" fillId="0" borderId="1" xfId="13" applyFont="1" applyBorder="1" applyAlignment="1">
      <alignment horizontal="center"/>
    </xf>
    <xf numFmtId="0" fontId="3" fillId="0" borderId="1" xfId="12" applyFont="1" applyBorder="1" applyAlignment="1">
      <alignment horizontal="center"/>
    </xf>
    <xf numFmtId="0" fontId="14" fillId="0" borderId="1" xfId="14" applyFont="1" applyBorder="1" applyAlignment="1">
      <alignment horizontal="center"/>
    </xf>
    <xf numFmtId="0" fontId="14" fillId="4" borderId="1" xfId="14" applyFont="1" applyFill="1" applyBorder="1" applyAlignment="1">
      <alignment horizontal="center"/>
    </xf>
    <xf numFmtId="0" fontId="3" fillId="0" borderId="1" xfId="13" applyFont="1" applyBorder="1" applyAlignment="1">
      <alignment horizontal="center" vertical="top"/>
    </xf>
    <xf numFmtId="0" fontId="3" fillId="4" borderId="1" xfId="13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165" fontId="15" fillId="0" borderId="1" xfId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169" fontId="15" fillId="0" borderId="1" xfId="4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64" fontId="15" fillId="12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4" fillId="0" borderId="1" xfId="7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4" fillId="0" borderId="1" xfId="7" applyFont="1" applyBorder="1"/>
    <xf numFmtId="165" fontId="14" fillId="0" borderId="1" xfId="1" applyFont="1" applyBorder="1" applyAlignment="1">
      <alignment horizontal="center"/>
    </xf>
    <xf numFmtId="2" fontId="14" fillId="0" borderId="1" xfId="0" applyNumberFormat="1" applyFont="1" applyBorder="1" applyAlignment="1">
      <alignment vertical="top" wrapText="1"/>
    </xf>
    <xf numFmtId="4" fontId="15" fillId="0" borderId="1" xfId="4" applyNumberFormat="1" applyFont="1" applyBorder="1" applyAlignment="1">
      <alignment vertical="top"/>
    </xf>
    <xf numFmtId="4" fontId="14" fillId="0" borderId="15" xfId="0" applyNumberFormat="1" applyFont="1" applyBorder="1" applyAlignment="1">
      <alignment horizontal="left" vertical="top" wrapText="1"/>
    </xf>
    <xf numFmtId="4" fontId="14" fillId="4" borderId="15" xfId="0" applyNumberFormat="1" applyFont="1" applyFill="1" applyBorder="1" applyAlignment="1">
      <alignment horizontal="left" vertical="top" wrapText="1"/>
    </xf>
    <xf numFmtId="4" fontId="14" fillId="0" borderId="16" xfId="0" applyNumberFormat="1" applyFont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left" vertical="top" wrapText="1"/>
    </xf>
    <xf numFmtId="4" fontId="14" fillId="4" borderId="1" xfId="5" applyNumberFormat="1" applyFont="1" applyFill="1" applyBorder="1" applyAlignment="1">
      <alignment horizontal="center"/>
    </xf>
    <xf numFmtId="4" fontId="14" fillId="0" borderId="1" xfId="5" applyNumberFormat="1" applyFont="1" applyBorder="1" applyAlignment="1">
      <alignment horizontal="center"/>
    </xf>
    <xf numFmtId="4" fontId="14" fillId="4" borderId="4" xfId="0" applyNumberFormat="1" applyFont="1" applyFill="1" applyBorder="1"/>
    <xf numFmtId="4" fontId="15" fillId="0" borderId="1" xfId="4" applyNumberFormat="1" applyFont="1" applyBorder="1" applyAlignment="1">
      <alignment horizontal="right"/>
    </xf>
    <xf numFmtId="0" fontId="14" fillId="0" borderId="1" xfId="6" applyFont="1" applyBorder="1" applyAlignment="1">
      <alignment horizontal="center"/>
    </xf>
    <xf numFmtId="0" fontId="14" fillId="4" borderId="1" xfId="6" applyFont="1" applyFill="1" applyBorder="1" applyAlignment="1">
      <alignment horizontal="center"/>
    </xf>
    <xf numFmtId="0" fontId="14" fillId="4" borderId="1" xfId="6" applyFont="1" applyFill="1" applyBorder="1" applyAlignment="1">
      <alignment horizontal="center" vertical="top"/>
    </xf>
    <xf numFmtId="0" fontId="14" fillId="0" borderId="1" xfId="8" applyFont="1" applyBorder="1" applyAlignment="1">
      <alignment horizontal="center"/>
    </xf>
    <xf numFmtId="0" fontId="14" fillId="0" borderId="1" xfId="9" applyFont="1" applyBorder="1" applyAlignment="1">
      <alignment horizontal="center" wrapText="1"/>
    </xf>
    <xf numFmtId="0" fontId="14" fillId="4" borderId="1" xfId="9" applyFont="1" applyFill="1" applyBorder="1" applyAlignment="1">
      <alignment horizontal="center" wrapText="1"/>
    </xf>
    <xf numFmtId="0" fontId="14" fillId="0" borderId="1" xfId="10" applyFont="1" applyBorder="1" applyAlignment="1">
      <alignment horizontal="center"/>
    </xf>
    <xf numFmtId="0" fontId="14" fillId="0" borderId="1" xfId="11" applyFont="1" applyBorder="1" applyAlignment="1">
      <alignment horizontal="center"/>
    </xf>
    <xf numFmtId="0" fontId="14" fillId="4" borderId="1" xfId="11" applyFont="1" applyFill="1" applyBorder="1" applyAlignment="1">
      <alignment horizontal="center"/>
    </xf>
    <xf numFmtId="169" fontId="15" fillId="0" borderId="0" xfId="4" applyNumberFormat="1" applyFont="1" applyAlignment="1">
      <alignment horizontal="right"/>
    </xf>
    <xf numFmtId="0" fontId="14" fillId="0" borderId="1" xfId="13" applyFont="1" applyBorder="1" applyAlignment="1">
      <alignment horizontal="center"/>
    </xf>
    <xf numFmtId="0" fontId="14" fillId="0" borderId="1" xfId="12" applyFont="1" applyBorder="1" applyAlignment="1">
      <alignment horizontal="center"/>
    </xf>
    <xf numFmtId="0" fontId="14" fillId="4" borderId="1" xfId="12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5" fillId="6" borderId="1" xfId="0" applyFont="1" applyFill="1" applyBorder="1" applyAlignment="1">
      <alignment horizontal="center"/>
    </xf>
    <xf numFmtId="4" fontId="15" fillId="6" borderId="1" xfId="0" applyNumberFormat="1" applyFont="1" applyFill="1" applyBorder="1" applyAlignment="1">
      <alignment horizontal="center"/>
    </xf>
    <xf numFmtId="4" fontId="14" fillId="0" borderId="1" xfId="5" applyNumberFormat="1" applyFont="1" applyBorder="1" applyAlignment="1">
      <alignment horizontal="center" vertical="top"/>
    </xf>
    <xf numFmtId="4" fontId="14" fillId="6" borderId="1" xfId="5" applyNumberFormat="1" applyFont="1" applyFill="1" applyBorder="1" applyAlignment="1">
      <alignment horizontal="center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right" vertical="top"/>
    </xf>
    <xf numFmtId="4" fontId="15" fillId="0" borderId="2" xfId="0" applyNumberFormat="1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5" fillId="8" borderId="1" xfId="0" applyFont="1" applyFill="1" applyBorder="1" applyAlignment="1">
      <alignment wrapText="1"/>
    </xf>
    <xf numFmtId="0" fontId="15" fillId="8" borderId="4" xfId="0" applyFont="1" applyFill="1" applyBorder="1" applyAlignment="1">
      <alignment wrapText="1"/>
    </xf>
    <xf numFmtId="0" fontId="16" fillId="0" borderId="1" xfId="0" applyFont="1" applyBorder="1" applyAlignment="1">
      <alignment horizontal="right"/>
    </xf>
    <xf numFmtId="4" fontId="16" fillId="0" borderId="1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horizontal="right"/>
    </xf>
    <xf numFmtId="1" fontId="15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vertical="top" wrapText="1"/>
    </xf>
    <xf numFmtId="164" fontId="14" fillId="0" borderId="1" xfId="0" applyNumberFormat="1" applyFont="1" applyBorder="1"/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left" vertical="top"/>
    </xf>
    <xf numFmtId="0" fontId="15" fillId="10" borderId="1" xfId="0" applyFont="1" applyFill="1" applyBorder="1" applyAlignment="1">
      <alignment horizontal="right" vertical="top"/>
    </xf>
    <xf numFmtId="4" fontId="15" fillId="10" borderId="1" xfId="0" applyNumberFormat="1" applyFont="1" applyFill="1" applyBorder="1"/>
    <xf numFmtId="4" fontId="15" fillId="10" borderId="4" xfId="0" applyNumberFormat="1" applyFont="1" applyFill="1" applyBorder="1"/>
    <xf numFmtId="43" fontId="15" fillId="10" borderId="4" xfId="1" applyNumberFormat="1" applyFont="1" applyFill="1" applyBorder="1"/>
    <xf numFmtId="0" fontId="14" fillId="0" borderId="1" xfId="0" applyFont="1" applyBorder="1" applyAlignment="1">
      <alignment vertical="top"/>
    </xf>
    <xf numFmtId="4" fontId="14" fillId="0" borderId="4" xfId="0" applyNumberFormat="1" applyFont="1" applyBorder="1" applyAlignment="1">
      <alignment vertical="top"/>
    </xf>
    <xf numFmtId="43" fontId="14" fillId="0" borderId="1" xfId="1" applyNumberFormat="1" applyFont="1" applyBorder="1" applyAlignment="1">
      <alignment vertical="top"/>
    </xf>
    <xf numFmtId="43" fontId="14" fillId="0" borderId="4" xfId="1" applyNumberFormat="1" applyFont="1" applyBorder="1" applyAlignment="1">
      <alignment vertical="top"/>
    </xf>
    <xf numFmtId="43" fontId="14" fillId="0" borderId="1" xfId="0" applyNumberFormat="1" applyFont="1" applyBorder="1" applyAlignment="1">
      <alignment vertical="top"/>
    </xf>
    <xf numFmtId="164" fontId="14" fillId="0" borderId="1" xfId="0" applyNumberFormat="1" applyFont="1" applyBorder="1" applyAlignment="1">
      <alignment wrapText="1"/>
    </xf>
    <xf numFmtId="43" fontId="15" fillId="4" borderId="1" xfId="1" applyNumberFormat="1" applyFont="1" applyFill="1" applyBorder="1"/>
    <xf numFmtId="43" fontId="15" fillId="10" borderId="1" xfId="0" applyNumberFormat="1" applyFont="1" applyFill="1" applyBorder="1"/>
    <xf numFmtId="0" fontId="24" fillId="0" borderId="1" xfId="0" applyFont="1" applyBorder="1" applyAlignment="1">
      <alignment vertical="top" wrapText="1"/>
    </xf>
    <xf numFmtId="0" fontId="14" fillId="12" borderId="1" xfId="0" applyFont="1" applyFill="1" applyBorder="1" applyAlignment="1">
      <alignment horizontal="right" vertical="top"/>
    </xf>
    <xf numFmtId="4" fontId="14" fillId="12" borderId="1" xfId="0" applyNumberFormat="1" applyFont="1" applyFill="1" applyBorder="1"/>
    <xf numFmtId="4" fontId="14" fillId="12" borderId="4" xfId="0" applyNumberFormat="1" applyFont="1" applyFill="1" applyBorder="1"/>
    <xf numFmtId="43" fontId="14" fillId="12" borderId="1" xfId="0" applyNumberFormat="1" applyFont="1" applyFill="1" applyBorder="1"/>
    <xf numFmtId="4" fontId="15" fillId="10" borderId="1" xfId="0" applyNumberFormat="1" applyFont="1" applyFill="1" applyBorder="1" applyAlignment="1">
      <alignment horizontal="right" vertical="top"/>
    </xf>
    <xf numFmtId="4" fontId="15" fillId="10" borderId="4" xfId="0" applyNumberFormat="1" applyFont="1" applyFill="1" applyBorder="1" applyAlignment="1">
      <alignment horizontal="right" vertical="top"/>
    </xf>
    <xf numFmtId="43" fontId="15" fillId="19" borderId="1" xfId="0" applyNumberFormat="1" applyFont="1" applyFill="1" applyBorder="1"/>
    <xf numFmtId="0" fontId="14" fillId="12" borderId="1" xfId="0" applyFont="1" applyFill="1" applyBorder="1" applyAlignment="1">
      <alignment horizontal="left" vertical="top"/>
    </xf>
    <xf numFmtId="4" fontId="15" fillId="12" borderId="1" xfId="0" applyNumberFormat="1" applyFont="1" applyFill="1" applyBorder="1"/>
    <xf numFmtId="0" fontId="15" fillId="12" borderId="1" xfId="0" applyFont="1" applyFill="1" applyBorder="1" applyAlignment="1">
      <alignment horizontal="right" vertical="top"/>
    </xf>
    <xf numFmtId="4" fontId="15" fillId="12" borderId="4" xfId="0" applyNumberFormat="1" applyFont="1" applyFill="1" applyBorder="1"/>
    <xf numFmtId="0" fontId="15" fillId="10" borderId="1" xfId="0" applyFont="1" applyFill="1" applyBorder="1"/>
    <xf numFmtId="4" fontId="14" fillId="8" borderId="4" xfId="0" applyNumberFormat="1" applyFont="1" applyFill="1" applyBorder="1"/>
    <xf numFmtId="0" fontId="15" fillId="5" borderId="0" xfId="0" applyFont="1" applyFill="1"/>
    <xf numFmtId="0" fontId="15" fillId="5" borderId="0" xfId="0" applyFont="1" applyFill="1" applyAlignment="1">
      <alignment horizontal="right"/>
    </xf>
    <xf numFmtId="4" fontId="15" fillId="5" borderId="0" xfId="0" applyNumberFormat="1" applyFont="1" applyFill="1"/>
    <xf numFmtId="43" fontId="15" fillId="0" borderId="1" xfId="0" applyNumberFormat="1" applyFont="1" applyBorder="1"/>
    <xf numFmtId="0" fontId="14" fillId="0" borderId="1" xfId="0" applyFont="1" applyBorder="1" applyAlignment="1">
      <alignment horizontal="right" vertical="top"/>
    </xf>
    <xf numFmtId="0" fontId="15" fillId="20" borderId="1" xfId="0" applyFont="1" applyFill="1" applyBorder="1" applyAlignment="1">
      <alignment horizontal="left" vertical="top"/>
    </xf>
    <xf numFmtId="0" fontId="14" fillId="20" borderId="1" xfId="0" applyFont="1" applyFill="1" applyBorder="1" applyAlignment="1">
      <alignment vertical="top" wrapText="1"/>
    </xf>
    <xf numFmtId="4" fontId="14" fillId="0" borderId="0" xfId="0" applyNumberFormat="1" applyFont="1" applyAlignment="1">
      <alignment vertical="top"/>
    </xf>
    <xf numFmtId="3" fontId="14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0" fontId="15" fillId="0" borderId="6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3" fontId="15" fillId="0" borderId="1" xfId="0" applyNumberFormat="1" applyFont="1" applyBorder="1" applyAlignment="1">
      <alignment horizontal="center" vertical="top"/>
    </xf>
    <xf numFmtId="4" fontId="15" fillId="10" borderId="1" xfId="0" applyNumberFormat="1" applyFont="1" applyFill="1" applyBorder="1" applyAlignment="1">
      <alignment vertical="top"/>
    </xf>
    <xf numFmtId="3" fontId="15" fillId="10" borderId="1" xfId="0" applyNumberFormat="1" applyFont="1" applyFill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21" borderId="1" xfId="0" applyFont="1" applyFill="1" applyBorder="1" applyAlignment="1">
      <alignment vertical="top"/>
    </xf>
    <xf numFmtId="4" fontId="14" fillId="21" borderId="1" xfId="0" applyNumberFormat="1" applyFont="1" applyFill="1" applyBorder="1" applyAlignment="1">
      <alignment vertical="top"/>
    </xf>
    <xf numFmtId="0" fontId="14" fillId="21" borderId="1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4" fontId="14" fillId="10" borderId="1" xfId="0" applyNumberFormat="1" applyFont="1" applyFill="1" applyBorder="1" applyAlignment="1">
      <alignment vertical="top"/>
    </xf>
    <xf numFmtId="3" fontId="14" fillId="0" borderId="1" xfId="0" applyNumberFormat="1" applyFont="1" applyBorder="1" applyAlignment="1">
      <alignment horizontal="left" vertical="top"/>
    </xf>
    <xf numFmtId="0" fontId="15" fillId="10" borderId="1" xfId="0" applyFont="1" applyFill="1" applyBorder="1" applyAlignment="1">
      <alignment vertical="top"/>
    </xf>
    <xf numFmtId="3" fontId="14" fillId="4" borderId="1" xfId="0" applyNumberFormat="1" applyFont="1" applyFill="1" applyBorder="1" applyAlignment="1">
      <alignment horizontal="left" vertical="top"/>
    </xf>
    <xf numFmtId="0" fontId="15" fillId="5" borderId="1" xfId="0" applyFont="1" applyFill="1" applyBorder="1" applyAlignment="1">
      <alignment vertical="top" wrapText="1"/>
    </xf>
    <xf numFmtId="0" fontId="15" fillId="5" borderId="1" xfId="0" applyFont="1" applyFill="1" applyBorder="1" applyAlignment="1">
      <alignment horizontal="right" vertical="top"/>
    </xf>
    <xf numFmtId="4" fontId="15" fillId="5" borderId="1" xfId="0" applyNumberFormat="1" applyFont="1" applyFill="1" applyBorder="1" applyAlignment="1">
      <alignment horizontal="right" vertical="top"/>
    </xf>
    <xf numFmtId="2" fontId="14" fillId="0" borderId="0" xfId="0" applyNumberFormat="1" applyFont="1" applyAlignment="1">
      <alignment horizontal="left" vertical="top"/>
    </xf>
    <xf numFmtId="4" fontId="14" fillId="0" borderId="0" xfId="0" applyNumberFormat="1" applyFont="1" applyAlignment="1">
      <alignment horizontal="left" vertical="top"/>
    </xf>
    <xf numFmtId="3" fontId="14" fillId="0" borderId="0" xfId="0" applyNumberFormat="1" applyFont="1" applyAlignment="1">
      <alignment horizontal="left" vertical="top"/>
    </xf>
    <xf numFmtId="4" fontId="15" fillId="5" borderId="1" xfId="0" applyNumberFormat="1" applyFont="1" applyFill="1" applyBorder="1" applyAlignment="1">
      <alignment vertical="top"/>
    </xf>
    <xf numFmtId="164" fontId="14" fillId="0" borderId="4" xfId="0" applyNumberFormat="1" applyFont="1" applyBorder="1"/>
    <xf numFmtId="0" fontId="14" fillId="10" borderId="1" xfId="0" applyFont="1" applyFill="1" applyBorder="1" applyAlignment="1">
      <alignment vertical="top" wrapText="1"/>
    </xf>
    <xf numFmtId="4" fontId="15" fillId="10" borderId="1" xfId="0" applyNumberFormat="1" applyFont="1" applyFill="1" applyBorder="1" applyAlignment="1">
      <alignment vertical="top" wrapText="1"/>
    </xf>
    <xf numFmtId="4" fontId="15" fillId="10" borderId="4" xfId="0" applyNumberFormat="1" applyFont="1" applyFill="1" applyBorder="1" applyAlignment="1">
      <alignment vertical="top" wrapText="1"/>
    </xf>
    <xf numFmtId="164" fontId="14" fillId="4" borderId="4" xfId="0" applyNumberFormat="1" applyFont="1" applyFill="1" applyBorder="1"/>
    <xf numFmtId="0" fontId="14" fillId="11" borderId="1" xfId="0" applyFont="1" applyFill="1" applyBorder="1" applyAlignment="1">
      <alignment horizontal="right" vertical="top"/>
    </xf>
    <xf numFmtId="3" fontId="15" fillId="11" borderId="1" xfId="0" applyNumberFormat="1" applyFont="1" applyFill="1" applyBorder="1" applyAlignment="1">
      <alignment horizontal="right" vertical="top"/>
    </xf>
    <xf numFmtId="4" fontId="15" fillId="11" borderId="4" xfId="0" applyNumberFormat="1" applyFont="1" applyFill="1" applyBorder="1" applyAlignment="1">
      <alignment horizontal="right" vertical="top"/>
    </xf>
    <xf numFmtId="43" fontId="15" fillId="11" borderId="1" xfId="0" applyNumberFormat="1" applyFont="1" applyFill="1" applyBorder="1"/>
    <xf numFmtId="43" fontId="14" fillId="11" borderId="1" xfId="0" applyNumberFormat="1" applyFont="1" applyFill="1" applyBorder="1"/>
    <xf numFmtId="167" fontId="14" fillId="0" borderId="4" xfId="0" applyNumberFormat="1" applyFont="1" applyBorder="1"/>
    <xf numFmtId="0" fontId="14" fillId="5" borderId="0" xfId="0" applyFont="1" applyFill="1"/>
    <xf numFmtId="0" fontId="14" fillId="5" borderId="0" xfId="0" applyFont="1" applyFill="1" applyAlignment="1">
      <alignment horizontal="right"/>
    </xf>
    <xf numFmtId="3" fontId="15" fillId="5" borderId="0" xfId="0" applyNumberFormat="1" applyFont="1" applyFill="1"/>
    <xf numFmtId="43" fontId="15" fillId="5" borderId="1" xfId="0" applyNumberFormat="1" applyFont="1" applyFill="1" applyBorder="1"/>
    <xf numFmtId="2" fontId="14" fillId="0" borderId="0" xfId="0" applyNumberFormat="1" applyFont="1" applyAlignment="1">
      <alignment horizontal="right"/>
    </xf>
    <xf numFmtId="1" fontId="14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center"/>
    </xf>
    <xf numFmtId="164" fontId="14" fillId="0" borderId="4" xfId="0" applyNumberFormat="1" applyFont="1" applyBorder="1" applyAlignment="1">
      <alignment vertical="top" wrapText="1"/>
    </xf>
    <xf numFmtId="164" fontId="14" fillId="4" borderId="4" xfId="0" applyNumberFormat="1" applyFont="1" applyFill="1" applyBorder="1" applyAlignment="1">
      <alignment vertical="top" wrapText="1"/>
    </xf>
    <xf numFmtId="1" fontId="14" fillId="4" borderId="1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4" fontId="14" fillId="0" borderId="0" xfId="0" applyNumberFormat="1" applyFont="1" applyAlignment="1">
      <alignment horizontal="right" vertical="top"/>
    </xf>
    <xf numFmtId="0" fontId="15" fillId="0" borderId="7" xfId="0" applyFont="1" applyBorder="1" applyAlignment="1">
      <alignment horizontal="right" vertical="top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3" fontId="15" fillId="0" borderId="1" xfId="0" applyNumberFormat="1" applyFont="1" applyBorder="1" applyAlignment="1">
      <alignment horizontal="left" vertical="top"/>
    </xf>
    <xf numFmtId="4" fontId="14" fillId="0" borderId="1" xfId="0" applyNumberFormat="1" applyFont="1" applyBorder="1" applyAlignment="1">
      <alignment wrapText="1"/>
    </xf>
    <xf numFmtId="0" fontId="17" fillId="0" borderId="1" xfId="0" applyFont="1" applyBorder="1"/>
    <xf numFmtId="3" fontId="17" fillId="0" borderId="1" xfId="0" applyNumberFormat="1" applyFont="1" applyBorder="1"/>
    <xf numFmtId="3" fontId="15" fillId="0" borderId="1" xfId="0" applyNumberFormat="1" applyFont="1" applyBorder="1" applyAlignment="1">
      <alignment wrapText="1"/>
    </xf>
    <xf numFmtId="4" fontId="15" fillId="0" borderId="1" xfId="0" applyNumberFormat="1" applyFont="1" applyBorder="1" applyAlignment="1">
      <alignment wrapText="1"/>
    </xf>
    <xf numFmtId="0" fontId="15" fillId="0" borderId="3" xfId="0" applyFont="1" applyBorder="1"/>
    <xf numFmtId="0" fontId="14" fillId="6" borderId="1" xfId="0" applyFont="1" applyFill="1" applyBorder="1"/>
    <xf numFmtId="3" fontId="14" fillId="6" borderId="1" xfId="0" applyNumberFormat="1" applyFont="1" applyFill="1" applyBorder="1"/>
    <xf numFmtId="43" fontId="14" fillId="18" borderId="1" xfId="1" applyNumberFormat="1" applyFont="1" applyFill="1" applyBorder="1" applyAlignment="1">
      <alignment vertical="top"/>
    </xf>
    <xf numFmtId="43" fontId="14" fillId="10" borderId="1" xfId="1" applyNumberFormat="1" applyFont="1" applyFill="1" applyBorder="1" applyAlignment="1">
      <alignment vertical="top"/>
    </xf>
    <xf numFmtId="43" fontId="14" fillId="10" borderId="1" xfId="0" applyNumberFormat="1" applyFont="1" applyFill="1" applyBorder="1" applyAlignment="1">
      <alignment vertical="top"/>
    </xf>
    <xf numFmtId="0" fontId="15" fillId="4" borderId="0" xfId="0" applyFont="1" applyFill="1" applyAlignment="1">
      <alignment horizontal="left" vertical="top"/>
    </xf>
    <xf numFmtId="0" fontId="14" fillId="8" borderId="1" xfId="0" applyFont="1" applyFill="1" applyBorder="1"/>
    <xf numFmtId="3" fontId="15" fillId="6" borderId="1" xfId="0" applyNumberFormat="1" applyFont="1" applyFill="1" applyBorder="1"/>
    <xf numFmtId="43" fontId="15" fillId="10" borderId="1" xfId="1" applyNumberFormat="1" applyFont="1" applyFill="1" applyBorder="1" applyAlignment="1">
      <alignment horizontal="right" vertical="top"/>
    </xf>
    <xf numFmtId="43" fontId="15" fillId="0" borderId="1" xfId="0" applyNumberFormat="1" applyFont="1" applyBorder="1" applyAlignment="1">
      <alignment vertical="top"/>
    </xf>
    <xf numFmtId="0" fontId="15" fillId="0" borderId="0" xfId="0" applyFont="1" applyAlignment="1">
      <alignment horizontal="left" vertical="top"/>
    </xf>
    <xf numFmtId="0" fontId="14" fillId="0" borderId="3" xfId="0" applyFont="1" applyBorder="1"/>
    <xf numFmtId="0" fontId="15" fillId="0" borderId="11" xfId="0" applyFont="1" applyBorder="1" applyAlignment="1">
      <alignment horizontal="left" vertical="top" wrapText="1"/>
    </xf>
    <xf numFmtId="43" fontId="15" fillId="6" borderId="1" xfId="0" applyNumberFormat="1" applyFont="1" applyFill="1" applyBorder="1"/>
    <xf numFmtId="0" fontId="15" fillId="9" borderId="1" xfId="0" applyFont="1" applyFill="1" applyBorder="1"/>
    <xf numFmtId="1" fontId="15" fillId="9" borderId="1" xfId="0" applyNumberFormat="1" applyFont="1" applyFill="1" applyBorder="1"/>
    <xf numFmtId="4" fontId="15" fillId="9" borderId="1" xfId="0" applyNumberFormat="1" applyFont="1" applyFill="1" applyBorder="1"/>
    <xf numFmtId="4" fontId="15" fillId="9" borderId="1" xfId="0" applyNumberFormat="1" applyFont="1" applyFill="1" applyBorder="1" applyAlignment="1">
      <alignment horizontal="right" vertical="top"/>
    </xf>
    <xf numFmtId="4" fontId="15" fillId="9" borderId="2" xfId="0" applyNumberFormat="1" applyFont="1" applyFill="1" applyBorder="1" applyAlignment="1">
      <alignment horizontal="right" vertical="top"/>
    </xf>
    <xf numFmtId="43" fontId="15" fillId="9" borderId="1" xfId="0" applyNumberFormat="1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3" xfId="0" applyFont="1" applyBorder="1" applyAlignment="1">
      <alignment vertical="top"/>
    </xf>
    <xf numFmtId="0" fontId="15" fillId="0" borderId="1" xfId="0" applyFont="1" applyBorder="1" applyAlignment="1">
      <alignment horizontal="right" vertical="top"/>
    </xf>
    <xf numFmtId="0" fontId="14" fillId="0" borderId="1" xfId="0" applyFont="1" applyBorder="1" applyAlignment="1">
      <alignment horizontal="left" vertical="top"/>
    </xf>
    <xf numFmtId="164" fontId="14" fillId="0" borderId="3" xfId="0" applyNumberFormat="1" applyFont="1" applyBorder="1" applyAlignment="1">
      <alignment horizontal="right" vertical="top" wrapText="1"/>
    </xf>
    <xf numFmtId="164" fontId="14" fillId="0" borderId="1" xfId="0" applyNumberFormat="1" applyFont="1" applyBorder="1" applyAlignment="1">
      <alignment horizontal="left" vertical="top"/>
    </xf>
    <xf numFmtId="1" fontId="14" fillId="0" borderId="1" xfId="0" applyNumberFormat="1" applyFont="1" applyBorder="1" applyAlignment="1">
      <alignment horizontal="left" vertical="top"/>
    </xf>
    <xf numFmtId="43" fontId="15" fillId="12" borderId="1" xfId="1" applyNumberFormat="1" applyFont="1" applyFill="1" applyBorder="1" applyAlignment="1">
      <alignment horizontal="right" vertical="top"/>
    </xf>
    <xf numFmtId="43" fontId="15" fillId="12" borderId="1" xfId="0" applyNumberFormat="1" applyFont="1" applyFill="1" applyBorder="1" applyAlignment="1">
      <alignment vertical="top"/>
    </xf>
    <xf numFmtId="0" fontId="14" fillId="0" borderId="5" xfId="0" applyFont="1" applyBorder="1" applyAlignment="1">
      <alignment vertical="top" wrapText="1"/>
    </xf>
    <xf numFmtId="164" fontId="15" fillId="12" borderId="1" xfId="0" applyNumberFormat="1" applyFont="1" applyFill="1" applyBorder="1" applyAlignment="1">
      <alignment horizontal="right" vertical="top"/>
    </xf>
    <xf numFmtId="167" fontId="15" fillId="12" borderId="1" xfId="0" applyNumberFormat="1" applyFont="1" applyFill="1" applyBorder="1" applyAlignment="1">
      <alignment horizontal="right" vertical="top"/>
    </xf>
    <xf numFmtId="0" fontId="14" fillId="12" borderId="1" xfId="0" applyFont="1" applyFill="1" applyBorder="1" applyAlignment="1">
      <alignment vertical="top"/>
    </xf>
    <xf numFmtId="0" fontId="15" fillId="4" borderId="3" xfId="0" applyFont="1" applyFill="1" applyBorder="1" applyAlignment="1">
      <alignment vertical="top"/>
    </xf>
    <xf numFmtId="164" fontId="14" fillId="4" borderId="3" xfId="0" applyNumberFormat="1" applyFont="1" applyFill="1" applyBorder="1" applyAlignment="1">
      <alignment horizontal="right" vertical="top" wrapText="1"/>
    </xf>
    <xf numFmtId="0" fontId="15" fillId="4" borderId="1" xfId="0" applyFont="1" applyFill="1" applyBorder="1" applyAlignment="1">
      <alignment horizontal="left" vertical="top"/>
    </xf>
    <xf numFmtId="0" fontId="17" fillId="0" borderId="1" xfId="0" applyFont="1" applyBorder="1" applyAlignment="1">
      <alignment horizontal="right" vertical="top"/>
    </xf>
    <xf numFmtId="0" fontId="14" fillId="4" borderId="1" xfId="0" applyFont="1" applyFill="1" applyBorder="1" applyAlignment="1">
      <alignment horizontal="right" vertical="top"/>
    </xf>
    <xf numFmtId="0" fontId="14" fillId="12" borderId="0" xfId="0" applyFont="1" applyFill="1" applyAlignment="1">
      <alignment vertical="top"/>
    </xf>
    <xf numFmtId="0" fontId="15" fillId="17" borderId="1" xfId="0" applyFont="1" applyFill="1" applyBorder="1" applyAlignment="1">
      <alignment vertical="top"/>
    </xf>
    <xf numFmtId="3" fontId="15" fillId="17" borderId="1" xfId="0" applyNumberFormat="1" applyFont="1" applyFill="1" applyBorder="1" applyAlignment="1">
      <alignment vertical="top"/>
    </xf>
    <xf numFmtId="43" fontId="15" fillId="17" borderId="1" xfId="1" applyNumberFormat="1" applyFont="1" applyFill="1" applyBorder="1" applyAlignment="1">
      <alignment horizontal="right" vertical="top"/>
    </xf>
    <xf numFmtId="3" fontId="15" fillId="0" borderId="0" xfId="0" applyNumberFormat="1" applyFont="1" applyAlignment="1">
      <alignment horizontal="right" vertical="top"/>
    </xf>
    <xf numFmtId="4" fontId="15" fillId="0" borderId="0" xfId="0" applyNumberFormat="1" applyFont="1" applyAlignment="1">
      <alignment horizontal="right" vertical="top"/>
    </xf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right" vertical="top"/>
    </xf>
    <xf numFmtId="3" fontId="15" fillId="4" borderId="1" xfId="0" applyNumberFormat="1" applyFont="1" applyFill="1" applyBorder="1" applyAlignment="1">
      <alignment horizontal="right" vertical="top"/>
    </xf>
    <xf numFmtId="4" fontId="15" fillId="4" borderId="1" xfId="0" applyNumberFormat="1" applyFont="1" applyFill="1" applyBorder="1" applyAlignment="1">
      <alignment horizontal="right" vertical="top"/>
    </xf>
    <xf numFmtId="4" fontId="15" fillId="4" borderId="4" xfId="0" applyNumberFormat="1" applyFont="1" applyFill="1" applyBorder="1" applyAlignment="1">
      <alignment horizontal="right" vertical="top"/>
    </xf>
    <xf numFmtId="4" fontId="15" fillId="0" borderId="1" xfId="0" applyNumberFormat="1" applyFont="1" applyBorder="1" applyAlignment="1">
      <alignment horizontal="right" vertical="top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right" vertical="top" wrapText="1"/>
    </xf>
    <xf numFmtId="0" fontId="15" fillId="4" borderId="5" xfId="0" applyFont="1" applyFill="1" applyBorder="1" applyAlignment="1">
      <alignment horizontal="right" vertical="top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right" vertical="top" wrapText="1"/>
    </xf>
    <xf numFmtId="0" fontId="14" fillId="4" borderId="5" xfId="0" applyFont="1" applyFill="1" applyBorder="1" applyAlignment="1">
      <alignment horizontal="right" vertical="top" wrapText="1"/>
    </xf>
    <xf numFmtId="0" fontId="14" fillId="4" borderId="5" xfId="0" applyFont="1" applyFill="1" applyBorder="1" applyAlignment="1">
      <alignment horizontal="right" vertical="top"/>
    </xf>
    <xf numFmtId="0" fontId="14" fillId="0" borderId="1" xfId="0" applyFont="1" applyBorder="1" applyAlignment="1">
      <alignment horizontal="right" vertical="top" wrapText="1"/>
    </xf>
    <xf numFmtId="167" fontId="14" fillId="4" borderId="1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4" fontId="15" fillId="12" borderId="1" xfId="0" applyNumberFormat="1" applyFont="1" applyFill="1" applyBorder="1" applyAlignment="1">
      <alignment horizontal="right" vertical="top"/>
    </xf>
    <xf numFmtId="43" fontId="14" fillId="12" borderId="1" xfId="0" applyNumberFormat="1" applyFont="1" applyFill="1" applyBorder="1" applyAlignment="1">
      <alignment vertical="top"/>
    </xf>
    <xf numFmtId="0" fontId="17" fillId="4" borderId="1" xfId="0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right" vertical="top"/>
    </xf>
    <xf numFmtId="0" fontId="17" fillId="4" borderId="5" xfId="0" applyFont="1" applyFill="1" applyBorder="1" applyAlignment="1">
      <alignment horizontal="right" vertical="top"/>
    </xf>
    <xf numFmtId="3" fontId="17" fillId="4" borderId="1" xfId="0" applyNumberFormat="1" applyFont="1" applyFill="1" applyBorder="1" applyAlignment="1">
      <alignment horizontal="right" vertical="top"/>
    </xf>
    <xf numFmtId="4" fontId="17" fillId="4" borderId="1" xfId="0" applyNumberFormat="1" applyFont="1" applyFill="1" applyBorder="1" applyAlignment="1">
      <alignment horizontal="right" vertical="top"/>
    </xf>
    <xf numFmtId="4" fontId="17" fillId="4" borderId="4" xfId="0" applyNumberFormat="1" applyFont="1" applyFill="1" applyBorder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4" fontId="14" fillId="0" borderId="5" xfId="0" applyNumberFormat="1" applyFont="1" applyBorder="1" applyAlignment="1">
      <alignment horizontal="right" vertical="top"/>
    </xf>
    <xf numFmtId="1" fontId="15" fillId="12" borderId="1" xfId="0" applyNumberFormat="1" applyFont="1" applyFill="1" applyBorder="1" applyAlignment="1">
      <alignment horizontal="right" vertical="top"/>
    </xf>
    <xf numFmtId="0" fontId="15" fillId="9" borderId="1" xfId="0" applyFont="1" applyFill="1" applyBorder="1" applyAlignment="1">
      <alignment vertical="top"/>
    </xf>
    <xf numFmtId="3" fontId="15" fillId="9" borderId="1" xfId="0" applyNumberFormat="1" applyFont="1" applyFill="1" applyBorder="1" applyAlignment="1">
      <alignment horizontal="right" vertical="top"/>
    </xf>
    <xf numFmtId="3" fontId="11" fillId="12" borderId="1" xfId="0" applyNumberFormat="1" applyFont="1" applyFill="1" applyBorder="1" applyAlignment="1">
      <alignment horizontal="right" vertical="top" wrapText="1"/>
    </xf>
    <xf numFmtId="4" fontId="11" fillId="12" borderId="1" xfId="0" applyNumberFormat="1" applyFont="1" applyFill="1" applyBorder="1" applyAlignment="1">
      <alignment horizontal="right"/>
    </xf>
    <xf numFmtId="165" fontId="11" fillId="12" borderId="1" xfId="0" applyNumberFormat="1" applyFont="1" applyFill="1" applyBorder="1"/>
    <xf numFmtId="0" fontId="15" fillId="12" borderId="1" xfId="0" applyFont="1" applyFill="1" applyBorder="1" applyAlignment="1">
      <alignment horizontal="left"/>
    </xf>
    <xf numFmtId="165" fontId="15" fillId="12" borderId="1" xfId="0" applyNumberFormat="1" applyFont="1" applyFill="1" applyBorder="1"/>
    <xf numFmtId="4" fontId="15" fillId="12" borderId="1" xfId="0" applyNumberFormat="1" applyFont="1" applyFill="1" applyBorder="1" applyAlignment="1">
      <alignment horizontal="right"/>
    </xf>
    <xf numFmtId="2" fontId="15" fillId="12" borderId="1" xfId="0" applyNumberFormat="1" applyFont="1" applyFill="1" applyBorder="1" applyAlignment="1">
      <alignment horizontal="right" vertical="top" wrapText="1"/>
    </xf>
    <xf numFmtId="165" fontId="15" fillId="12" borderId="1" xfId="1" applyFont="1" applyFill="1" applyBorder="1" applyAlignment="1">
      <alignment horizontal="center" vertical="top" wrapText="1"/>
    </xf>
    <xf numFmtId="3" fontId="14" fillId="4" borderId="1" xfId="0" applyNumberFormat="1" applyFont="1" applyFill="1" applyBorder="1" applyAlignment="1">
      <alignment horizontal="right" vertical="top" wrapText="1"/>
    </xf>
    <xf numFmtId="3" fontId="14" fillId="4" borderId="1" xfId="0" applyNumberFormat="1" applyFont="1" applyFill="1" applyBorder="1" applyAlignment="1">
      <alignment horizontal="right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4" fillId="4" borderId="1" xfId="0" applyNumberFormat="1" applyFont="1" applyFill="1" applyBorder="1" applyAlignment="1">
      <alignment horizontal="right"/>
    </xf>
    <xf numFmtId="0" fontId="14" fillId="4" borderId="1" xfId="0" applyFont="1" applyFill="1" applyBorder="1" applyAlignment="1">
      <alignment horizontal="center"/>
    </xf>
    <xf numFmtId="0" fontId="15" fillId="4" borderId="0" xfId="0" applyFont="1" applyFill="1"/>
    <xf numFmtId="0" fontId="14" fillId="4" borderId="1" xfId="7" applyFont="1" applyFill="1" applyBorder="1" applyAlignment="1">
      <alignment horizontal="center"/>
    </xf>
    <xf numFmtId="43" fontId="15" fillId="4" borderId="1" xfId="1" applyNumberFormat="1" applyFont="1" applyFill="1" applyBorder="1" applyAlignment="1">
      <alignment vertical="top"/>
    </xf>
    <xf numFmtId="4" fontId="15" fillId="5" borderId="1" xfId="0" applyNumberFormat="1" applyFont="1" applyFill="1" applyBorder="1"/>
    <xf numFmtId="4" fontId="15" fillId="0" borderId="2" xfId="0" applyNumberFormat="1" applyFont="1" applyBorder="1" applyAlignment="1">
      <alignment horizontal="center" vertical="top"/>
    </xf>
    <xf numFmtId="4" fontId="15" fillId="0" borderId="6" xfId="0" applyNumberFormat="1" applyFont="1" applyBorder="1" applyAlignment="1">
      <alignment vertical="center" wrapText="1"/>
    </xf>
    <xf numFmtId="4" fontId="15" fillId="0" borderId="2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vertical="center" wrapText="1"/>
    </xf>
    <xf numFmtId="4" fontId="15" fillId="0" borderId="3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vertical="top" wrapText="1"/>
    </xf>
    <xf numFmtId="1" fontId="15" fillId="6" borderId="1" xfId="0" applyNumberFormat="1" applyFont="1" applyFill="1" applyBorder="1" applyAlignment="1">
      <alignment horizontal="left"/>
    </xf>
    <xf numFmtId="4" fontId="15" fillId="6" borderId="1" xfId="0" applyNumberFormat="1" applyFont="1" applyFill="1" applyBorder="1" applyAlignment="1">
      <alignment wrapText="1"/>
    </xf>
    <xf numFmtId="0" fontId="14" fillId="8" borderId="0" xfId="0" applyFont="1" applyFill="1"/>
    <xf numFmtId="4" fontId="15" fillId="14" borderId="1" xfId="0" applyNumberFormat="1" applyFont="1" applyFill="1" applyBorder="1"/>
    <xf numFmtId="1" fontId="15" fillId="5" borderId="1" xfId="0" applyNumberFormat="1" applyFont="1" applyFill="1" applyBorder="1"/>
    <xf numFmtId="3" fontId="15" fillId="5" borderId="1" xfId="0" applyNumberFormat="1" applyFont="1" applyFill="1" applyBorder="1"/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4" fontId="15" fillId="0" borderId="2" xfId="0" applyNumberFormat="1" applyFont="1" applyBorder="1" applyAlignment="1">
      <alignment vertical="top" wrapText="1"/>
    </xf>
    <xf numFmtId="4" fontId="15" fillId="0" borderId="2" xfId="0" applyNumberFormat="1" applyFont="1" applyBorder="1" applyAlignment="1">
      <alignment horizontal="right" vertical="top" wrapText="1"/>
    </xf>
    <xf numFmtId="165" fontId="14" fillId="0" borderId="1" xfId="0" applyNumberFormat="1" applyFont="1" applyBorder="1" applyAlignment="1">
      <alignment vertical="top"/>
    </xf>
    <xf numFmtId="4" fontId="14" fillId="4" borderId="1" xfId="0" applyNumberFormat="1" applyFont="1" applyFill="1" applyBorder="1" applyAlignment="1">
      <alignment wrapText="1"/>
    </xf>
    <xf numFmtId="3" fontId="15" fillId="6" borderId="1" xfId="0" applyNumberFormat="1" applyFont="1" applyFill="1" applyBorder="1" applyAlignment="1">
      <alignment vertical="top"/>
    </xf>
    <xf numFmtId="4" fontId="14" fillId="6" borderId="1" xfId="0" applyNumberFormat="1" applyFont="1" applyFill="1" applyBorder="1"/>
    <xf numFmtId="4" fontId="15" fillId="6" borderId="4" xfId="0" applyNumberFormat="1" applyFont="1" applyFill="1" applyBorder="1"/>
    <xf numFmtId="168" fontId="15" fillId="14" borderId="1" xfId="0" applyNumberFormat="1" applyFont="1" applyFill="1" applyBorder="1"/>
    <xf numFmtId="0" fontId="15" fillId="14" borderId="0" xfId="0" applyFont="1" applyFill="1"/>
    <xf numFmtId="4" fontId="14" fillId="6" borderId="1" xfId="0" applyNumberFormat="1" applyFont="1" applyFill="1" applyBorder="1" applyAlignment="1">
      <alignment vertical="top" wrapText="1"/>
    </xf>
    <xf numFmtId="4" fontId="14" fillId="0" borderId="0" xfId="0" applyNumberFormat="1" applyFont="1" applyAlignment="1">
      <alignment vertical="top" wrapText="1"/>
    </xf>
    <xf numFmtId="4" fontId="15" fillId="4" borderId="1" xfId="0" applyNumberFormat="1" applyFont="1" applyFill="1" applyBorder="1"/>
    <xf numFmtId="4" fontId="15" fillId="4" borderId="1" xfId="0" applyNumberFormat="1" applyFont="1" applyFill="1" applyBorder="1" applyAlignment="1">
      <alignment vertical="top"/>
    </xf>
    <xf numFmtId="1" fontId="15" fillId="4" borderId="1" xfId="0" applyNumberFormat="1" applyFont="1" applyFill="1" applyBorder="1" applyAlignment="1">
      <alignment horizontal="right" vertical="top" wrapText="1"/>
    </xf>
    <xf numFmtId="4" fontId="15" fillId="4" borderId="1" xfId="0" applyNumberFormat="1" applyFont="1" applyFill="1" applyBorder="1" applyAlignment="1">
      <alignment vertical="top" wrapText="1"/>
    </xf>
    <xf numFmtId="3" fontId="15" fillId="4" borderId="1" xfId="0" applyNumberFormat="1" applyFont="1" applyFill="1" applyBorder="1" applyAlignment="1">
      <alignment vertical="top"/>
    </xf>
    <xf numFmtId="4" fontId="15" fillId="4" borderId="4" xfId="0" applyNumberFormat="1" applyFont="1" applyFill="1" applyBorder="1"/>
    <xf numFmtId="4" fontId="24" fillId="4" borderId="1" xfId="0" applyNumberFormat="1" applyFont="1" applyFill="1" applyBorder="1" applyAlignment="1">
      <alignment vertical="top" wrapText="1"/>
    </xf>
    <xf numFmtId="1" fontId="15" fillId="4" borderId="1" xfId="0" applyNumberFormat="1" applyFont="1" applyFill="1" applyBorder="1" applyAlignment="1">
      <alignment horizontal="right"/>
    </xf>
    <xf numFmtId="4" fontId="15" fillId="6" borderId="1" xfId="0" applyNumberFormat="1" applyFont="1" applyFill="1" applyBorder="1" applyAlignment="1">
      <alignment horizontal="left"/>
    </xf>
    <xf numFmtId="4" fontId="15" fillId="6" borderId="4" xfId="0" applyNumberFormat="1" applyFont="1" applyFill="1" applyBorder="1" applyAlignment="1">
      <alignment vertical="top"/>
    </xf>
    <xf numFmtId="4" fontId="14" fillId="6" borderId="1" xfId="0" applyNumberFormat="1" applyFont="1" applyFill="1" applyBorder="1" applyAlignment="1">
      <alignment vertical="top"/>
    </xf>
    <xf numFmtId="4" fontId="15" fillId="0" borderId="5" xfId="0" applyNumberFormat="1" applyFont="1" applyBorder="1" applyAlignment="1">
      <alignment vertical="top"/>
    </xf>
    <xf numFmtId="0" fontId="15" fillId="6" borderId="0" xfId="0" applyFont="1" applyFill="1"/>
    <xf numFmtId="1" fontId="15" fillId="15" borderId="1" xfId="0" applyNumberFormat="1" applyFont="1" applyFill="1" applyBorder="1" applyAlignment="1">
      <alignment horizontal="right"/>
    </xf>
    <xf numFmtId="4" fontId="15" fillId="15" borderId="1" xfId="0" applyNumberFormat="1" applyFont="1" applyFill="1" applyBorder="1"/>
    <xf numFmtId="4" fontId="15" fillId="15" borderId="1" xfId="0" applyNumberFormat="1" applyFont="1" applyFill="1" applyBorder="1" applyAlignment="1">
      <alignment vertical="top"/>
    </xf>
    <xf numFmtId="1" fontId="14" fillId="4" borderId="0" xfId="0" applyNumberFormat="1" applyFont="1" applyFill="1" applyAlignment="1">
      <alignment horizontal="right"/>
    </xf>
    <xf numFmtId="0" fontId="14" fillId="4" borderId="0" xfId="0" applyFont="1" applyFill="1" applyAlignment="1">
      <alignment horizontal="right"/>
    </xf>
    <xf numFmtId="4" fontId="14" fillId="4" borderId="0" xfId="0" applyNumberFormat="1" applyFont="1" applyFill="1"/>
    <xf numFmtId="0" fontId="14" fillId="4" borderId="12" xfId="0" applyFont="1" applyFill="1" applyBorder="1"/>
    <xf numFmtId="0" fontId="14" fillId="12" borderId="0" xfId="0" applyFont="1" applyFill="1"/>
    <xf numFmtId="1" fontId="14" fillId="12" borderId="0" xfId="0" applyNumberFormat="1" applyFont="1" applyFill="1" applyAlignment="1">
      <alignment horizontal="right"/>
    </xf>
    <xf numFmtId="0" fontId="14" fillId="12" borderId="0" xfId="0" applyFont="1" applyFill="1" applyAlignment="1">
      <alignment horizontal="right"/>
    </xf>
    <xf numFmtId="0" fontId="14" fillId="12" borderId="0" xfId="0" applyFont="1" applyFill="1" applyAlignment="1">
      <alignment horizontal="center"/>
    </xf>
    <xf numFmtId="4" fontId="14" fillId="12" borderId="0" xfId="0" applyNumberFormat="1" applyFont="1" applyFill="1"/>
    <xf numFmtId="0" fontId="15" fillId="12" borderId="0" xfId="0" applyFont="1" applyFill="1"/>
    <xf numFmtId="1" fontId="14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" fontId="15" fillId="0" borderId="0" xfId="0" applyNumberFormat="1" applyFont="1"/>
    <xf numFmtId="1" fontId="15" fillId="8" borderId="0" xfId="0" applyNumberFormat="1" applyFont="1" applyFill="1" applyAlignment="1">
      <alignment horizontal="right"/>
    </xf>
    <xf numFmtId="0" fontId="15" fillId="8" borderId="0" xfId="0" applyFont="1" applyFill="1" applyAlignment="1">
      <alignment horizontal="right"/>
    </xf>
    <xf numFmtId="0" fontId="15" fillId="8" borderId="0" xfId="0" applyFont="1" applyFill="1" applyAlignment="1">
      <alignment horizontal="center"/>
    </xf>
    <xf numFmtId="1" fontId="15" fillId="8" borderId="0" xfId="0" applyNumberFormat="1" applyFont="1" applyFill="1"/>
    <xf numFmtId="0" fontId="14" fillId="13" borderId="0" xfId="0" applyFont="1" applyFill="1"/>
    <xf numFmtId="0" fontId="14" fillId="13" borderId="0" xfId="0" applyFont="1" applyFill="1" applyAlignment="1">
      <alignment horizontal="right"/>
    </xf>
    <xf numFmtId="4" fontId="14" fillId="13" borderId="0" xfId="0" applyNumberFormat="1" applyFont="1" applyFill="1"/>
    <xf numFmtId="0" fontId="15" fillId="13" borderId="0" xfId="0" applyFont="1" applyFill="1"/>
    <xf numFmtId="3" fontId="25" fillId="4" borderId="1" xfId="0" applyNumberFormat="1" applyFont="1" applyFill="1" applyBorder="1" applyAlignment="1">
      <alignment horizontal="right"/>
    </xf>
    <xf numFmtId="0" fontId="25" fillId="4" borderId="1" xfId="0" applyFont="1" applyFill="1" applyBorder="1" applyAlignment="1">
      <alignment horizontal="left" vertical="center"/>
    </xf>
    <xf numFmtId="3" fontId="25" fillId="0" borderId="1" xfId="0" applyNumberFormat="1" applyFont="1" applyBorder="1" applyAlignment="1">
      <alignment horizontal="right" vertical="top"/>
    </xf>
    <xf numFmtId="0" fontId="25" fillId="0" borderId="1" xfId="0" applyFont="1" applyBorder="1"/>
    <xf numFmtId="0" fontId="25" fillId="0" borderId="4" xfId="0" applyFont="1" applyBorder="1"/>
    <xf numFmtId="164" fontId="25" fillId="4" borderId="1" xfId="0" applyNumberFormat="1" applyFont="1" applyFill="1" applyBorder="1" applyAlignment="1">
      <alignment horizontal="right" vertical="top" wrapText="1"/>
    </xf>
    <xf numFmtId="3" fontId="25" fillId="4" borderId="1" xfId="0" applyNumberFormat="1" applyFont="1" applyFill="1" applyBorder="1" applyAlignment="1">
      <alignment horizontal="right" vertical="top"/>
    </xf>
    <xf numFmtId="0" fontId="12" fillId="0" borderId="1" xfId="0" applyFont="1" applyBorder="1"/>
    <xf numFmtId="0" fontId="25" fillId="4" borderId="1" xfId="0" applyFont="1" applyFill="1" applyBorder="1"/>
    <xf numFmtId="3" fontId="25" fillId="0" borderId="1" xfId="0" applyNumberFormat="1" applyFont="1" applyBorder="1" applyAlignment="1">
      <alignment horizontal="right"/>
    </xf>
    <xf numFmtId="0" fontId="25" fillId="0" borderId="1" xfId="0" applyFont="1" applyBorder="1" applyAlignment="1">
      <alignment vertical="top"/>
    </xf>
    <xf numFmtId="3" fontId="25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top"/>
    </xf>
    <xf numFmtId="0" fontId="14" fillId="8" borderId="1" xfId="0" applyFont="1" applyFill="1" applyBorder="1" applyAlignment="1">
      <alignment horizontal="center" vertical="top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vertical="top" wrapText="1"/>
    </xf>
    <xf numFmtId="164" fontId="25" fillId="0" borderId="4" xfId="0" applyNumberFormat="1" applyFont="1" applyBorder="1"/>
    <xf numFmtId="164" fontId="25" fillId="4" borderId="1" xfId="0" applyNumberFormat="1" applyFont="1" applyFill="1" applyBorder="1" applyAlignment="1">
      <alignment horizontal="right" vertical="center"/>
    </xf>
    <xf numFmtId="0" fontId="25" fillId="4" borderId="1" xfId="0" applyFont="1" applyFill="1" applyBorder="1" applyAlignment="1">
      <alignment vertical="top" wrapText="1"/>
    </xf>
    <xf numFmtId="0" fontId="25" fillId="0" borderId="1" xfId="7" applyFont="1" applyBorder="1" applyAlignment="1">
      <alignment horizontal="center"/>
    </xf>
    <xf numFmtId="3" fontId="14" fillId="0" borderId="1" xfId="0" applyNumberFormat="1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vertical="top" wrapText="1"/>
    </xf>
    <xf numFmtId="164" fontId="14" fillId="0" borderId="1" xfId="1" applyNumberFormat="1" applyFont="1" applyBorder="1"/>
    <xf numFmtId="0" fontId="14" fillId="0" borderId="1" xfId="0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43" fontId="15" fillId="0" borderId="1" xfId="1" applyNumberFormat="1" applyFont="1" applyFill="1" applyBorder="1" applyAlignment="1">
      <alignment horizontal="right" vertical="top"/>
    </xf>
    <xf numFmtId="0" fontId="25" fillId="4" borderId="1" xfId="7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right" vertical="top"/>
    </xf>
    <xf numFmtId="1" fontId="14" fillId="0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horizontal="right" vertical="top"/>
    </xf>
    <xf numFmtId="166" fontId="14" fillId="0" borderId="1" xfId="0" applyNumberFormat="1" applyFont="1" applyFill="1" applyBorder="1" applyAlignment="1">
      <alignment horizontal="right" vertical="top"/>
    </xf>
    <xf numFmtId="1" fontId="14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vertical="top"/>
    </xf>
    <xf numFmtId="164" fontId="25" fillId="4" borderId="1" xfId="0" applyNumberFormat="1" applyFont="1" applyFill="1" applyBorder="1" applyAlignment="1">
      <alignment vertical="top" wrapText="1"/>
    </xf>
    <xf numFmtId="0" fontId="14" fillId="0" borderId="1" xfId="0" applyFont="1" applyBorder="1" applyAlignment="1">
      <alignment horizontal="center" textRotation="90" wrapText="1"/>
    </xf>
    <xf numFmtId="164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164" fontId="14" fillId="0" borderId="1" xfId="0" applyNumberFormat="1" applyFont="1" applyBorder="1" applyAlignment="1">
      <alignment horizontal="right"/>
    </xf>
    <xf numFmtId="0" fontId="14" fillId="0" borderId="0" xfId="0" applyFont="1" applyAlignment="1"/>
    <xf numFmtId="43" fontId="14" fillId="0" borderId="1" xfId="1" applyNumberFormat="1" applyFont="1" applyBorder="1" applyAlignment="1"/>
    <xf numFmtId="165" fontId="14" fillId="0" borderId="1" xfId="0" applyNumberFormat="1" applyFont="1" applyBorder="1" applyAlignment="1"/>
    <xf numFmtId="4" fontId="14" fillId="0" borderId="1" xfId="0" applyNumberFormat="1" applyFont="1" applyBorder="1" applyAlignment="1"/>
    <xf numFmtId="0" fontId="14" fillId="0" borderId="1" xfId="0" applyFont="1" applyBorder="1" applyAlignment="1"/>
    <xf numFmtId="164" fontId="14" fillId="0" borderId="1" xfId="0" applyNumberFormat="1" applyFont="1" applyBorder="1" applyAlignment="1"/>
    <xf numFmtId="43" fontId="14" fillId="0" borderId="1" xfId="0" applyNumberFormat="1" applyFont="1" applyBorder="1" applyAlignment="1"/>
    <xf numFmtId="4" fontId="14" fillId="0" borderId="4" xfId="0" applyNumberFormat="1" applyFont="1" applyBorder="1" applyAlignment="1"/>
    <xf numFmtId="43" fontId="14" fillId="0" borderId="4" xfId="1" applyNumberFormat="1" applyFont="1" applyBorder="1" applyAlignment="1"/>
    <xf numFmtId="1" fontId="14" fillId="0" borderId="1" xfId="0" applyNumberFormat="1" applyFont="1" applyFill="1" applyBorder="1" applyAlignment="1">
      <alignment horizontal="right" vertical="top" wrapText="1"/>
    </xf>
    <xf numFmtId="0" fontId="14" fillId="0" borderId="0" xfId="0" applyFont="1" applyFill="1"/>
    <xf numFmtId="3" fontId="14" fillId="0" borderId="1" xfId="0" applyNumberFormat="1" applyFont="1" applyFill="1" applyBorder="1" applyAlignment="1">
      <alignment vertical="top"/>
    </xf>
    <xf numFmtId="4" fontId="14" fillId="0" borderId="1" xfId="0" applyNumberFormat="1" applyFont="1" applyFill="1" applyBorder="1"/>
    <xf numFmtId="4" fontId="14" fillId="0" borderId="4" xfId="0" applyNumberFormat="1" applyFont="1" applyFill="1" applyBorder="1"/>
    <xf numFmtId="4" fontId="14" fillId="0" borderId="1" xfId="5" applyNumberFormat="1" applyFont="1" applyFill="1" applyBorder="1" applyAlignment="1">
      <alignment horizontal="center"/>
    </xf>
    <xf numFmtId="43" fontId="14" fillId="0" borderId="1" xfId="1" applyNumberFormat="1" applyFont="1" applyFill="1" applyBorder="1"/>
    <xf numFmtId="165" fontId="14" fillId="0" borderId="1" xfId="0" applyNumberFormat="1" applyFont="1" applyFill="1" applyBorder="1"/>
    <xf numFmtId="0" fontId="26" fillId="0" borderId="1" xfId="0" applyFont="1" applyBorder="1" applyAlignment="1">
      <alignment vertical="top" wrapText="1"/>
    </xf>
    <xf numFmtId="4" fontId="11" fillId="0" borderId="0" xfId="0" applyNumberFormat="1" applyFont="1"/>
    <xf numFmtId="4" fontId="12" fillId="0" borderId="0" xfId="0" applyNumberFormat="1" applyFont="1"/>
    <xf numFmtId="4" fontId="14" fillId="0" borderId="0" xfId="0" applyNumberFormat="1" applyFont="1" applyAlignment="1"/>
    <xf numFmtId="0" fontId="14" fillId="0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 horizontal="left"/>
    </xf>
    <xf numFmtId="0" fontId="14" fillId="8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left" vertical="top" wrapText="1"/>
    </xf>
    <xf numFmtId="43" fontId="25" fillId="0" borderId="1" xfId="0" applyNumberFormat="1" applyFont="1" applyBorder="1"/>
    <xf numFmtId="4" fontId="25" fillId="0" borderId="1" xfId="0" applyNumberFormat="1" applyFont="1" applyBorder="1" applyAlignment="1">
      <alignment horizontal="right"/>
    </xf>
    <xf numFmtId="4" fontId="25" fillId="4" borderId="1" xfId="0" applyNumberFormat="1" applyFont="1" applyFill="1" applyBorder="1" applyAlignment="1">
      <alignment horizontal="right"/>
    </xf>
    <xf numFmtId="164" fontId="14" fillId="12" borderId="1" xfId="0" applyNumberFormat="1" applyFont="1" applyFill="1" applyBorder="1" applyAlignment="1">
      <alignment horizontal="right" vertical="top"/>
    </xf>
    <xf numFmtId="1" fontId="14" fillId="12" borderId="1" xfId="0" applyNumberFormat="1" applyFont="1" applyFill="1" applyBorder="1" applyAlignment="1">
      <alignment vertical="top" wrapText="1"/>
    </xf>
    <xf numFmtId="4" fontId="25" fillId="4" borderId="1" xfId="0" applyNumberFormat="1" applyFont="1" applyFill="1" applyBorder="1"/>
    <xf numFmtId="164" fontId="25" fillId="0" borderId="1" xfId="0" applyNumberFormat="1" applyFont="1" applyBorder="1" applyAlignment="1">
      <alignment vertical="top" wrapText="1"/>
    </xf>
    <xf numFmtId="4" fontId="25" fillId="0" borderId="4" xfId="0" applyNumberFormat="1" applyFont="1" applyBorder="1"/>
    <xf numFmtId="4" fontId="25" fillId="4" borderId="4" xfId="0" applyNumberFormat="1" applyFont="1" applyFill="1" applyBorder="1"/>
    <xf numFmtId="4" fontId="14" fillId="8" borderId="1" xfId="0" applyNumberFormat="1" applyFont="1" applyFill="1" applyBorder="1" applyAlignment="1">
      <alignment vertical="top" wrapText="1"/>
    </xf>
    <xf numFmtId="4" fontId="14" fillId="8" borderId="1" xfId="0" applyNumberFormat="1" applyFont="1" applyFill="1" applyBorder="1"/>
    <xf numFmtId="43" fontId="14" fillId="8" borderId="1" xfId="1" applyNumberFormat="1" applyFont="1" applyFill="1" applyBorder="1"/>
    <xf numFmtId="43" fontId="14" fillId="8" borderId="1" xfId="0" applyNumberFormat="1" applyFont="1" applyFill="1" applyBorder="1"/>
    <xf numFmtId="4" fontId="15" fillId="16" borderId="4" xfId="0" applyNumberFormat="1" applyFont="1" applyFill="1" applyBorder="1" applyAlignment="1">
      <alignment horizontal="center" vertical="center" wrapText="1"/>
    </xf>
    <xf numFmtId="4" fontId="15" fillId="16" borderId="1" xfId="0" applyNumberFormat="1" applyFont="1" applyFill="1" applyBorder="1" applyAlignment="1">
      <alignment horizontal="center" vertical="center" wrapText="1"/>
    </xf>
    <xf numFmtId="0" fontId="29" fillId="2" borderId="0" xfId="0" applyFont="1" applyFill="1"/>
    <xf numFmtId="2" fontId="29" fillId="2" borderId="0" xfId="0" applyNumberFormat="1" applyFont="1" applyFill="1"/>
    <xf numFmtId="0" fontId="1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9" fillId="2" borderId="0" xfId="0" applyFont="1" applyFill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 wrapText="1"/>
    </xf>
    <xf numFmtId="4" fontId="29" fillId="2" borderId="1" xfId="0" applyNumberFormat="1" applyFont="1" applyFill="1" applyBorder="1" applyAlignment="1">
      <alignment vertical="center"/>
    </xf>
    <xf numFmtId="4" fontId="12" fillId="4" borderId="4" xfId="0" applyNumberFormat="1" applyFont="1" applyFill="1" applyBorder="1" applyAlignment="1">
      <alignment horizontal="right" vertical="center"/>
    </xf>
    <xf numFmtId="4" fontId="12" fillId="0" borderId="1" xfId="0" applyNumberFormat="1" applyFont="1" applyBorder="1"/>
    <xf numFmtId="4" fontId="14" fillId="4" borderId="4" xfId="0" applyNumberFormat="1" applyFont="1" applyFill="1" applyBorder="1" applyAlignment="1">
      <alignment horizontal="right" vertical="center"/>
    </xf>
    <xf numFmtId="0" fontId="30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 wrapText="1"/>
    </xf>
    <xf numFmtId="4" fontId="30" fillId="2" borderId="1" xfId="0" applyNumberFormat="1" applyFont="1" applyFill="1" applyBorder="1" applyAlignment="1">
      <alignment vertical="center"/>
    </xf>
    <xf numFmtId="4" fontId="11" fillId="4" borderId="4" xfId="0" applyNumberFormat="1" applyFont="1" applyFill="1" applyBorder="1" applyAlignment="1">
      <alignment horizontal="right" vertical="center"/>
    </xf>
    <xf numFmtId="4" fontId="11" fillId="0" borderId="1" xfId="0" applyNumberFormat="1" applyFont="1" applyBorder="1"/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vertical="center" wrapText="1"/>
    </xf>
    <xf numFmtId="4" fontId="29" fillId="2" borderId="0" xfId="0" applyNumberFormat="1" applyFont="1" applyFill="1" applyAlignment="1">
      <alignment vertical="center"/>
    </xf>
    <xf numFmtId="4" fontId="12" fillId="4" borderId="1" xfId="0" applyNumberFormat="1" applyFont="1" applyFill="1" applyBorder="1" applyAlignment="1">
      <alignment horizontal="right" vertical="center"/>
    </xf>
    <xf numFmtId="0" fontId="32" fillId="2" borderId="1" xfId="0" applyFont="1" applyFill="1" applyBorder="1" applyAlignment="1">
      <alignment horizontal="left" vertical="center"/>
    </xf>
    <xf numFmtId="4" fontId="28" fillId="2" borderId="1" xfId="0" applyNumberFormat="1" applyFont="1" applyFill="1" applyBorder="1" applyAlignment="1">
      <alignment vertical="center"/>
    </xf>
    <xf numFmtId="0" fontId="29" fillId="2" borderId="1" xfId="0" applyFont="1" applyFill="1" applyBorder="1" applyAlignment="1">
      <alignment horizontal="right" vertical="center"/>
    </xf>
    <xf numFmtId="0" fontId="29" fillId="2" borderId="1" xfId="0" applyFont="1" applyFill="1" applyBorder="1" applyAlignment="1">
      <alignment horizontal="left" vertical="center"/>
    </xf>
    <xf numFmtId="3" fontId="12" fillId="0" borderId="1" xfId="0" applyNumberFormat="1" applyFont="1" applyBorder="1"/>
    <xf numFmtId="1" fontId="12" fillId="0" borderId="1" xfId="0" applyNumberFormat="1" applyFont="1" applyBorder="1"/>
    <xf numFmtId="1" fontId="11" fillId="0" borderId="1" xfId="0" applyNumberFormat="1" applyFont="1" applyBorder="1"/>
    <xf numFmtId="4" fontId="11" fillId="4" borderId="1" xfId="0" applyNumberFormat="1" applyFont="1" applyFill="1" applyBorder="1" applyAlignment="1">
      <alignment horizontal="right" vertical="center"/>
    </xf>
    <xf numFmtId="4" fontId="15" fillId="4" borderId="4" xfId="0" applyNumberFormat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horizontal="left" vertical="top"/>
    </xf>
    <xf numFmtId="4" fontId="11" fillId="4" borderId="1" xfId="0" applyNumberFormat="1" applyFont="1" applyFill="1" applyBorder="1" applyAlignment="1">
      <alignment horizontal="right"/>
    </xf>
    <xf numFmtId="4" fontId="11" fillId="4" borderId="4" xfId="0" applyNumberFormat="1" applyFont="1" applyFill="1" applyBorder="1" applyAlignment="1">
      <alignment horizontal="right"/>
    </xf>
    <xf numFmtId="0" fontId="11" fillId="4" borderId="0" xfId="0" applyFont="1" applyFill="1"/>
    <xf numFmtId="0" fontId="30" fillId="2" borderId="0" xfId="0" applyFont="1" applyFill="1" applyAlignment="1">
      <alignment horizontal="left"/>
    </xf>
    <xf numFmtId="0" fontId="29" fillId="2" borderId="0" xfId="0" applyFont="1" applyFill="1" applyAlignment="1">
      <alignment horizontal="left"/>
    </xf>
    <xf numFmtId="2" fontId="29" fillId="2" borderId="0" xfId="0" applyNumberFormat="1" applyFont="1" applyFill="1" applyAlignment="1">
      <alignment horizontal="left"/>
    </xf>
    <xf numFmtId="0" fontId="29" fillId="0" borderId="0" xfId="0" applyFont="1"/>
    <xf numFmtId="0" fontId="30" fillId="0" borderId="0" xfId="0" applyFont="1" applyAlignment="1">
      <alignment horizontal="center"/>
    </xf>
    <xf numFmtId="2" fontId="29" fillId="0" borderId="0" xfId="0" applyNumberFormat="1" applyFont="1"/>
    <xf numFmtId="2" fontId="12" fillId="0" borderId="0" xfId="0" applyNumberFormat="1" applyFont="1"/>
    <xf numFmtId="0" fontId="29" fillId="2" borderId="1" xfId="0" applyFont="1" applyFill="1" applyBorder="1" applyAlignment="1">
      <alignment horizontal="left" vertical="top" wrapText="1"/>
    </xf>
    <xf numFmtId="0" fontId="25" fillId="4" borderId="1" xfId="0" applyFont="1" applyFill="1" applyBorder="1" applyAlignment="1">
      <alignment vertical="top"/>
    </xf>
    <xf numFmtId="164" fontId="25" fillId="0" borderId="1" xfId="0" applyNumberFormat="1" applyFont="1" applyFill="1" applyBorder="1" applyAlignment="1">
      <alignment horizontal="right" vertical="top"/>
    </xf>
    <xf numFmtId="1" fontId="25" fillId="0" borderId="1" xfId="0" applyNumberFormat="1" applyFont="1" applyBorder="1" applyAlignment="1">
      <alignment horizontal="right" vertical="top"/>
    </xf>
    <xf numFmtId="0" fontId="33" fillId="0" borderId="1" xfId="0" applyFont="1" applyBorder="1" applyAlignment="1">
      <alignment horizontal="right" vertical="top"/>
    </xf>
    <xf numFmtId="0" fontId="33" fillId="0" borderId="1" xfId="0" applyFont="1" applyBorder="1" applyAlignment="1">
      <alignment horizontal="right" vertical="top" wrapText="1"/>
    </xf>
    <xf numFmtId="3" fontId="25" fillId="8" borderId="1" xfId="0" applyNumberFormat="1" applyFont="1" applyFill="1" applyBorder="1" applyAlignment="1">
      <alignment horizontal="right" vertical="top"/>
    </xf>
    <xf numFmtId="4" fontId="25" fillId="0" borderId="1" xfId="0" applyNumberFormat="1" applyFont="1" applyBorder="1" applyAlignment="1">
      <alignment horizontal="right" vertical="top"/>
    </xf>
    <xf numFmtId="4" fontId="25" fillId="4" borderId="1" xfId="0" applyNumberFormat="1" applyFont="1" applyFill="1" applyBorder="1" applyAlignment="1">
      <alignment horizontal="right" vertical="top"/>
    </xf>
    <xf numFmtId="4" fontId="25" fillId="0" borderId="1" xfId="0" applyNumberFormat="1" applyFont="1" applyBorder="1"/>
    <xf numFmtId="4" fontId="25" fillId="4" borderId="1" xfId="0" applyNumberFormat="1" applyFont="1" applyFill="1" applyBorder="1" applyAlignment="1">
      <alignment vertical="top"/>
    </xf>
    <xf numFmtId="4" fontId="25" fillId="0" borderId="1" xfId="0" applyNumberFormat="1" applyFont="1" applyBorder="1" applyAlignment="1">
      <alignment vertical="top"/>
    </xf>
    <xf numFmtId="0" fontId="14" fillId="8" borderId="1" xfId="0" applyFont="1" applyFill="1" applyBorder="1" applyAlignment="1">
      <alignment wrapText="1"/>
    </xf>
    <xf numFmtId="164" fontId="14" fillId="8" borderId="1" xfId="0" applyNumberFormat="1" applyFont="1" applyFill="1" applyBorder="1" applyAlignment="1">
      <alignment vertical="top" wrapText="1"/>
    </xf>
    <xf numFmtId="0" fontId="25" fillId="4" borderId="4" xfId="0" applyFont="1" applyFill="1" applyBorder="1"/>
    <xf numFmtId="164" fontId="25" fillId="0" borderId="4" xfId="0" applyNumberFormat="1" applyFont="1" applyBorder="1" applyAlignment="1">
      <alignment vertical="top" wrapText="1"/>
    </xf>
    <xf numFmtId="0" fontId="14" fillId="8" borderId="4" xfId="0" applyFont="1" applyFill="1" applyBorder="1"/>
    <xf numFmtId="0" fontId="24" fillId="8" borderId="1" xfId="0" applyFont="1" applyFill="1" applyBorder="1" applyAlignment="1">
      <alignment vertical="top" wrapText="1"/>
    </xf>
    <xf numFmtId="164" fontId="14" fillId="8" borderId="1" xfId="0" applyNumberFormat="1" applyFont="1" applyFill="1" applyBorder="1"/>
    <xf numFmtId="0" fontId="3" fillId="8" borderId="1" xfId="13" applyFont="1" applyFill="1" applyBorder="1" applyAlignment="1">
      <alignment horizontal="center"/>
    </xf>
    <xf numFmtId="43" fontId="15" fillId="8" borderId="1" xfId="1" applyNumberFormat="1" applyFont="1" applyFill="1" applyBorder="1"/>
    <xf numFmtId="43" fontId="14" fillId="8" borderId="4" xfId="1" applyNumberFormat="1" applyFont="1" applyFill="1" applyBorder="1"/>
    <xf numFmtId="3" fontId="25" fillId="4" borderId="1" xfId="0" applyNumberFormat="1" applyFont="1" applyFill="1" applyBorder="1" applyAlignment="1">
      <alignment vertical="top"/>
    </xf>
    <xf numFmtId="43" fontId="25" fillId="0" borderId="1" xfId="0" applyNumberFormat="1" applyFont="1" applyBorder="1" applyAlignment="1">
      <alignment vertical="top"/>
    </xf>
    <xf numFmtId="0" fontId="25" fillId="0" borderId="1" xfId="14" applyFont="1" applyBorder="1" applyAlignment="1">
      <alignment horizontal="center"/>
    </xf>
    <xf numFmtId="0" fontId="25" fillId="4" borderId="0" xfId="0" applyFont="1" applyFill="1" applyAlignment="1">
      <alignment vertical="top"/>
    </xf>
    <xf numFmtId="0" fontId="25" fillId="8" borderId="1" xfId="0" applyFont="1" applyFill="1" applyBorder="1" applyAlignment="1">
      <alignment vertical="top"/>
    </xf>
    <xf numFmtId="4" fontId="25" fillId="0" borderId="1" xfId="0" applyNumberFormat="1" applyFont="1" applyBorder="1" applyAlignment="1">
      <alignment vertical="top" wrapText="1"/>
    </xf>
    <xf numFmtId="4" fontId="29" fillId="0" borderId="0" xfId="0" applyNumberFormat="1" applyFont="1"/>
    <xf numFmtId="171" fontId="15" fillId="12" borderId="1" xfId="1" applyNumberFormat="1" applyFont="1" applyFill="1" applyBorder="1" applyAlignment="1">
      <alignment vertical="top"/>
    </xf>
    <xf numFmtId="0" fontId="15" fillId="0" borderId="0" xfId="0" applyFont="1" applyAlignment="1">
      <alignment horizontal="left" vertical="top"/>
    </xf>
    <xf numFmtId="0" fontId="15" fillId="0" borderId="11" xfId="0" applyFont="1" applyBorder="1" applyAlignment="1">
      <alignment horizontal="left" vertical="top" wrapText="1"/>
    </xf>
    <xf numFmtId="0" fontId="25" fillId="0" borderId="1" xfId="10" applyFont="1" applyBorder="1" applyAlignment="1">
      <alignment horizontal="center"/>
    </xf>
    <xf numFmtId="0" fontId="14" fillId="0" borderId="4" xfId="0" applyFont="1" applyFill="1" applyBorder="1"/>
    <xf numFmtId="4" fontId="14" fillId="0" borderId="1" xfId="0" applyNumberFormat="1" applyFont="1" applyFill="1" applyBorder="1" applyAlignment="1">
      <alignment horizontal="right"/>
    </xf>
    <xf numFmtId="43" fontId="14" fillId="0" borderId="1" xfId="1" applyNumberFormat="1" applyFont="1" applyFill="1" applyBorder="1" applyAlignment="1">
      <alignment horizontal="right" vertical="top"/>
    </xf>
    <xf numFmtId="43" fontId="14" fillId="0" borderId="1" xfId="0" applyNumberFormat="1" applyFont="1" applyFill="1" applyBorder="1" applyAlignment="1">
      <alignment vertical="top"/>
    </xf>
    <xf numFmtId="164" fontId="36" fillId="8" borderId="1" xfId="0" applyNumberFormat="1" applyFont="1" applyFill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 vertical="top"/>
    </xf>
    <xf numFmtId="4" fontId="14" fillId="12" borderId="1" xfId="0" applyNumberFormat="1" applyFont="1" applyFill="1" applyBorder="1" applyAlignment="1">
      <alignment vertical="top"/>
    </xf>
    <xf numFmtId="4" fontId="15" fillId="0" borderId="4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/>
    <xf numFmtId="4" fontId="25" fillId="0" borderId="0" xfId="0" applyNumberFormat="1" applyFont="1" applyFill="1"/>
    <xf numFmtId="4" fontId="14" fillId="4" borderId="1" xfId="0" applyNumberFormat="1" applyFont="1" applyFill="1" applyBorder="1" applyAlignment="1">
      <alignment horizontal="left"/>
    </xf>
    <xf numFmtId="1" fontId="14" fillId="4" borderId="1" xfId="0" applyNumberFormat="1" applyFont="1" applyFill="1" applyBorder="1" applyAlignment="1">
      <alignment horizontal="right"/>
    </xf>
    <xf numFmtId="4" fontId="14" fillId="4" borderId="1" xfId="0" applyNumberFormat="1" applyFont="1" applyFill="1" applyBorder="1" applyAlignment="1">
      <alignment horizontal="left" wrapText="1"/>
    </xf>
    <xf numFmtId="4" fontId="14" fillId="4" borderId="4" xfId="0" applyNumberFormat="1" applyFont="1" applyFill="1" applyBorder="1" applyAlignment="1">
      <alignment vertical="top"/>
    </xf>
    <xf numFmtId="4" fontId="14" fillId="4" borderId="0" xfId="0" applyNumberFormat="1" applyFont="1" applyFill="1" applyAlignment="1">
      <alignment vertical="top"/>
    </xf>
    <xf numFmtId="0" fontId="15" fillId="4" borderId="4" xfId="0" applyFont="1" applyFill="1" applyBorder="1"/>
    <xf numFmtId="0" fontId="0" fillId="8" borderId="0" xfId="0" applyFill="1"/>
    <xf numFmtId="0" fontId="5" fillId="8" borderId="0" xfId="0" applyFont="1" applyFill="1"/>
    <xf numFmtId="170" fontId="14" fillId="0" borderId="1" xfId="0" applyNumberFormat="1" applyFont="1" applyBorder="1" applyAlignment="1">
      <alignment vertical="top"/>
    </xf>
    <xf numFmtId="3" fontId="14" fillId="0" borderId="0" xfId="0" applyNumberFormat="1" applyFont="1"/>
    <xf numFmtId="4" fontId="14" fillId="0" borderId="1" xfId="0" applyNumberFormat="1" applyFont="1" applyFill="1" applyBorder="1" applyAlignment="1">
      <alignment horizontal="right" vertical="top"/>
    </xf>
    <xf numFmtId="166" fontId="14" fillId="0" borderId="1" xfId="0" applyNumberFormat="1" applyFont="1" applyBorder="1" applyAlignment="1">
      <alignment horizontal="right" vertical="top"/>
    </xf>
    <xf numFmtId="0" fontId="0" fillId="13" borderId="0" xfId="0" applyFill="1"/>
    <xf numFmtId="0" fontId="0" fillId="0" borderId="1" xfId="0" applyBorder="1"/>
    <xf numFmtId="4" fontId="0" fillId="0" borderId="1" xfId="0" applyNumberFormat="1" applyBorder="1"/>
    <xf numFmtId="0" fontId="5" fillId="8" borderId="1" xfId="0" applyFont="1" applyFill="1" applyBorder="1"/>
    <xf numFmtId="4" fontId="5" fillId="8" borderId="1" xfId="0" applyNumberFormat="1" applyFont="1" applyFill="1" applyBorder="1"/>
    <xf numFmtId="2" fontId="0" fillId="0" borderId="1" xfId="0" applyNumberFormat="1" applyBorder="1"/>
    <xf numFmtId="3" fontId="0" fillId="0" borderId="1" xfId="0" applyNumberFormat="1" applyBorder="1"/>
    <xf numFmtId="0" fontId="0" fillId="8" borderId="1" xfId="0" applyFill="1" applyBorder="1"/>
    <xf numFmtId="2" fontId="0" fillId="8" borderId="1" xfId="0" applyNumberFormat="1" applyFill="1" applyBorder="1"/>
    <xf numFmtId="1" fontId="0" fillId="0" borderId="1" xfId="0" applyNumberFormat="1" applyBorder="1"/>
    <xf numFmtId="0" fontId="0" fillId="13" borderId="1" xfId="0" applyFill="1" applyBorder="1"/>
    <xf numFmtId="0" fontId="11" fillId="13" borderId="1" xfId="0" applyFont="1" applyFill="1" applyBorder="1"/>
    <xf numFmtId="2" fontId="11" fillId="13" borderId="1" xfId="0" applyNumberFormat="1" applyFont="1" applyFill="1" applyBorder="1"/>
    <xf numFmtId="0" fontId="5" fillId="0" borderId="1" xfId="0" applyFont="1" applyBorder="1" applyAlignment="1">
      <alignment horizontal="right" vertical="center"/>
    </xf>
    <xf numFmtId="0" fontId="5" fillId="0" borderId="0" xfId="0" applyFont="1"/>
    <xf numFmtId="4" fontId="5" fillId="0" borderId="1" xfId="0" applyNumberFormat="1" applyFont="1" applyBorder="1"/>
    <xf numFmtId="2" fontId="5" fillId="0" borderId="0" xfId="0" applyNumberFormat="1" applyFont="1"/>
    <xf numFmtId="0" fontId="15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right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/>
    </xf>
    <xf numFmtId="4" fontId="37" fillId="2" borderId="1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9" fillId="2" borderId="7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4" fontId="15" fillId="0" borderId="4" xfId="0" applyNumberFormat="1" applyFont="1" applyBorder="1" applyAlignment="1">
      <alignment horizontal="center" vertical="top"/>
    </xf>
    <xf numFmtId="4" fontId="15" fillId="0" borderId="7" xfId="0" applyNumberFormat="1" applyFont="1" applyBorder="1" applyAlignment="1">
      <alignment horizontal="center" vertical="top"/>
    </xf>
    <xf numFmtId="4" fontId="15" fillId="0" borderId="5" xfId="0" applyNumberFormat="1" applyFont="1" applyBorder="1" applyAlignment="1">
      <alignment horizontal="center" vertical="top"/>
    </xf>
    <xf numFmtId="4" fontId="15" fillId="0" borderId="1" xfId="0" applyNumberFormat="1" applyFont="1" applyBorder="1" applyAlignment="1">
      <alignment horizontal="center" vertical="top"/>
    </xf>
    <xf numFmtId="4" fontId="15" fillId="16" borderId="4" xfId="0" applyNumberFormat="1" applyFont="1" applyFill="1" applyBorder="1" applyAlignment="1">
      <alignment horizontal="center" vertical="center" wrapText="1"/>
    </xf>
    <xf numFmtId="4" fontId="15" fillId="16" borderId="5" xfId="0" applyNumberFormat="1" applyFont="1" applyFill="1" applyBorder="1" applyAlignment="1">
      <alignment horizontal="center" vertical="center" wrapText="1"/>
    </xf>
    <xf numFmtId="4" fontId="15" fillId="16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12" borderId="0" xfId="0" applyFont="1" applyFill="1" applyAlignment="1">
      <alignment horizontal="center"/>
    </xf>
    <xf numFmtId="4" fontId="14" fillId="0" borderId="2" xfId="0" applyNumberFormat="1" applyFont="1" applyBorder="1" applyAlignment="1">
      <alignment horizontal="center" vertical="center" textRotation="90"/>
    </xf>
    <xf numFmtId="4" fontId="14" fillId="0" borderId="12" xfId="0" applyNumberFormat="1" applyFont="1" applyBorder="1" applyAlignment="1">
      <alignment horizontal="center" vertical="center" textRotation="90"/>
    </xf>
    <xf numFmtId="4" fontId="14" fillId="0" borderId="3" xfId="0" applyNumberFormat="1" applyFont="1" applyBorder="1" applyAlignment="1">
      <alignment horizontal="center" vertical="center" textRotation="90"/>
    </xf>
    <xf numFmtId="4" fontId="15" fillId="0" borderId="4" xfId="0" applyNumberFormat="1" applyFont="1" applyBorder="1" applyAlignment="1">
      <alignment horizontal="center" vertical="top" wrapText="1"/>
    </xf>
    <xf numFmtId="4" fontId="15" fillId="0" borderId="5" xfId="0" applyNumberFormat="1" applyFont="1" applyBorder="1" applyAlignment="1">
      <alignment horizontal="center" vertical="top" wrapText="1"/>
    </xf>
    <xf numFmtId="4" fontId="14" fillId="0" borderId="13" xfId="0" applyNumberFormat="1" applyFont="1" applyBorder="1" applyAlignment="1">
      <alignment horizontal="center" vertical="center" textRotation="90" wrapText="1"/>
    </xf>
    <xf numFmtId="4" fontId="14" fillId="0" borderId="0" xfId="0" applyNumberFormat="1" applyFont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" fontId="15" fillId="0" borderId="6" xfId="0" applyNumberFormat="1" applyFont="1" applyBorder="1" applyAlignment="1">
      <alignment wrapText="1"/>
    </xf>
    <xf numFmtId="4" fontId="15" fillId="0" borderId="13" xfId="0" applyNumberFormat="1" applyFont="1" applyBorder="1"/>
    <xf numFmtId="4" fontId="15" fillId="0" borderId="14" xfId="0" applyNumberFormat="1" applyFont="1" applyBorder="1"/>
    <xf numFmtId="4" fontId="15" fillId="0" borderId="8" xfId="0" applyNumberFormat="1" applyFont="1" applyBorder="1"/>
    <xf numFmtId="4" fontId="15" fillId="0" borderId="9" xfId="0" applyNumberFormat="1" applyFont="1" applyBorder="1"/>
    <xf numFmtId="4" fontId="15" fillId="0" borderId="10" xfId="0" applyNumberFormat="1" applyFont="1" applyBorder="1"/>
    <xf numFmtId="4" fontId="15" fillId="0" borderId="6" xfId="0" applyNumberFormat="1" applyFont="1" applyBorder="1"/>
    <xf numFmtId="4" fontId="15" fillId="0" borderId="1" xfId="0" applyNumberFormat="1" applyFont="1" applyBorder="1" applyAlignment="1">
      <alignment horizontal="center" vertical="center"/>
    </xf>
    <xf numFmtId="4" fontId="15" fillId="16" borderId="6" xfId="0" applyNumberFormat="1" applyFont="1" applyFill="1" applyBorder="1" applyAlignment="1">
      <alignment horizontal="center" vertical="center" wrapText="1"/>
    </xf>
    <xf numFmtId="4" fontId="15" fillId="16" borderId="14" xfId="0" applyNumberFormat="1" applyFont="1" applyFill="1" applyBorder="1" applyAlignment="1">
      <alignment horizontal="center" vertical="center" wrapText="1"/>
    </xf>
    <xf numFmtId="4" fontId="15" fillId="16" borderId="8" xfId="0" applyNumberFormat="1" applyFont="1" applyFill="1" applyBorder="1" applyAlignment="1">
      <alignment horizontal="center" vertical="center" wrapText="1"/>
    </xf>
    <xf numFmtId="4" fontId="15" fillId="16" borderId="10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top"/>
    </xf>
    <xf numFmtId="4" fontId="15" fillId="0" borderId="3" xfId="0" applyNumberFormat="1" applyFont="1" applyBorder="1" applyAlignment="1">
      <alignment horizontal="center" vertical="top"/>
    </xf>
    <xf numFmtId="4" fontId="15" fillId="0" borderId="2" xfId="0" applyNumberFormat="1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horizontal="center" vertical="top" wrapText="1"/>
    </xf>
    <xf numFmtId="4" fontId="15" fillId="0" borderId="4" xfId="0" applyNumberFormat="1" applyFont="1" applyBorder="1" applyAlignment="1">
      <alignment vertical="center" wrapText="1"/>
    </xf>
    <xf numFmtId="4" fontId="15" fillId="0" borderId="5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4" fontId="15" fillId="8" borderId="1" xfId="0" applyNumberFormat="1" applyFont="1" applyFill="1" applyBorder="1" applyAlignment="1">
      <alignment horizontal="right" vertical="center" wrapText="1"/>
    </xf>
    <xf numFmtId="4" fontId="15" fillId="16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/>
    </xf>
    <xf numFmtId="4" fontId="36" fillId="8" borderId="1" xfId="0" applyNumberFormat="1" applyFont="1" applyFill="1" applyBorder="1" applyAlignment="1">
      <alignment horizontal="right" vertical="center" wrapText="1"/>
    </xf>
    <xf numFmtId="10" fontId="11" fillId="0" borderId="4" xfId="0" applyNumberFormat="1" applyFont="1" applyBorder="1" applyAlignment="1">
      <alignment horizontal="center" vertical="top"/>
    </xf>
    <xf numFmtId="10" fontId="11" fillId="0" borderId="7" xfId="0" applyNumberFormat="1" applyFont="1" applyBorder="1" applyAlignment="1">
      <alignment horizontal="center" vertical="top"/>
    </xf>
    <xf numFmtId="10" fontId="11" fillId="0" borderId="5" xfId="0" applyNumberFormat="1" applyFont="1" applyBorder="1" applyAlignment="1">
      <alignment horizontal="center" vertical="top"/>
    </xf>
    <xf numFmtId="3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top"/>
    </xf>
    <xf numFmtId="4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5" fillId="16" borderId="1" xfId="0" applyFont="1" applyFill="1" applyBorder="1" applyAlignment="1">
      <alignment horizontal="right" vertical="top" wrapText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right" vertical="top" wrapText="1"/>
    </xf>
    <xf numFmtId="0" fontId="15" fillId="4" borderId="1" xfId="0" applyFont="1" applyFill="1" applyBorder="1" applyAlignment="1">
      <alignment horizontal="center" vertical="top"/>
    </xf>
    <xf numFmtId="10" fontId="15" fillId="0" borderId="4" xfId="0" applyNumberFormat="1" applyFont="1" applyBorder="1" applyAlignment="1">
      <alignment horizontal="center" vertical="top"/>
    </xf>
    <xf numFmtId="10" fontId="15" fillId="0" borderId="7" xfId="0" applyNumberFormat="1" applyFont="1" applyBorder="1" applyAlignment="1">
      <alignment horizontal="center" vertical="top"/>
    </xf>
    <xf numFmtId="10" fontId="15" fillId="0" borderId="5" xfId="0" applyNumberFormat="1" applyFont="1" applyBorder="1" applyAlignment="1">
      <alignment horizontal="center" vertical="top"/>
    </xf>
    <xf numFmtId="0" fontId="15" fillId="4" borderId="1" xfId="0" applyFont="1" applyFill="1" applyBorder="1" applyAlignment="1">
      <alignment horizontal="right" vertical="top"/>
    </xf>
    <xf numFmtId="0" fontId="14" fillId="4" borderId="2" xfId="0" applyFont="1" applyFill="1" applyBorder="1" applyAlignment="1">
      <alignment horizontal="center" vertical="top" textRotation="90" wrapText="1"/>
    </xf>
    <xf numFmtId="0" fontId="14" fillId="4" borderId="12" xfId="0" applyFont="1" applyFill="1" applyBorder="1" applyAlignment="1">
      <alignment horizontal="center" vertical="top" textRotation="90" wrapText="1"/>
    </xf>
    <xf numFmtId="0" fontId="14" fillId="4" borderId="3" xfId="0" applyFont="1" applyFill="1" applyBorder="1" applyAlignment="1">
      <alignment horizontal="center" vertical="top" textRotation="90" wrapText="1"/>
    </xf>
    <xf numFmtId="4" fontId="15" fillId="4" borderId="6" xfId="0" applyNumberFormat="1" applyFont="1" applyFill="1" applyBorder="1" applyAlignment="1">
      <alignment horizontal="right" vertical="top"/>
    </xf>
    <xf numFmtId="4" fontId="15" fillId="4" borderId="13" xfId="0" applyNumberFormat="1" applyFont="1" applyFill="1" applyBorder="1" applyAlignment="1">
      <alignment horizontal="right" vertical="top"/>
    </xf>
    <xf numFmtId="4" fontId="15" fillId="4" borderId="8" xfId="0" applyNumberFormat="1" applyFont="1" applyFill="1" applyBorder="1" applyAlignment="1">
      <alignment horizontal="right" vertical="top"/>
    </xf>
    <xf numFmtId="4" fontId="15" fillId="4" borderId="9" xfId="0" applyNumberFormat="1" applyFont="1" applyFill="1" applyBorder="1" applyAlignment="1">
      <alignment horizontal="right" vertical="top"/>
    </xf>
    <xf numFmtId="3" fontId="15" fillId="4" borderId="6" xfId="0" applyNumberFormat="1" applyFont="1" applyFill="1" applyBorder="1" applyAlignment="1">
      <alignment horizontal="right" vertical="top"/>
    </xf>
    <xf numFmtId="3" fontId="15" fillId="4" borderId="13" xfId="0" applyNumberFormat="1" applyFont="1" applyFill="1" applyBorder="1" applyAlignment="1">
      <alignment horizontal="right" vertical="top"/>
    </xf>
    <xf numFmtId="3" fontId="15" fillId="4" borderId="14" xfId="0" applyNumberFormat="1" applyFont="1" applyFill="1" applyBorder="1" applyAlignment="1">
      <alignment horizontal="right" vertical="top"/>
    </xf>
    <xf numFmtId="3" fontId="15" fillId="4" borderId="8" xfId="0" applyNumberFormat="1" applyFont="1" applyFill="1" applyBorder="1" applyAlignment="1">
      <alignment horizontal="right" vertical="top"/>
    </xf>
    <xf numFmtId="3" fontId="15" fillId="4" borderId="9" xfId="0" applyNumberFormat="1" applyFont="1" applyFill="1" applyBorder="1" applyAlignment="1">
      <alignment horizontal="right" vertical="top"/>
    </xf>
    <xf numFmtId="3" fontId="15" fillId="4" borderId="10" xfId="0" applyNumberFormat="1" applyFont="1" applyFill="1" applyBorder="1" applyAlignment="1">
      <alignment horizontal="right" vertical="top"/>
    </xf>
    <xf numFmtId="0" fontId="14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16" borderId="1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2" xfId="0" applyFont="1" applyBorder="1" applyAlignment="1">
      <alignment horizontal="right" vertical="top" wrapText="1"/>
    </xf>
    <xf numFmtId="0" fontId="15" fillId="0" borderId="3" xfId="0" applyFont="1" applyBorder="1" applyAlignment="1">
      <alignment horizontal="righ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4" fontId="15" fillId="0" borderId="6" xfId="0" applyNumberFormat="1" applyFont="1" applyBorder="1" applyAlignment="1">
      <alignment horizontal="left" vertical="top" wrapText="1"/>
    </xf>
    <xf numFmtId="4" fontId="15" fillId="0" borderId="13" xfId="0" applyNumberFormat="1" applyFont="1" applyBorder="1" applyAlignment="1">
      <alignment horizontal="left" vertical="top" wrapText="1"/>
    </xf>
    <xf numFmtId="4" fontId="15" fillId="0" borderId="14" xfId="0" applyNumberFormat="1" applyFont="1" applyBorder="1" applyAlignment="1">
      <alignment horizontal="left" vertical="top" wrapText="1"/>
    </xf>
    <xf numFmtId="4" fontId="15" fillId="0" borderId="8" xfId="0" applyNumberFormat="1" applyFont="1" applyBorder="1" applyAlignment="1">
      <alignment horizontal="left" vertical="top" wrapText="1"/>
    </xf>
    <xf numFmtId="4" fontId="15" fillId="0" borderId="9" xfId="0" applyNumberFormat="1" applyFont="1" applyBorder="1" applyAlignment="1">
      <alignment horizontal="left" vertical="top" wrapText="1"/>
    </xf>
    <xf numFmtId="4" fontId="15" fillId="0" borderId="10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right" vertical="top"/>
    </xf>
    <xf numFmtId="0" fontId="15" fillId="0" borderId="5" xfId="0" applyFont="1" applyBorder="1" applyAlignment="1">
      <alignment horizontal="right" vertical="top"/>
    </xf>
    <xf numFmtId="0" fontId="14" fillId="0" borderId="0" xfId="0" applyFont="1" applyAlignment="1">
      <alignment horizontal="center" vertical="top"/>
    </xf>
    <xf numFmtId="3" fontId="15" fillId="0" borderId="6" xfId="0" applyNumberFormat="1" applyFont="1" applyBorder="1" applyAlignment="1">
      <alignment horizontal="center" vertical="top" wrapText="1"/>
    </xf>
    <xf numFmtId="3" fontId="15" fillId="0" borderId="13" xfId="0" applyNumberFormat="1" applyFont="1" applyBorder="1" applyAlignment="1">
      <alignment horizontal="center" vertical="top" wrapText="1"/>
    </xf>
    <xf numFmtId="3" fontId="15" fillId="0" borderId="14" xfId="0" applyNumberFormat="1" applyFont="1" applyBorder="1" applyAlignment="1">
      <alignment horizontal="center" vertical="top" wrapText="1"/>
    </xf>
    <xf numFmtId="3" fontId="15" fillId="0" borderId="8" xfId="0" applyNumberFormat="1" applyFont="1" applyBorder="1" applyAlignment="1">
      <alignment horizontal="center" vertical="top" wrapText="1"/>
    </xf>
    <xf numFmtId="3" fontId="15" fillId="0" borderId="9" xfId="0" applyNumberFormat="1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right" vertical="top" wrapText="1"/>
    </xf>
    <xf numFmtId="4" fontId="14" fillId="0" borderId="3" xfId="0" applyNumberFormat="1" applyFont="1" applyBorder="1" applyAlignment="1">
      <alignment horizontal="right" vertical="top" wrapText="1"/>
    </xf>
    <xf numFmtId="0" fontId="15" fillId="0" borderId="4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9" borderId="4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16" borderId="4" xfId="0" applyFont="1" applyFill="1" applyBorder="1" applyAlignment="1">
      <alignment horizontal="center" vertical="top" wrapText="1"/>
    </xf>
    <xf numFmtId="0" fontId="15" fillId="16" borderId="6" xfId="0" applyFont="1" applyFill="1" applyBorder="1" applyAlignment="1">
      <alignment horizontal="center" vertical="top" wrapText="1"/>
    </xf>
    <xf numFmtId="0" fontId="15" fillId="16" borderId="14" xfId="0" applyFont="1" applyFill="1" applyBorder="1" applyAlignment="1">
      <alignment horizontal="center" vertical="top" wrapText="1"/>
    </xf>
    <xf numFmtId="0" fontId="15" fillId="16" borderId="8" xfId="0" applyFont="1" applyFill="1" applyBorder="1" applyAlignment="1">
      <alignment horizontal="center" vertical="top" wrapText="1"/>
    </xf>
    <xf numFmtId="0" fontId="15" fillId="16" borderId="10" xfId="0" applyFont="1" applyFill="1" applyBorder="1" applyAlignment="1">
      <alignment horizontal="center" vertical="top" wrapText="1"/>
    </xf>
    <xf numFmtId="4" fontId="15" fillId="0" borderId="6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2" fillId="16" borderId="1" xfId="0" applyFont="1" applyFill="1" applyBorder="1" applyAlignment="1">
      <alignment horizontal="center" vertical="top" wrapText="1"/>
    </xf>
    <xf numFmtId="0" fontId="2" fillId="16" borderId="4" xfId="0" applyFont="1" applyFill="1" applyBorder="1" applyAlignment="1">
      <alignment horizontal="center" vertical="top" wrapText="1"/>
    </xf>
    <xf numFmtId="4" fontId="15" fillId="0" borderId="2" xfId="0" applyNumberFormat="1" applyFont="1" applyBorder="1" applyAlignment="1">
      <alignment horizontal="left" vertical="top" wrapText="1"/>
    </xf>
    <xf numFmtId="4" fontId="15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4" fontId="15" fillId="0" borderId="6" xfId="0" applyNumberFormat="1" applyFont="1" applyBorder="1" applyAlignment="1">
      <alignment horizontal="center" vertical="top"/>
    </xf>
    <xf numFmtId="4" fontId="15" fillId="0" borderId="13" xfId="0" applyNumberFormat="1" applyFont="1" applyBorder="1" applyAlignment="1">
      <alignment horizontal="center" vertical="top"/>
    </xf>
    <xf numFmtId="4" fontId="15" fillId="0" borderId="14" xfId="0" applyNumberFormat="1" applyFont="1" applyBorder="1" applyAlignment="1">
      <alignment horizontal="center" vertical="top"/>
    </xf>
    <xf numFmtId="4" fontId="15" fillId="0" borderId="8" xfId="0" applyNumberFormat="1" applyFont="1" applyBorder="1" applyAlignment="1">
      <alignment horizontal="center" vertical="top"/>
    </xf>
    <xf numFmtId="4" fontId="15" fillId="0" borderId="9" xfId="0" applyNumberFormat="1" applyFont="1" applyBorder="1" applyAlignment="1">
      <alignment horizontal="center" vertical="top"/>
    </xf>
    <xf numFmtId="4" fontId="15" fillId="0" borderId="10" xfId="0" applyNumberFormat="1" applyFont="1" applyBorder="1" applyAlignment="1">
      <alignment horizontal="center" vertical="top"/>
    </xf>
    <xf numFmtId="3" fontId="15" fillId="0" borderId="6" xfId="0" applyNumberFormat="1" applyFont="1" applyBorder="1" applyAlignment="1">
      <alignment horizontal="center" vertical="top"/>
    </xf>
    <xf numFmtId="3" fontId="15" fillId="0" borderId="13" xfId="0" applyNumberFormat="1" applyFont="1" applyBorder="1" applyAlignment="1">
      <alignment horizontal="center" vertical="top"/>
    </xf>
    <xf numFmtId="3" fontId="15" fillId="0" borderId="14" xfId="0" applyNumberFormat="1" applyFont="1" applyBorder="1" applyAlignment="1">
      <alignment horizontal="center" vertical="top"/>
    </xf>
    <xf numFmtId="3" fontId="15" fillId="0" borderId="8" xfId="0" applyNumberFormat="1" applyFont="1" applyBorder="1" applyAlignment="1">
      <alignment horizontal="center" vertical="top"/>
    </xf>
    <xf numFmtId="3" fontId="15" fillId="0" borderId="9" xfId="0" applyNumberFormat="1" applyFont="1" applyBorder="1" applyAlignment="1">
      <alignment horizontal="center" vertical="top"/>
    </xf>
    <xf numFmtId="3" fontId="15" fillId="0" borderId="10" xfId="0" applyNumberFormat="1" applyFont="1" applyBorder="1" applyAlignment="1">
      <alignment horizontal="center" vertical="top"/>
    </xf>
  </cellXfs>
  <cellStyles count="1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_COMFIN" xfId="4" xr:uid="{00000000-0005-0000-0000-000004000000}"/>
    <cellStyle name="Normal_DT_1_1" xfId="5" xr:uid="{00000000-0005-0000-0000-000005000000}"/>
    <cellStyle name="Normal_DT_1_2" xfId="6" xr:uid="{00000000-0005-0000-0000-000006000000}"/>
    <cellStyle name="Normal_DT_2_1" xfId="7" xr:uid="{00000000-0005-0000-0000-000007000000}"/>
    <cellStyle name="Normal_DT_2_2" xfId="8" xr:uid="{00000000-0005-0000-0000-000008000000}"/>
    <cellStyle name="Normal_DT_2_3" xfId="9" xr:uid="{00000000-0005-0000-0000-000009000000}"/>
    <cellStyle name="Normal_DT_3_1" xfId="10" xr:uid="{00000000-0005-0000-0000-00000A000000}"/>
    <cellStyle name="Normal_DT_3_2" xfId="11" xr:uid="{00000000-0005-0000-0000-00000B000000}"/>
    <cellStyle name="Normal_DT_4_1" xfId="12" xr:uid="{00000000-0005-0000-0000-00000C000000}"/>
    <cellStyle name="Normal_DT_4_2" xfId="13" xr:uid="{00000000-0005-0000-0000-00000D000000}"/>
    <cellStyle name="Normal_DT_4_3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8749-4D39-4406-8488-EC072C538D82}">
  <dimension ref="B2:H33"/>
  <sheetViews>
    <sheetView topLeftCell="A19" workbookViewId="0">
      <selection activeCell="E33" sqref="E33"/>
    </sheetView>
  </sheetViews>
  <sheetFormatPr defaultRowHeight="15" x14ac:dyDescent="0.25"/>
  <cols>
    <col min="2" max="2" width="6.85546875" customWidth="1"/>
    <col min="3" max="3" width="35.28515625" bestFit="1" customWidth="1"/>
    <col min="4" max="4" width="15.140625" customWidth="1"/>
    <col min="5" max="5" width="15.42578125" customWidth="1"/>
    <col min="6" max="6" width="14.5703125" customWidth="1"/>
    <col min="7" max="7" width="14.7109375" customWidth="1"/>
    <col min="8" max="8" width="15.7109375" style="819" customWidth="1"/>
  </cols>
  <sheetData>
    <row r="2" spans="2:8" s="819" customFormat="1" x14ac:dyDescent="0.25">
      <c r="B2" s="818" t="s">
        <v>904</v>
      </c>
      <c r="C2" s="110" t="s">
        <v>14</v>
      </c>
      <c r="D2" s="110" t="s">
        <v>7</v>
      </c>
      <c r="E2" s="110" t="s">
        <v>8</v>
      </c>
      <c r="F2" s="110" t="s">
        <v>9</v>
      </c>
      <c r="G2" s="110" t="s">
        <v>10</v>
      </c>
      <c r="H2" s="110" t="s">
        <v>18</v>
      </c>
    </row>
    <row r="3" spans="2:8" x14ac:dyDescent="0.25">
      <c r="B3" s="806">
        <v>1.1000000000000001</v>
      </c>
      <c r="C3" s="807" t="str">
        <f>'1.1'!C9</f>
        <v>Community Institutions Development</v>
      </c>
      <c r="D3" s="807">
        <f>'1.1'!V72</f>
        <v>33937825</v>
      </c>
      <c r="E3" s="807">
        <f>'1.1'!W72</f>
        <v>44911562.5</v>
      </c>
      <c r="F3" s="807">
        <f>'1.1'!X72</f>
        <v>52227387.5</v>
      </c>
      <c r="G3" s="807">
        <f>'1.1'!Y72</f>
        <v>48569475</v>
      </c>
      <c r="H3" s="820">
        <f>SUM(D3:G3)</f>
        <v>179646250</v>
      </c>
    </row>
    <row r="4" spans="2:8" x14ac:dyDescent="0.25">
      <c r="B4" s="806">
        <v>1.2</v>
      </c>
      <c r="C4" s="807" t="str">
        <f>'1.2 '!C9</f>
        <v>Stregthening SHGs and Rural Finance</v>
      </c>
      <c r="D4" s="807">
        <f>'1.2 '!V74</f>
        <v>5301760</v>
      </c>
      <c r="E4" s="807">
        <f>'1.2 '!W74</f>
        <v>13433400</v>
      </c>
      <c r="F4" s="807">
        <f>'1.2 '!X74</f>
        <v>18806760</v>
      </c>
      <c r="G4" s="807">
        <f>'1.2 '!Y74</f>
        <v>16120080</v>
      </c>
      <c r="H4" s="820">
        <f>SUM(D4:G4)</f>
        <v>53662000</v>
      </c>
    </row>
    <row r="5" spans="2:8" s="800" customFormat="1" x14ac:dyDescent="0.25">
      <c r="B5" s="808"/>
      <c r="C5" s="808" t="s">
        <v>902</v>
      </c>
      <c r="D5" s="809">
        <f>SUM(D3:D4)</f>
        <v>39239585</v>
      </c>
      <c r="E5" s="809">
        <f t="shared" ref="E5:H5" si="0">SUM(E3:E4)</f>
        <v>58344962.5</v>
      </c>
      <c r="F5" s="809">
        <f t="shared" si="0"/>
        <v>71034147.5</v>
      </c>
      <c r="G5" s="809">
        <f t="shared" si="0"/>
        <v>64689555</v>
      </c>
      <c r="H5" s="809">
        <f t="shared" si="0"/>
        <v>233308250</v>
      </c>
    </row>
    <row r="6" spans="2:8" x14ac:dyDescent="0.25">
      <c r="B6" s="806">
        <v>2.1</v>
      </c>
      <c r="C6" s="806" t="str">
        <f>'2.1'!D10</f>
        <v>Natural Resource Management</v>
      </c>
      <c r="D6" s="810">
        <f>'2.1'!W136</f>
        <v>128185170</v>
      </c>
      <c r="E6" s="810">
        <f>'2.1'!X136</f>
        <v>198705170</v>
      </c>
      <c r="F6" s="810">
        <f>'2.1'!Y136</f>
        <v>111000175</v>
      </c>
      <c r="G6" s="810">
        <f>'2.1'!Z136-5966300-1700000</f>
        <v>138956385</v>
      </c>
      <c r="H6" s="820">
        <f>SUM(D6:G6)</f>
        <v>576846900</v>
      </c>
    </row>
    <row r="7" spans="2:8" x14ac:dyDescent="0.25">
      <c r="B7" s="806">
        <v>2.2000000000000002</v>
      </c>
      <c r="C7" s="806" t="str">
        <f>'2.2'!C5:Q5</f>
        <v>Land &amp; Water Resources Development</v>
      </c>
      <c r="D7" s="811">
        <f>'2.2'!V35</f>
        <v>0</v>
      </c>
      <c r="E7" s="811">
        <f>'2.2'!W35</f>
        <v>26438000</v>
      </c>
      <c r="F7" s="811">
        <f>'2.2'!X35</f>
        <v>4525000</v>
      </c>
      <c r="G7" s="811">
        <f>'2.2'!Y35</f>
        <v>2400000</v>
      </c>
      <c r="H7" s="820">
        <f t="shared" ref="H7:H16" si="1">SUM(D7:G7)</f>
        <v>33363000</v>
      </c>
    </row>
    <row r="8" spans="2:8" x14ac:dyDescent="0.25">
      <c r="B8" s="806">
        <v>2.2999999999999998</v>
      </c>
      <c r="C8" s="806" t="str">
        <f>'2.3'!C9</f>
        <v>Livelihoods Improvement</v>
      </c>
      <c r="D8" s="811">
        <f>'2.3'!V59</f>
        <v>16863900</v>
      </c>
      <c r="E8" s="811">
        <f>'2.3'!W59</f>
        <v>76658500</v>
      </c>
      <c r="F8" s="811">
        <f>'2.3'!X59</f>
        <v>85625800</v>
      </c>
      <c r="G8" s="811">
        <f>'2.3'!Y59</f>
        <v>162472200</v>
      </c>
      <c r="H8" s="820">
        <f t="shared" si="1"/>
        <v>341620400</v>
      </c>
    </row>
    <row r="9" spans="2:8" s="799" customFormat="1" x14ac:dyDescent="0.25">
      <c r="B9" s="812"/>
      <c r="C9" s="808" t="s">
        <v>902</v>
      </c>
      <c r="D9" s="813">
        <f>SUM(D6:D8)</f>
        <v>145049070</v>
      </c>
      <c r="E9" s="813">
        <f t="shared" ref="E9:G9" si="2">SUM(E6:E8)</f>
        <v>301801670</v>
      </c>
      <c r="F9" s="813">
        <f t="shared" si="2"/>
        <v>201150975</v>
      </c>
      <c r="G9" s="813">
        <f t="shared" si="2"/>
        <v>303828585</v>
      </c>
      <c r="H9" s="809">
        <f t="shared" si="1"/>
        <v>951830300</v>
      </c>
    </row>
    <row r="10" spans="2:8" x14ac:dyDescent="0.25">
      <c r="B10" s="806">
        <v>3.1</v>
      </c>
      <c r="C10" s="806" t="str">
        <f>'3.1 '!D9</f>
        <v>Community Infrastructure</v>
      </c>
      <c r="D10" s="807">
        <f>'3.1 '!W53</f>
        <v>42415400</v>
      </c>
      <c r="E10" s="807">
        <f>'3.1 '!X53</f>
        <v>34145400</v>
      </c>
      <c r="F10" s="807">
        <f>'3.1 '!Y53</f>
        <v>172828500</v>
      </c>
      <c r="G10" s="807">
        <f>'3.1 '!Z53</f>
        <v>125344700</v>
      </c>
      <c r="H10" s="820">
        <f t="shared" si="1"/>
        <v>374734000</v>
      </c>
    </row>
    <row r="11" spans="2:8" x14ac:dyDescent="0.25">
      <c r="B11" s="806">
        <v>3.2</v>
      </c>
      <c r="C11" s="806" t="str">
        <f>'3.2 '!C10</f>
        <v>Drudgery Reduction</v>
      </c>
      <c r="D11" s="814">
        <f>'3.2 '!V52</f>
        <v>45978000</v>
      </c>
      <c r="E11" s="814">
        <f>'3.2 '!W52</f>
        <v>45978000</v>
      </c>
      <c r="F11" s="814">
        <f>'3.2 '!X52</f>
        <v>68967000</v>
      </c>
      <c r="G11" s="814">
        <f>'3.2 '!Y52</f>
        <v>69267000</v>
      </c>
      <c r="H11" s="820">
        <f t="shared" si="1"/>
        <v>230190000</v>
      </c>
    </row>
    <row r="12" spans="2:8" s="799" customFormat="1" x14ac:dyDescent="0.25">
      <c r="B12" s="812"/>
      <c r="C12" s="808" t="s">
        <v>902</v>
      </c>
      <c r="D12" s="809">
        <f>SUM(D10:D11)</f>
        <v>88393400</v>
      </c>
      <c r="E12" s="809">
        <f t="shared" ref="E12:G12" si="3">SUM(E10:E11)</f>
        <v>80123400</v>
      </c>
      <c r="F12" s="809">
        <f t="shared" si="3"/>
        <v>241795500</v>
      </c>
      <c r="G12" s="809">
        <f t="shared" si="3"/>
        <v>194611700</v>
      </c>
      <c r="H12" s="809">
        <f t="shared" si="1"/>
        <v>604924000</v>
      </c>
    </row>
    <row r="13" spans="2:8" x14ac:dyDescent="0.25">
      <c r="B13" s="806">
        <v>4.0999999999999996</v>
      </c>
      <c r="C13" s="806" t="str">
        <f>'4.1 '!C10</f>
        <v xml:space="preserve"> Project Management Unit</v>
      </c>
      <c r="D13" s="807">
        <f>'4.1 '!V117</f>
        <v>16903750</v>
      </c>
      <c r="E13" s="807">
        <f>'4.1 '!W117</f>
        <v>14078750</v>
      </c>
      <c r="F13" s="807">
        <f>'4.1 '!X117</f>
        <v>9313750</v>
      </c>
      <c r="G13" s="807">
        <f>'4.1 '!Y117</f>
        <v>10993750</v>
      </c>
      <c r="H13" s="820">
        <f t="shared" si="1"/>
        <v>51290000</v>
      </c>
    </row>
    <row r="14" spans="2:8" x14ac:dyDescent="0.25">
      <c r="B14" s="806">
        <v>4.2</v>
      </c>
      <c r="C14" s="806" t="str">
        <f>'4.2'!C10</f>
        <v>Micro-Project Agency  Unit</v>
      </c>
      <c r="D14" s="807">
        <f>'4.2'!V112</f>
        <v>13987850</v>
      </c>
      <c r="E14" s="807">
        <f>'4.2'!W112</f>
        <v>23620350</v>
      </c>
      <c r="F14" s="807">
        <f>'4.2'!X112</f>
        <v>22325350</v>
      </c>
      <c r="G14" s="807">
        <f>'4.2'!Y112</f>
        <v>24025350</v>
      </c>
      <c r="H14" s="820">
        <f t="shared" si="1"/>
        <v>83958900</v>
      </c>
    </row>
    <row r="15" spans="2:8" x14ac:dyDescent="0.25">
      <c r="B15" s="806">
        <v>4.3</v>
      </c>
      <c r="C15" s="806" t="str">
        <f>'4.3 '!C10</f>
        <v>Monitoring and Evaluation and KM</v>
      </c>
      <c r="D15" s="807">
        <f>'4.3 '!V42</f>
        <v>1187500</v>
      </c>
      <c r="E15" s="807">
        <f>'4.3 '!W42</f>
        <v>287500</v>
      </c>
      <c r="F15" s="807">
        <f>'4.3 '!X42</f>
        <v>412500</v>
      </c>
      <c r="G15" s="807">
        <f>'4.3 '!Y42</f>
        <v>517500</v>
      </c>
      <c r="H15" s="820">
        <f t="shared" si="1"/>
        <v>2405000</v>
      </c>
    </row>
    <row r="16" spans="2:8" s="799" customFormat="1" x14ac:dyDescent="0.25">
      <c r="B16" s="812"/>
      <c r="C16" s="808" t="s">
        <v>902</v>
      </c>
      <c r="D16" s="813">
        <f>SUM(D13:D15)</f>
        <v>32079100</v>
      </c>
      <c r="E16" s="813">
        <f t="shared" ref="E16" si="4">SUM(E13:E15)</f>
        <v>37986600</v>
      </c>
      <c r="F16" s="813">
        <f t="shared" ref="F16" si="5">SUM(F13:F15)</f>
        <v>32051600</v>
      </c>
      <c r="G16" s="813">
        <f t="shared" ref="G16" si="6">SUM(G13:G15)</f>
        <v>35536600</v>
      </c>
      <c r="H16" s="809">
        <f t="shared" si="1"/>
        <v>137653900</v>
      </c>
    </row>
    <row r="17" spans="2:8" x14ac:dyDescent="0.25">
      <c r="B17" s="806"/>
      <c r="C17" s="806"/>
      <c r="D17" s="806"/>
      <c r="E17" s="806"/>
      <c r="F17" s="806"/>
      <c r="G17" s="806"/>
      <c r="H17" s="110"/>
    </row>
    <row r="18" spans="2:8" s="805" customFormat="1" ht="15.75" x14ac:dyDescent="0.25">
      <c r="B18" s="815"/>
      <c r="C18" s="816" t="s">
        <v>903</v>
      </c>
      <c r="D18" s="817">
        <f>D16+D12+D9+D5</f>
        <v>304761155</v>
      </c>
      <c r="E18" s="817">
        <f t="shared" ref="E18:H18" si="7">E16+E12+E9+E5</f>
        <v>478256632.5</v>
      </c>
      <c r="F18" s="817">
        <f t="shared" si="7"/>
        <v>546032222.5</v>
      </c>
      <c r="G18" s="817">
        <f t="shared" si="7"/>
        <v>598666440</v>
      </c>
      <c r="H18" s="817">
        <f t="shared" si="7"/>
        <v>1927716450</v>
      </c>
    </row>
    <row r="20" spans="2:8" x14ac:dyDescent="0.25">
      <c r="C20" t="s">
        <v>906</v>
      </c>
      <c r="D20" s="159">
        <f>'Sum, scheme'!M31</f>
        <v>69788100</v>
      </c>
    </row>
    <row r="21" spans="2:8" x14ac:dyDescent="0.25">
      <c r="C21" t="s">
        <v>493</v>
      </c>
      <c r="D21" s="159">
        <f>'Sum, scheme'!F31</f>
        <v>882755280</v>
      </c>
      <c r="H21" s="821">
        <f>H18-H32</f>
        <v>160590000</v>
      </c>
    </row>
    <row r="22" spans="2:8" x14ac:dyDescent="0.25">
      <c r="C22" t="s">
        <v>901</v>
      </c>
      <c r="D22" s="159">
        <f>'Sum, scheme'!E31+'Sum, scheme'!G31+'Sum, scheme'!H31+'Sum, scheme'!I31+'Sum, scheme'!N31</f>
        <v>814583070</v>
      </c>
    </row>
    <row r="23" spans="2:8" x14ac:dyDescent="0.25">
      <c r="D23" s="159"/>
    </row>
    <row r="24" spans="2:8" x14ac:dyDescent="0.25">
      <c r="C24" t="s">
        <v>908</v>
      </c>
      <c r="D24" s="159">
        <f>'Sum, scheme'!J31</f>
        <v>162290000</v>
      </c>
    </row>
    <row r="25" spans="2:8" x14ac:dyDescent="0.25">
      <c r="D25" s="159"/>
    </row>
    <row r="26" spans="2:8" x14ac:dyDescent="0.25">
      <c r="D26" s="159"/>
    </row>
    <row r="27" spans="2:8" x14ac:dyDescent="0.25">
      <c r="D27" s="159"/>
    </row>
    <row r="28" spans="2:8" x14ac:dyDescent="0.25">
      <c r="C28" t="s">
        <v>493</v>
      </c>
      <c r="D28">
        <f>D21*0.15</f>
        <v>132413292</v>
      </c>
      <c r="E28">
        <f>D21*0.4</f>
        <v>353102112</v>
      </c>
      <c r="F28">
        <f>D21*0.25</f>
        <v>220688820</v>
      </c>
      <c r="G28">
        <f>D21*0.2</f>
        <v>176551056</v>
      </c>
      <c r="H28" s="819">
        <f>SUM(D28:G28)</f>
        <v>882755280</v>
      </c>
    </row>
    <row r="29" spans="2:8" x14ac:dyDescent="0.25">
      <c r="C29" t="s">
        <v>907</v>
      </c>
      <c r="D29">
        <f>D22*0.15</f>
        <v>122187460.5</v>
      </c>
      <c r="E29">
        <f>D22*0.4</f>
        <v>325833228</v>
      </c>
      <c r="F29">
        <f>D22*0.25</f>
        <v>203645767.5</v>
      </c>
      <c r="G29">
        <f>D22*0.2</f>
        <v>162916614</v>
      </c>
      <c r="H29" s="819">
        <f t="shared" ref="H29:H31" si="8">SUM(D29:G29)</f>
        <v>814583070</v>
      </c>
    </row>
    <row r="30" spans="2:8" x14ac:dyDescent="0.25">
      <c r="C30" t="s">
        <v>906</v>
      </c>
      <c r="D30">
        <f>D20*0.15</f>
        <v>10468215</v>
      </c>
      <c r="E30">
        <f>D20*0.4</f>
        <v>27915240</v>
      </c>
      <c r="F30">
        <f>D20*0.25</f>
        <v>17447025</v>
      </c>
      <c r="G30">
        <f>D20*0.2</f>
        <v>13957620</v>
      </c>
      <c r="H30" s="819">
        <f t="shared" si="8"/>
        <v>69788100</v>
      </c>
    </row>
    <row r="31" spans="2:8" x14ac:dyDescent="0.25">
      <c r="C31" t="s">
        <v>908</v>
      </c>
      <c r="D31">
        <f>D24*0.15</f>
        <v>24343500</v>
      </c>
      <c r="E31">
        <f>D24*0.4</f>
        <v>64916000</v>
      </c>
      <c r="F31">
        <f>D24*0.25</f>
        <v>40572500</v>
      </c>
      <c r="G31">
        <f>D24*0.2</f>
        <v>32458000</v>
      </c>
      <c r="H31" s="819">
        <f t="shared" si="8"/>
        <v>162290000</v>
      </c>
    </row>
    <row r="32" spans="2:8" x14ac:dyDescent="0.25">
      <c r="H32" s="819">
        <f>SUM(H28:H30)</f>
        <v>1767126450</v>
      </c>
    </row>
    <row r="33" spans="8:8" x14ac:dyDescent="0.25">
      <c r="H33" s="819">
        <f>H32+H31</f>
        <v>1929416450</v>
      </c>
    </row>
  </sheetData>
  <pageMargins left="0" right="0.2" top="0.25" bottom="0.75" header="0.3" footer="0.3"/>
  <pageSetup paperSize="9" scale="8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FD60"/>
  <sheetViews>
    <sheetView zoomScale="81" zoomScaleNormal="81" workbookViewId="0">
      <pane xSplit="7" ySplit="9" topLeftCell="R43" activePane="bottomRight" state="frozen"/>
      <selection pane="topRight" activeCell="H1" sqref="H1"/>
      <selection pane="bottomLeft" activeCell="A10" sqref="A10"/>
      <selection pane="bottomRight" activeCell="S49" sqref="S49:U50"/>
    </sheetView>
  </sheetViews>
  <sheetFormatPr defaultColWidth="9.140625" defaultRowHeight="15.75" x14ac:dyDescent="0.25"/>
  <cols>
    <col min="1" max="1" width="12.28515625" style="39" hidden="1" customWidth="1"/>
    <col min="2" max="2" width="10.28515625" style="39" hidden="1" customWidth="1"/>
    <col min="3" max="3" width="31.5703125" style="202" customWidth="1"/>
    <col min="4" max="4" width="13.28515625" style="39" customWidth="1"/>
    <col min="5" max="5" width="17.28515625" style="39" bestFit="1" customWidth="1"/>
    <col min="6" max="6" width="7.7109375" style="40" customWidth="1"/>
    <col min="7" max="7" width="19" style="39" customWidth="1"/>
    <col min="8" max="8" width="15.140625" style="39" customWidth="1"/>
    <col min="9" max="9" width="16.85546875" style="39" customWidth="1"/>
    <col min="10" max="10" width="14.140625" style="39" customWidth="1"/>
    <col min="11" max="11" width="10.5703125" style="39" customWidth="1"/>
    <col min="12" max="12" width="17.85546875" style="39" customWidth="1"/>
    <col min="13" max="13" width="12.140625" style="39" customWidth="1"/>
    <col min="14" max="14" width="5.5703125" style="39" customWidth="1"/>
    <col min="15" max="15" width="7.140625" style="39" customWidth="1"/>
    <col min="16" max="16" width="15.140625" style="39" customWidth="1"/>
    <col min="17" max="17" width="8.140625" style="39" customWidth="1"/>
    <col min="18" max="18" width="8" style="39" customWidth="1"/>
    <col min="19" max="20" width="8.5703125" style="39" customWidth="1"/>
    <col min="21" max="21" width="9.85546875" style="39" customWidth="1"/>
    <col min="22" max="23" width="15.85546875" style="82" customWidth="1"/>
    <col min="24" max="25" width="17" style="82" customWidth="1"/>
    <col min="26" max="26" width="5.5703125" style="39" customWidth="1"/>
    <col min="27" max="27" width="15.85546875" style="82" customWidth="1"/>
    <col min="28" max="28" width="5.140625" style="39" customWidth="1"/>
    <col min="29" max="29" width="15.7109375" style="39" customWidth="1"/>
    <col min="30" max="30" width="7.140625" style="39" customWidth="1"/>
    <col min="31" max="31" width="14" style="39" customWidth="1"/>
    <col min="32" max="32" width="5.140625" style="39" customWidth="1"/>
    <col min="33" max="33" width="16.140625" style="39" customWidth="1"/>
    <col min="34" max="34" width="5.140625" style="39" customWidth="1"/>
    <col min="35" max="35" width="19.140625" style="39" customWidth="1"/>
    <col min="36" max="36" width="5.140625" style="39" customWidth="1"/>
    <col min="37" max="37" width="13.85546875" style="39" customWidth="1"/>
    <col min="38" max="38" width="7.85546875" style="39" customWidth="1"/>
    <col min="39" max="39" width="15.28515625" style="39" customWidth="1"/>
    <col min="40" max="40" width="5.140625" style="39" customWidth="1"/>
    <col min="41" max="41" width="14.140625" style="39" customWidth="1"/>
    <col min="42" max="42" width="9" style="39" customWidth="1"/>
    <col min="43" max="43" width="15.28515625" style="39" customWidth="1"/>
    <col min="44" max="44" width="13.140625" style="39" customWidth="1"/>
    <col min="45" max="45" width="14.140625" style="39" customWidth="1"/>
    <col min="46" max="46" width="6.7109375" style="39" customWidth="1"/>
    <col min="47" max="47" width="16.7109375" style="39" customWidth="1"/>
    <col min="48" max="48" width="7.28515625" style="39" customWidth="1"/>
    <col min="49" max="49" width="17.42578125" style="39" customWidth="1"/>
    <col min="50" max="50" width="8.7109375" style="39" customWidth="1"/>
    <col min="51" max="51" width="19.42578125" style="39" customWidth="1"/>
    <col min="52" max="52" width="5.140625" style="39" customWidth="1"/>
    <col min="53" max="53" width="15.140625" style="39" customWidth="1"/>
    <col min="54" max="54" width="5.140625" style="39" customWidth="1"/>
    <col min="55" max="55" width="16.5703125" style="39" customWidth="1"/>
    <col min="56" max="56" width="5.140625" style="39" customWidth="1"/>
    <col min="57" max="57" width="16.42578125" style="39" customWidth="1"/>
    <col min="58" max="58" width="5.5703125" style="39" customWidth="1"/>
    <col min="59" max="59" width="14.42578125" style="39" customWidth="1"/>
    <col min="60" max="60" width="5.140625" style="39" customWidth="1"/>
    <col min="61" max="61" width="13" style="39" customWidth="1"/>
    <col min="62" max="62" width="6.7109375" style="39" customWidth="1"/>
    <col min="63" max="63" width="18.85546875" style="39" customWidth="1"/>
    <col min="64" max="64" width="27.5703125" style="39" customWidth="1"/>
    <col min="65" max="65" width="9.140625" style="39" customWidth="1"/>
    <col min="66" max="66" width="17.28515625" style="39" bestFit="1" customWidth="1"/>
    <col min="67" max="67" width="9.140625" style="39" customWidth="1"/>
    <col min="68" max="68" width="15.7109375" style="39" customWidth="1"/>
    <col min="69" max="69" width="9.140625" style="39" customWidth="1"/>
    <col min="70" max="70" width="18.7109375" style="39" customWidth="1"/>
    <col min="71" max="73" width="9.140625" style="39" customWidth="1"/>
    <col min="74" max="74" width="20.42578125" style="39" customWidth="1"/>
    <col min="75" max="76" width="9.140625" style="39" customWidth="1"/>
    <col min="77" max="16384" width="9.140625" style="39"/>
  </cols>
  <sheetData>
    <row r="1" spans="1:74" hidden="1" x14ac:dyDescent="0.25">
      <c r="A1" s="872" t="s">
        <v>407</v>
      </c>
      <c r="B1" s="872"/>
      <c r="C1" s="874" t="s">
        <v>401</v>
      </c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67"/>
      <c r="S1" s="67"/>
      <c r="T1" s="67"/>
      <c r="U1" s="67"/>
    </row>
    <row r="2" spans="1:74" ht="20.100000000000001" hidden="1" customHeight="1" x14ac:dyDescent="0.25">
      <c r="A2" s="872" t="s">
        <v>403</v>
      </c>
      <c r="B2" s="872"/>
      <c r="C2" s="874" t="s">
        <v>402</v>
      </c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67"/>
      <c r="S2" s="67"/>
      <c r="T2" s="67"/>
      <c r="U2" s="67"/>
    </row>
    <row r="3" spans="1:74" ht="20.100000000000001" hidden="1" customHeight="1" x14ac:dyDescent="0.25">
      <c r="A3" s="872" t="s">
        <v>404</v>
      </c>
      <c r="B3" s="872"/>
      <c r="C3" s="874" t="s">
        <v>746</v>
      </c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67"/>
      <c r="S3" s="67"/>
      <c r="T3" s="67"/>
      <c r="U3" s="67"/>
      <c r="Z3" s="351" t="s">
        <v>781</v>
      </c>
      <c r="AA3" s="351">
        <v>8.34</v>
      </c>
      <c r="AB3" s="351"/>
      <c r="AC3" s="351">
        <v>2.85</v>
      </c>
      <c r="AD3" s="351"/>
      <c r="AE3" s="351">
        <v>8.3800000000000008</v>
      </c>
      <c r="AF3" s="351"/>
      <c r="AG3" s="351">
        <v>7.49</v>
      </c>
      <c r="AH3" s="351"/>
      <c r="AI3" s="351">
        <v>3.33</v>
      </c>
      <c r="AJ3" s="351"/>
      <c r="AK3" s="351">
        <v>6.64</v>
      </c>
      <c r="AL3" s="351"/>
      <c r="AM3" s="351">
        <v>3.67</v>
      </c>
      <c r="AN3" s="351"/>
      <c r="AO3" s="351">
        <v>5.0599999999999996</v>
      </c>
      <c r="AP3" s="351"/>
      <c r="AQ3" s="351">
        <v>5.94</v>
      </c>
      <c r="AR3" s="351"/>
      <c r="AS3" s="351">
        <v>6.85</v>
      </c>
      <c r="AT3" s="351"/>
      <c r="AU3" s="351">
        <v>7.45</v>
      </c>
      <c r="AV3" s="351"/>
      <c r="AW3" s="351">
        <v>5.13</v>
      </c>
      <c r="AX3" s="351"/>
      <c r="AY3" s="351">
        <v>4.8600000000000003</v>
      </c>
      <c r="AZ3" s="351"/>
      <c r="BA3" s="351">
        <v>5.79</v>
      </c>
      <c r="BB3" s="351"/>
      <c r="BC3" s="351">
        <v>5.3</v>
      </c>
      <c r="BD3" s="351"/>
      <c r="BE3" s="351">
        <v>3.47</v>
      </c>
      <c r="BF3" s="351"/>
      <c r="BG3" s="351">
        <v>9.42</v>
      </c>
      <c r="BH3" s="351"/>
      <c r="BI3" s="351"/>
      <c r="BJ3" s="351"/>
      <c r="BK3" s="351"/>
    </row>
    <row r="4" spans="1:74" ht="20.100000000000001" hidden="1" customHeight="1" x14ac:dyDescent="0.25">
      <c r="A4" s="872" t="s">
        <v>417</v>
      </c>
      <c r="B4" s="872"/>
      <c r="C4" s="874" t="s">
        <v>201</v>
      </c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67"/>
      <c r="S4" s="67"/>
      <c r="T4" s="67"/>
      <c r="U4" s="67"/>
      <c r="Z4" s="351" t="s">
        <v>779</v>
      </c>
      <c r="AA4" s="351">
        <v>48</v>
      </c>
      <c r="AB4" s="351"/>
      <c r="AC4" s="351">
        <v>23</v>
      </c>
      <c r="AD4" s="351"/>
      <c r="AE4" s="351">
        <v>80</v>
      </c>
      <c r="AF4" s="351"/>
      <c r="AG4" s="351">
        <v>105</v>
      </c>
      <c r="AH4" s="351"/>
      <c r="AI4" s="351">
        <v>43</v>
      </c>
      <c r="AJ4" s="351"/>
      <c r="AK4" s="351">
        <v>75</v>
      </c>
      <c r="AL4" s="351"/>
      <c r="AM4" s="351">
        <v>41</v>
      </c>
      <c r="AN4" s="351"/>
      <c r="AO4" s="351">
        <v>101</v>
      </c>
      <c r="AP4" s="351"/>
      <c r="AQ4" s="351">
        <v>8</v>
      </c>
      <c r="AR4" s="351"/>
      <c r="AS4" s="351">
        <v>33</v>
      </c>
      <c r="AT4" s="351"/>
      <c r="AU4" s="351">
        <v>53</v>
      </c>
      <c r="AV4" s="351"/>
      <c r="AW4" s="351">
        <v>52</v>
      </c>
      <c r="AX4" s="351"/>
      <c r="AY4" s="351">
        <v>76</v>
      </c>
      <c r="AZ4" s="351"/>
      <c r="BA4" s="351">
        <v>82</v>
      </c>
      <c r="BB4" s="351"/>
      <c r="BC4" s="351">
        <v>104</v>
      </c>
      <c r="BD4" s="351"/>
      <c r="BE4" s="351">
        <v>147</v>
      </c>
      <c r="BF4" s="351"/>
      <c r="BG4" s="351">
        <v>54</v>
      </c>
      <c r="BH4" s="351"/>
      <c r="BI4" s="351"/>
      <c r="BJ4" s="351"/>
      <c r="BK4" s="351"/>
    </row>
    <row r="5" spans="1:74" ht="20.100000000000001" hidden="1" customHeight="1" x14ac:dyDescent="0.25">
      <c r="A5" s="872" t="s">
        <v>416</v>
      </c>
      <c r="B5" s="872"/>
      <c r="C5" s="874" t="s">
        <v>415</v>
      </c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67"/>
      <c r="S5" s="67"/>
      <c r="T5" s="67"/>
      <c r="U5" s="67"/>
      <c r="Z5" s="351" t="s">
        <v>780</v>
      </c>
      <c r="AA5" s="442">
        <f>AA4/1125*100</f>
        <v>4.2666666666666666</v>
      </c>
      <c r="AB5" s="442">
        <f t="shared" ref="AB5:BG5" si="0">AB4/1125*100</f>
        <v>0</v>
      </c>
      <c r="AC5" s="442">
        <f t="shared" si="0"/>
        <v>2.0444444444444447</v>
      </c>
      <c r="AD5" s="442">
        <f t="shared" si="0"/>
        <v>0</v>
      </c>
      <c r="AE5" s="442">
        <f t="shared" si="0"/>
        <v>7.1111111111111107</v>
      </c>
      <c r="AF5" s="442">
        <f t="shared" si="0"/>
        <v>0</v>
      </c>
      <c r="AG5" s="442">
        <f t="shared" si="0"/>
        <v>9.3333333333333339</v>
      </c>
      <c r="AH5" s="442">
        <f t="shared" si="0"/>
        <v>0</v>
      </c>
      <c r="AI5" s="442">
        <f t="shared" si="0"/>
        <v>3.822222222222222</v>
      </c>
      <c r="AJ5" s="442">
        <f t="shared" si="0"/>
        <v>0</v>
      </c>
      <c r="AK5" s="442">
        <f t="shared" si="0"/>
        <v>6.666666666666667</v>
      </c>
      <c r="AL5" s="442">
        <f t="shared" si="0"/>
        <v>0</v>
      </c>
      <c r="AM5" s="442">
        <f t="shared" si="0"/>
        <v>3.6444444444444448</v>
      </c>
      <c r="AN5" s="442">
        <f t="shared" si="0"/>
        <v>0</v>
      </c>
      <c r="AO5" s="442">
        <f t="shared" si="0"/>
        <v>8.9777777777777779</v>
      </c>
      <c r="AP5" s="442">
        <f t="shared" si="0"/>
        <v>0</v>
      </c>
      <c r="AQ5" s="442">
        <f t="shared" si="0"/>
        <v>0.71111111111111114</v>
      </c>
      <c r="AR5" s="442">
        <f t="shared" si="0"/>
        <v>0</v>
      </c>
      <c r="AS5" s="442">
        <f t="shared" si="0"/>
        <v>2.9333333333333331</v>
      </c>
      <c r="AT5" s="442">
        <f t="shared" si="0"/>
        <v>0</v>
      </c>
      <c r="AU5" s="442">
        <f t="shared" si="0"/>
        <v>4.7111111111111112</v>
      </c>
      <c r="AV5" s="442">
        <f t="shared" si="0"/>
        <v>0</v>
      </c>
      <c r="AW5" s="442">
        <f t="shared" si="0"/>
        <v>4.6222222222222218</v>
      </c>
      <c r="AX5" s="442">
        <f t="shared" si="0"/>
        <v>0</v>
      </c>
      <c r="AY5" s="442">
        <f t="shared" si="0"/>
        <v>6.7555555555555546</v>
      </c>
      <c r="AZ5" s="442">
        <f t="shared" si="0"/>
        <v>0</v>
      </c>
      <c r="BA5" s="442">
        <f t="shared" si="0"/>
        <v>7.2888888888888896</v>
      </c>
      <c r="BB5" s="442">
        <f t="shared" si="0"/>
        <v>0</v>
      </c>
      <c r="BC5" s="442">
        <f t="shared" si="0"/>
        <v>9.2444444444444436</v>
      </c>
      <c r="BD5" s="442">
        <f t="shared" si="0"/>
        <v>0</v>
      </c>
      <c r="BE5" s="442">
        <f t="shared" si="0"/>
        <v>13.066666666666665</v>
      </c>
      <c r="BF5" s="442">
        <f t="shared" si="0"/>
        <v>0</v>
      </c>
      <c r="BG5" s="442">
        <f t="shared" si="0"/>
        <v>4.8</v>
      </c>
      <c r="BH5" s="351"/>
      <c r="BI5" s="351"/>
      <c r="BJ5" s="351"/>
      <c r="BK5" s="351"/>
    </row>
    <row r="6" spans="1:74" hidden="1" x14ac:dyDescent="0.25"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</row>
    <row r="7" spans="1:74" ht="15.75" customHeight="1" x14ac:dyDescent="0.25">
      <c r="A7" s="1016"/>
      <c r="B7" s="1017"/>
      <c r="C7" s="1017"/>
      <c r="D7" s="1018"/>
      <c r="E7" s="1019" t="s">
        <v>22</v>
      </c>
      <c r="F7" s="1020"/>
      <c r="G7" s="1021"/>
      <c r="H7" s="932" t="s">
        <v>400</v>
      </c>
      <c r="I7" s="933"/>
      <c r="J7" s="933"/>
      <c r="K7" s="933"/>
      <c r="L7" s="933"/>
      <c r="M7" s="933"/>
      <c r="N7" s="933"/>
      <c r="O7" s="933"/>
      <c r="P7" s="933"/>
      <c r="Q7" s="934"/>
      <c r="R7" s="1010" t="s">
        <v>66</v>
      </c>
      <c r="S7" s="1011"/>
      <c r="T7" s="1011"/>
      <c r="U7" s="1012"/>
      <c r="V7" s="1004" t="s">
        <v>6</v>
      </c>
      <c r="W7" s="1005"/>
      <c r="X7" s="1005"/>
      <c r="Y7" s="1006"/>
      <c r="Z7" s="1000" t="s">
        <v>432</v>
      </c>
      <c r="AA7" s="1001"/>
      <c r="AB7" s="1000" t="s">
        <v>433</v>
      </c>
      <c r="AC7" s="1001"/>
      <c r="AD7" s="956" t="s">
        <v>434</v>
      </c>
      <c r="AE7" s="956"/>
      <c r="AF7" s="956" t="s">
        <v>435</v>
      </c>
      <c r="AG7" s="956"/>
      <c r="AH7" s="956" t="s">
        <v>654</v>
      </c>
      <c r="AI7" s="956"/>
      <c r="AJ7" s="956" t="s">
        <v>437</v>
      </c>
      <c r="AK7" s="956"/>
      <c r="AL7" s="956" t="s">
        <v>438</v>
      </c>
      <c r="AM7" s="956"/>
      <c r="AN7" s="956" t="s">
        <v>439</v>
      </c>
      <c r="AO7" s="956"/>
      <c r="AP7" s="956" t="s">
        <v>440</v>
      </c>
      <c r="AQ7" s="956"/>
      <c r="AR7" s="956" t="s">
        <v>441</v>
      </c>
      <c r="AS7" s="956"/>
      <c r="AT7" s="956" t="s">
        <v>442</v>
      </c>
      <c r="AU7" s="956"/>
      <c r="AV7" s="956" t="s">
        <v>443</v>
      </c>
      <c r="AW7" s="956"/>
      <c r="AX7" s="956" t="s">
        <v>444</v>
      </c>
      <c r="AY7" s="956"/>
      <c r="AZ7" s="956" t="s">
        <v>445</v>
      </c>
      <c r="BA7" s="956"/>
      <c r="BB7" s="956" t="s">
        <v>446</v>
      </c>
      <c r="BC7" s="956"/>
      <c r="BD7" s="956" t="s">
        <v>447</v>
      </c>
      <c r="BE7" s="956"/>
      <c r="BF7" s="956" t="s">
        <v>448</v>
      </c>
      <c r="BG7" s="956"/>
      <c r="BH7" s="956" t="s">
        <v>449</v>
      </c>
      <c r="BI7" s="956"/>
      <c r="BJ7" s="956" t="s">
        <v>18</v>
      </c>
      <c r="BK7" s="999"/>
      <c r="BL7" s="864" t="s">
        <v>496</v>
      </c>
    </row>
    <row r="8" spans="1:74" s="106" customFormat="1" ht="29.25" customHeight="1" x14ac:dyDescent="0.25">
      <c r="A8" s="973" t="s">
        <v>14</v>
      </c>
      <c r="B8" s="973" t="s">
        <v>25</v>
      </c>
      <c r="C8" s="953" t="s">
        <v>12</v>
      </c>
      <c r="D8" s="953" t="s">
        <v>15</v>
      </c>
      <c r="E8" s="346" t="s">
        <v>23</v>
      </c>
      <c r="F8" s="105" t="s">
        <v>24</v>
      </c>
      <c r="G8" s="953" t="s">
        <v>63</v>
      </c>
      <c r="H8" s="118" t="s">
        <v>455</v>
      </c>
      <c r="I8" s="118" t="s">
        <v>456</v>
      </c>
      <c r="J8" s="118" t="s">
        <v>457</v>
      </c>
      <c r="K8" s="118" t="s">
        <v>458</v>
      </c>
      <c r="L8" s="118" t="s">
        <v>459</v>
      </c>
      <c r="M8" s="118" t="s">
        <v>460</v>
      </c>
      <c r="N8" s="118" t="s">
        <v>461</v>
      </c>
      <c r="O8" s="118" t="s">
        <v>462</v>
      </c>
      <c r="P8" s="118" t="s">
        <v>463</v>
      </c>
      <c r="Q8" s="118" t="s">
        <v>464</v>
      </c>
      <c r="R8" s="1013"/>
      <c r="S8" s="1014"/>
      <c r="T8" s="1014"/>
      <c r="U8" s="1015"/>
      <c r="V8" s="1007"/>
      <c r="W8" s="1008"/>
      <c r="X8" s="1008"/>
      <c r="Y8" s="1009"/>
      <c r="Z8" s="1002"/>
      <c r="AA8" s="1003"/>
      <c r="AB8" s="1002"/>
      <c r="AC8" s="1003"/>
      <c r="AD8" s="956" t="s">
        <v>50</v>
      </c>
      <c r="AE8" s="956"/>
      <c r="AF8" s="956" t="s">
        <v>51</v>
      </c>
      <c r="AG8" s="956"/>
      <c r="AH8" s="956" t="s">
        <v>52</v>
      </c>
      <c r="AI8" s="956"/>
      <c r="AJ8" s="956" t="s">
        <v>53</v>
      </c>
      <c r="AK8" s="956"/>
      <c r="AL8" s="956" t="s">
        <v>54</v>
      </c>
      <c r="AM8" s="956"/>
      <c r="AN8" s="956" t="s">
        <v>55</v>
      </c>
      <c r="AO8" s="956"/>
      <c r="AP8" s="956" t="s">
        <v>56</v>
      </c>
      <c r="AQ8" s="956"/>
      <c r="AR8" s="956" t="s">
        <v>57</v>
      </c>
      <c r="AS8" s="956"/>
      <c r="AT8" s="956" t="s">
        <v>58</v>
      </c>
      <c r="AU8" s="956"/>
      <c r="AV8" s="956" t="s">
        <v>59</v>
      </c>
      <c r="AW8" s="956"/>
      <c r="AX8" s="956" t="s">
        <v>60</v>
      </c>
      <c r="AY8" s="956"/>
      <c r="AZ8" s="956" t="s">
        <v>61</v>
      </c>
      <c r="BA8" s="956"/>
      <c r="BB8" s="956" t="s">
        <v>45</v>
      </c>
      <c r="BC8" s="956"/>
      <c r="BD8" s="956" t="s">
        <v>42</v>
      </c>
      <c r="BE8" s="956"/>
      <c r="BF8" s="956"/>
      <c r="BG8" s="956"/>
      <c r="BH8" s="956"/>
      <c r="BI8" s="956"/>
      <c r="BJ8" s="956"/>
      <c r="BK8" s="999"/>
      <c r="BL8" s="864"/>
      <c r="BN8" s="863" t="s">
        <v>494</v>
      </c>
      <c r="BO8" s="863"/>
      <c r="BP8" s="863"/>
      <c r="BQ8" s="863"/>
      <c r="BR8" s="863"/>
      <c r="BS8" s="863" t="s">
        <v>495</v>
      </c>
      <c r="BT8" s="863"/>
      <c r="BU8" s="863"/>
      <c r="BV8" s="864" t="s">
        <v>18</v>
      </c>
    </row>
    <row r="9" spans="1:74" s="106" customFormat="1" ht="45" customHeight="1" x14ac:dyDescent="0.25">
      <c r="A9" s="976"/>
      <c r="B9" s="976"/>
      <c r="C9" s="955"/>
      <c r="D9" s="955"/>
      <c r="E9" s="347"/>
      <c r="F9" s="107"/>
      <c r="G9" s="955"/>
      <c r="H9" s="302">
        <v>12.2</v>
      </c>
      <c r="I9" s="302">
        <v>80</v>
      </c>
      <c r="J9" s="302">
        <v>0</v>
      </c>
      <c r="K9" s="302">
        <v>0</v>
      </c>
      <c r="L9" s="302">
        <v>3.1</v>
      </c>
      <c r="M9" s="302">
        <v>0</v>
      </c>
      <c r="N9" s="152">
        <v>0</v>
      </c>
      <c r="O9" s="152">
        <v>0</v>
      </c>
      <c r="P9" s="152">
        <v>4.7</v>
      </c>
      <c r="Q9" s="152">
        <v>0</v>
      </c>
      <c r="R9" s="108" t="s">
        <v>7</v>
      </c>
      <c r="S9" s="108" t="s">
        <v>8</v>
      </c>
      <c r="T9" s="108" t="s">
        <v>9</v>
      </c>
      <c r="U9" s="108" t="s">
        <v>10</v>
      </c>
      <c r="V9" s="78" t="s">
        <v>7</v>
      </c>
      <c r="W9" s="78" t="s">
        <v>8</v>
      </c>
      <c r="X9" s="78" t="s">
        <v>9</v>
      </c>
      <c r="Y9" s="78" t="s">
        <v>10</v>
      </c>
      <c r="Z9" s="353" t="s">
        <v>15</v>
      </c>
      <c r="AA9" s="354" t="s">
        <v>16</v>
      </c>
      <c r="AB9" s="355" t="s">
        <v>15</v>
      </c>
      <c r="AC9" s="355" t="s">
        <v>16</v>
      </c>
      <c r="AD9" s="355" t="s">
        <v>15</v>
      </c>
      <c r="AE9" s="355" t="s">
        <v>16</v>
      </c>
      <c r="AF9" s="355" t="s">
        <v>15</v>
      </c>
      <c r="AG9" s="355" t="s">
        <v>16</v>
      </c>
      <c r="AH9" s="355" t="s">
        <v>15</v>
      </c>
      <c r="AI9" s="355" t="s">
        <v>16</v>
      </c>
      <c r="AJ9" s="355" t="s">
        <v>15</v>
      </c>
      <c r="AK9" s="355" t="s">
        <v>16</v>
      </c>
      <c r="AL9" s="355" t="s">
        <v>15</v>
      </c>
      <c r="AM9" s="355" t="s">
        <v>16</v>
      </c>
      <c r="AN9" s="355" t="s">
        <v>15</v>
      </c>
      <c r="AO9" s="355" t="s">
        <v>16</v>
      </c>
      <c r="AP9" s="355" t="s">
        <v>15</v>
      </c>
      <c r="AQ9" s="355" t="s">
        <v>16</v>
      </c>
      <c r="AR9" s="355" t="s">
        <v>15</v>
      </c>
      <c r="AS9" s="355" t="s">
        <v>16</v>
      </c>
      <c r="AT9" s="355" t="s">
        <v>15</v>
      </c>
      <c r="AU9" s="355" t="s">
        <v>16</v>
      </c>
      <c r="AV9" s="355" t="s">
        <v>15</v>
      </c>
      <c r="AW9" s="355" t="s">
        <v>16</v>
      </c>
      <c r="AX9" s="355" t="s">
        <v>15</v>
      </c>
      <c r="AY9" s="355" t="s">
        <v>16</v>
      </c>
      <c r="AZ9" s="355" t="s">
        <v>15</v>
      </c>
      <c r="BA9" s="355" t="s">
        <v>16</v>
      </c>
      <c r="BB9" s="355" t="s">
        <v>15</v>
      </c>
      <c r="BC9" s="355" t="s">
        <v>16</v>
      </c>
      <c r="BD9" s="355" t="s">
        <v>15</v>
      </c>
      <c r="BE9" s="355" t="s">
        <v>16</v>
      </c>
      <c r="BF9" s="355" t="s">
        <v>15</v>
      </c>
      <c r="BG9" s="355" t="s">
        <v>16</v>
      </c>
      <c r="BH9" s="355" t="s">
        <v>15</v>
      </c>
      <c r="BI9" s="355" t="s">
        <v>16</v>
      </c>
      <c r="BJ9" s="355" t="s">
        <v>15</v>
      </c>
      <c r="BK9" s="356" t="s">
        <v>16</v>
      </c>
      <c r="BL9" s="864"/>
      <c r="BN9" s="118" t="s">
        <v>485</v>
      </c>
      <c r="BO9" s="357" t="s">
        <v>486</v>
      </c>
      <c r="BP9" s="357" t="s">
        <v>487</v>
      </c>
      <c r="BQ9" s="358" t="s">
        <v>488</v>
      </c>
      <c r="BR9" s="359" t="s">
        <v>489</v>
      </c>
      <c r="BS9" s="357" t="s">
        <v>490</v>
      </c>
      <c r="BT9" s="357" t="s">
        <v>491</v>
      </c>
      <c r="BU9" s="359" t="s">
        <v>492</v>
      </c>
      <c r="BV9" s="864"/>
    </row>
    <row r="10" spans="1:74" ht="30.75" customHeight="1" x14ac:dyDescent="0.25">
      <c r="A10" s="973" t="s">
        <v>201</v>
      </c>
      <c r="B10" s="41">
        <v>32000</v>
      </c>
      <c r="C10" s="42" t="s">
        <v>226</v>
      </c>
      <c r="D10" s="38"/>
      <c r="E10" s="365"/>
      <c r="F10" s="4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  <c r="R10" s="45"/>
      <c r="S10" s="45"/>
      <c r="T10" s="45"/>
      <c r="U10" s="45"/>
      <c r="V10" s="83"/>
      <c r="W10" s="83"/>
      <c r="X10" s="83"/>
      <c r="Y10" s="83"/>
      <c r="Z10" s="46"/>
      <c r="AA10" s="84"/>
      <c r="AB10" s="46"/>
      <c r="AC10" s="84"/>
      <c r="AD10" s="46"/>
      <c r="AE10" s="84"/>
      <c r="AF10" s="46"/>
      <c r="AG10" s="84"/>
      <c r="AH10" s="46"/>
      <c r="AI10" s="84"/>
      <c r="AJ10" s="46"/>
      <c r="AK10" s="84"/>
      <c r="AL10" s="46"/>
      <c r="AM10" s="84"/>
      <c r="AN10" s="46"/>
      <c r="AO10" s="84"/>
      <c r="AP10" s="46"/>
      <c r="AQ10" s="84"/>
      <c r="AR10" s="46"/>
      <c r="AS10" s="84"/>
      <c r="AT10" s="46"/>
      <c r="AU10" s="84"/>
      <c r="AV10" s="46"/>
      <c r="AW10" s="84"/>
      <c r="AX10" s="46"/>
      <c r="AY10" s="84"/>
      <c r="AZ10" s="46"/>
      <c r="BA10" s="84"/>
      <c r="BB10" s="46"/>
      <c r="BC10" s="84"/>
      <c r="BD10" s="46"/>
      <c r="BE10" s="84"/>
      <c r="BF10" s="46"/>
      <c r="BG10" s="84"/>
      <c r="BH10" s="46"/>
      <c r="BI10" s="84"/>
      <c r="BJ10" s="46"/>
      <c r="BK10" s="116"/>
      <c r="BL10" s="47"/>
      <c r="BN10" s="113"/>
      <c r="BO10" s="113"/>
      <c r="BP10" s="113"/>
      <c r="BQ10" s="113"/>
      <c r="BR10" s="113"/>
      <c r="BS10" s="113"/>
      <c r="BT10" s="113"/>
      <c r="BU10" s="113"/>
      <c r="BV10" s="47"/>
    </row>
    <row r="11" spans="1:74" ht="31.5" x14ac:dyDescent="0.25">
      <c r="A11" s="974"/>
      <c r="B11" s="41">
        <v>32100</v>
      </c>
      <c r="C11" s="211" t="s">
        <v>227</v>
      </c>
      <c r="D11" s="47"/>
      <c r="E11" s="47"/>
      <c r="F11" s="48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9"/>
      <c r="R11" s="50"/>
      <c r="S11" s="50"/>
      <c r="T11" s="51"/>
      <c r="U11" s="52"/>
      <c r="V11" s="77"/>
      <c r="W11" s="77"/>
      <c r="X11" s="77"/>
      <c r="Y11" s="77"/>
      <c r="Z11" s="47"/>
      <c r="AA11" s="85"/>
      <c r="AB11" s="47"/>
      <c r="AC11" s="85"/>
      <c r="AD11" s="47"/>
      <c r="AE11" s="85"/>
      <c r="AF11" s="47"/>
      <c r="AG11" s="85"/>
      <c r="AH11" s="47"/>
      <c r="AI11" s="85"/>
      <c r="AJ11" s="47"/>
      <c r="AK11" s="85"/>
      <c r="AL11" s="47"/>
      <c r="AM11" s="85"/>
      <c r="AN11" s="47"/>
      <c r="AO11" s="85"/>
      <c r="AP11" s="47"/>
      <c r="AQ11" s="85"/>
      <c r="AR11" s="47"/>
      <c r="AS11" s="85"/>
      <c r="AT11" s="47"/>
      <c r="AU11" s="85"/>
      <c r="AV11" s="47"/>
      <c r="AW11" s="85"/>
      <c r="AX11" s="47"/>
      <c r="AY11" s="85"/>
      <c r="AZ11" s="47"/>
      <c r="BA11" s="85"/>
      <c r="BB11" s="47"/>
      <c r="BC11" s="85"/>
      <c r="BD11" s="47"/>
      <c r="BE11" s="85"/>
      <c r="BF11" s="47"/>
      <c r="BG11" s="85"/>
      <c r="BH11" s="47"/>
      <c r="BI11" s="85"/>
      <c r="BJ11" s="47"/>
      <c r="BK11" s="117"/>
      <c r="BL11" s="47"/>
      <c r="BN11" s="113"/>
      <c r="BO11" s="113"/>
      <c r="BP11" s="113"/>
      <c r="BQ11" s="113"/>
      <c r="BR11" s="113"/>
      <c r="BS11" s="113"/>
      <c r="BT11" s="113"/>
      <c r="BU11" s="113"/>
      <c r="BV11" s="179">
        <f>BR11+BU11</f>
        <v>0</v>
      </c>
    </row>
    <row r="12" spans="1:74" ht="31.5" x14ac:dyDescent="0.25">
      <c r="A12" s="974"/>
      <c r="B12" s="41"/>
      <c r="C12" s="38" t="s">
        <v>638</v>
      </c>
      <c r="D12" s="38" t="s">
        <v>208</v>
      </c>
      <c r="E12" s="365">
        <v>0</v>
      </c>
      <c r="F12" s="443">
        <f>BJ12</f>
        <v>4647</v>
      </c>
      <c r="G12" s="79">
        <f>F12*E12</f>
        <v>0</v>
      </c>
      <c r="H12" s="79">
        <f>G12*0.1</f>
        <v>0</v>
      </c>
      <c r="I12" s="79">
        <f>G12*0.8</f>
        <v>0</v>
      </c>
      <c r="J12" s="79">
        <f>G12*0</f>
        <v>0</v>
      </c>
      <c r="K12" s="79">
        <f>G12*0</f>
        <v>0</v>
      </c>
      <c r="L12" s="79">
        <f>G12*0</f>
        <v>0</v>
      </c>
      <c r="M12" s="79">
        <f>G12*0</f>
        <v>0</v>
      </c>
      <c r="N12" s="79">
        <f>G12*0</f>
        <v>0</v>
      </c>
      <c r="O12" s="80">
        <f>G12*0</f>
        <v>0</v>
      </c>
      <c r="P12" s="80">
        <f>G12*0.1</f>
        <v>0</v>
      </c>
      <c r="Q12" s="76">
        <f>G12*0</f>
        <v>0</v>
      </c>
      <c r="R12" s="54"/>
      <c r="S12" s="54">
        <f>F12*0.4</f>
        <v>1858.8000000000002</v>
      </c>
      <c r="T12" s="54">
        <f>F12*0.3</f>
        <v>1394.1</v>
      </c>
      <c r="U12" s="54">
        <f>F12*0.3</f>
        <v>1394.1</v>
      </c>
      <c r="V12" s="53">
        <f>R12*E12</f>
        <v>0</v>
      </c>
      <c r="W12" s="53">
        <f>S12*E12</f>
        <v>0</v>
      </c>
      <c r="X12" s="53">
        <f>T12*E12</f>
        <v>0</v>
      </c>
      <c r="Y12" s="53">
        <f>U12*E12</f>
        <v>0</v>
      </c>
      <c r="Z12" s="444">
        <v>450</v>
      </c>
      <c r="AA12" s="53">
        <f>Z12*E12</f>
        <v>0</v>
      </c>
      <c r="AB12" s="444">
        <v>300</v>
      </c>
      <c r="AC12" s="53">
        <f>AB12*E12</f>
        <v>0</v>
      </c>
      <c r="AD12" s="444">
        <v>250</v>
      </c>
      <c r="AE12" s="53">
        <f>AD12*E12</f>
        <v>0</v>
      </c>
      <c r="AF12" s="444">
        <v>300</v>
      </c>
      <c r="AG12" s="53">
        <f>AF12*E12</f>
        <v>0</v>
      </c>
      <c r="AH12" s="444">
        <v>150</v>
      </c>
      <c r="AI12" s="53">
        <f>AH12*E12</f>
        <v>0</v>
      </c>
      <c r="AJ12" s="444">
        <v>50</v>
      </c>
      <c r="AK12" s="53">
        <f>AJ12*E12</f>
        <v>0</v>
      </c>
      <c r="AL12" s="444">
        <v>1000</v>
      </c>
      <c r="AM12" s="53">
        <f>AL12*E12</f>
        <v>0</v>
      </c>
      <c r="AN12" s="444">
        <v>200</v>
      </c>
      <c r="AO12" s="53">
        <f>AN12*E12</f>
        <v>0</v>
      </c>
      <c r="AP12" s="444">
        <v>50</v>
      </c>
      <c r="AQ12" s="53">
        <f>AP12*E12</f>
        <v>0</v>
      </c>
      <c r="AR12" s="444">
        <v>150</v>
      </c>
      <c r="AS12" s="53">
        <f>AR12*E12</f>
        <v>0</v>
      </c>
      <c r="AT12" s="444"/>
      <c r="AU12" s="53"/>
      <c r="AV12" s="444"/>
      <c r="AW12" s="53"/>
      <c r="AX12" s="444"/>
      <c r="AY12" s="53">
        <f>AX12*E12</f>
        <v>0</v>
      </c>
      <c r="AZ12" s="444">
        <v>247</v>
      </c>
      <c r="BA12" s="53">
        <f>AZ12*E12</f>
        <v>0</v>
      </c>
      <c r="BB12" s="444">
        <v>600</v>
      </c>
      <c r="BC12" s="53">
        <f>BB12*E12</f>
        <v>0</v>
      </c>
      <c r="BD12" s="444">
        <v>700</v>
      </c>
      <c r="BE12" s="53">
        <f>BD12*E12</f>
        <v>0</v>
      </c>
      <c r="BF12" s="444">
        <v>200</v>
      </c>
      <c r="BG12" s="53">
        <f>BF12*E12</f>
        <v>0</v>
      </c>
      <c r="BH12" s="444"/>
      <c r="BI12" s="53">
        <f>BH12*E12</f>
        <v>0</v>
      </c>
      <c r="BJ12" s="47">
        <f t="shared" ref="BJ12:BK27" si="1">Z12+AB12+AD12+AF12+AH12+AJ12+AL12+AN12+AP12+AR12+AT12+AV12+AX12+AZ12+BB12+BD12+BF12+BH12</f>
        <v>4647</v>
      </c>
      <c r="BK12" s="117">
        <f t="shared" si="1"/>
        <v>0</v>
      </c>
      <c r="BL12" s="331" t="s">
        <v>471</v>
      </c>
      <c r="BN12" s="113"/>
      <c r="BO12" s="113"/>
      <c r="BP12" s="113">
        <f>G12</f>
        <v>0</v>
      </c>
      <c r="BQ12" s="113"/>
      <c r="BR12" s="113">
        <f>BN12+BO12+BP12+BQ12</f>
        <v>0</v>
      </c>
      <c r="BS12" s="113"/>
      <c r="BT12" s="113"/>
      <c r="BU12" s="113">
        <f>BS12+BT12</f>
        <v>0</v>
      </c>
      <c r="BV12" s="179">
        <f t="shared" ref="BV12:BV52" si="2">BR12+BU12</f>
        <v>0</v>
      </c>
    </row>
    <row r="13" spans="1:74" x14ac:dyDescent="0.25">
      <c r="A13" s="974"/>
      <c r="B13" s="42"/>
      <c r="C13" s="38" t="s">
        <v>228</v>
      </c>
      <c r="D13" s="38" t="s">
        <v>208</v>
      </c>
      <c r="E13" s="365">
        <f>3*100000</f>
        <v>300000</v>
      </c>
      <c r="F13" s="443">
        <f t="shared" ref="F13:F37" si="3">BJ13</f>
        <v>25</v>
      </c>
      <c r="G13" s="79">
        <f>E13*F13</f>
        <v>7500000</v>
      </c>
      <c r="H13" s="79">
        <f>G13*0.1</f>
        <v>750000</v>
      </c>
      <c r="I13" s="79">
        <f t="shared" ref="I13:I37" si="4">G13*0.8</f>
        <v>6000000</v>
      </c>
      <c r="J13" s="79">
        <f>G13*0</f>
        <v>0</v>
      </c>
      <c r="K13" s="79">
        <f>G13*0</f>
        <v>0</v>
      </c>
      <c r="L13" s="79">
        <f>G13*0</f>
        <v>0</v>
      </c>
      <c r="M13" s="79">
        <f>G13*0</f>
        <v>0</v>
      </c>
      <c r="N13" s="79">
        <f>G13*0</f>
        <v>0</v>
      </c>
      <c r="O13" s="80">
        <f>G13*0</f>
        <v>0</v>
      </c>
      <c r="P13" s="80">
        <f>G13*0.1</f>
        <v>750000</v>
      </c>
      <c r="Q13" s="76">
        <f>G13*0</f>
        <v>0</v>
      </c>
      <c r="R13" s="57">
        <f>F13*0.2</f>
        <v>5</v>
      </c>
      <c r="S13" s="54">
        <f>F13*0.2</f>
        <v>5</v>
      </c>
      <c r="T13" s="54">
        <f t="shared" ref="T13:T48" si="5">F13*0.3</f>
        <v>7.5</v>
      </c>
      <c r="U13" s="54">
        <f t="shared" ref="U13:U48" si="6">F13*0.3</f>
        <v>7.5</v>
      </c>
      <c r="V13" s="53">
        <f t="shared" ref="V13:V37" si="7">R13*E13</f>
        <v>1500000</v>
      </c>
      <c r="W13" s="53">
        <f t="shared" ref="W13:W37" si="8">S13*E13</f>
        <v>1500000</v>
      </c>
      <c r="X13" s="53">
        <f t="shared" ref="X13:X37" si="9">T13*E13</f>
        <v>2250000</v>
      </c>
      <c r="Y13" s="53">
        <f t="shared" ref="Y13:Y37" si="10">U13*E13</f>
        <v>2250000</v>
      </c>
      <c r="Z13" s="47">
        <v>2</v>
      </c>
      <c r="AA13" s="53">
        <f t="shared" ref="AA13:AA50" si="11">Z13*E13</f>
        <v>600000</v>
      </c>
      <c r="AB13" s="47">
        <v>1</v>
      </c>
      <c r="AC13" s="53">
        <f t="shared" ref="AC13:AC50" si="12">AB13*E13</f>
        <v>300000</v>
      </c>
      <c r="AD13" s="47">
        <v>1</v>
      </c>
      <c r="AE13" s="53">
        <f t="shared" ref="AE13:AE50" si="13">AD13*E13</f>
        <v>300000</v>
      </c>
      <c r="AF13" s="47">
        <v>0</v>
      </c>
      <c r="AG13" s="53">
        <f t="shared" ref="AG13:AG50" si="14">AF13*E13</f>
        <v>0</v>
      </c>
      <c r="AH13" s="624">
        <v>2</v>
      </c>
      <c r="AI13" s="53">
        <f t="shared" ref="AI13:AI50" si="15">AH13*E13</f>
        <v>600000</v>
      </c>
      <c r="AJ13" s="47">
        <v>3</v>
      </c>
      <c r="AK13" s="53">
        <f t="shared" ref="AK13:AK37" si="16">AJ13*E13</f>
        <v>900000</v>
      </c>
      <c r="AL13" s="47">
        <v>2</v>
      </c>
      <c r="AM13" s="53">
        <f t="shared" ref="AM13:AM50" si="17">AL13*E13</f>
        <v>600000</v>
      </c>
      <c r="AN13" s="47">
        <v>0</v>
      </c>
      <c r="AO13" s="53">
        <f t="shared" ref="AO13:AO37" si="18">AN13*E13</f>
        <v>0</v>
      </c>
      <c r="AP13" s="47">
        <v>0</v>
      </c>
      <c r="AQ13" s="53">
        <f t="shared" ref="AQ13:AQ50" si="19">AP13*E13</f>
        <v>0</v>
      </c>
      <c r="AR13" s="47">
        <v>1</v>
      </c>
      <c r="AS13" s="53">
        <f t="shared" ref="AS13:AS50" si="20">AR13*E13</f>
        <v>300000</v>
      </c>
      <c r="AT13" s="47">
        <v>2</v>
      </c>
      <c r="AU13" s="53">
        <f>AT13*E13</f>
        <v>600000</v>
      </c>
      <c r="AV13" s="47">
        <v>2</v>
      </c>
      <c r="AW13" s="53">
        <f>AV13*E13</f>
        <v>600000</v>
      </c>
      <c r="AX13" s="47">
        <v>4</v>
      </c>
      <c r="AY13" s="53">
        <f>AX13*E13</f>
        <v>1200000</v>
      </c>
      <c r="AZ13" s="47">
        <v>2</v>
      </c>
      <c r="BA13" s="53">
        <f t="shared" ref="BA13:BA50" si="21">AZ13*E13</f>
        <v>600000</v>
      </c>
      <c r="BB13" s="47">
        <v>1</v>
      </c>
      <c r="BC13" s="53">
        <f t="shared" ref="BC13:BC50" si="22">BB13*E13</f>
        <v>300000</v>
      </c>
      <c r="BD13" s="47">
        <v>1</v>
      </c>
      <c r="BE13" s="53">
        <f t="shared" ref="BE13:BE45" si="23">BD13*E13</f>
        <v>300000</v>
      </c>
      <c r="BF13" s="47">
        <v>1</v>
      </c>
      <c r="BG13" s="53">
        <f t="shared" ref="BG13:BG50" si="24">BF13*E13</f>
        <v>300000</v>
      </c>
      <c r="BH13" s="47"/>
      <c r="BI13" s="53">
        <f t="shared" ref="BI13:BI50" si="25">BH13*E13</f>
        <v>0</v>
      </c>
      <c r="BJ13" s="47">
        <f t="shared" si="1"/>
        <v>25</v>
      </c>
      <c r="BK13" s="117">
        <f t="shared" si="1"/>
        <v>7500000</v>
      </c>
      <c r="BL13" s="331" t="s">
        <v>471</v>
      </c>
      <c r="BN13" s="113">
        <f>G13</f>
        <v>7500000</v>
      </c>
      <c r="BO13" s="113"/>
      <c r="BP13" s="113"/>
      <c r="BQ13" s="113"/>
      <c r="BR13" s="113">
        <f t="shared" ref="BR13:BR37" si="26">BN13+BO13+BP13+BQ13</f>
        <v>7500000</v>
      </c>
      <c r="BS13" s="113"/>
      <c r="BT13" s="113"/>
      <c r="BU13" s="113">
        <f>BS13+BT13</f>
        <v>0</v>
      </c>
      <c r="BV13" s="179">
        <f t="shared" si="2"/>
        <v>7500000</v>
      </c>
    </row>
    <row r="14" spans="1:74" x14ac:dyDescent="0.25">
      <c r="A14" s="974"/>
      <c r="B14" s="119"/>
      <c r="C14" s="343" t="s">
        <v>639</v>
      </c>
      <c r="D14" s="38" t="s">
        <v>208</v>
      </c>
      <c r="E14" s="445">
        <v>120000</v>
      </c>
      <c r="F14" s="443">
        <f t="shared" si="3"/>
        <v>7</v>
      </c>
      <c r="G14" s="79">
        <f t="shared" ref="G14:G37" si="27">E14*F14</f>
        <v>840000</v>
      </c>
      <c r="H14" s="79">
        <f t="shared" ref="H14:H37" si="28">G14*0.1</f>
        <v>84000</v>
      </c>
      <c r="I14" s="79">
        <f t="shared" si="4"/>
        <v>672000</v>
      </c>
      <c r="J14" s="120"/>
      <c r="K14" s="120"/>
      <c r="L14" s="120"/>
      <c r="M14" s="120"/>
      <c r="N14" s="120"/>
      <c r="O14" s="121"/>
      <c r="P14" s="80">
        <f t="shared" ref="P14:P37" si="29">G14*0.1</f>
        <v>84000</v>
      </c>
      <c r="Q14" s="122"/>
      <c r="R14" s="57">
        <f t="shared" ref="R14:R37" si="30">F14*0.2</f>
        <v>1.4000000000000001</v>
      </c>
      <c r="S14" s="54">
        <f t="shared" ref="S14:S37" si="31">F14*0.2</f>
        <v>1.4000000000000001</v>
      </c>
      <c r="T14" s="54">
        <f t="shared" ref="T14:T37" si="32">F14*0.3</f>
        <v>2.1</v>
      </c>
      <c r="U14" s="54">
        <f t="shared" ref="U14:U37" si="33">F14*0.3</f>
        <v>2.1</v>
      </c>
      <c r="V14" s="53">
        <f t="shared" si="7"/>
        <v>168000.00000000003</v>
      </c>
      <c r="W14" s="53">
        <f t="shared" si="8"/>
        <v>168000.00000000003</v>
      </c>
      <c r="X14" s="53">
        <f t="shared" si="9"/>
        <v>252000</v>
      </c>
      <c r="Y14" s="53">
        <f t="shared" si="10"/>
        <v>252000</v>
      </c>
      <c r="Z14" s="123">
        <v>0</v>
      </c>
      <c r="AA14" s="53">
        <f t="shared" si="11"/>
        <v>0</v>
      </c>
      <c r="AB14" s="123">
        <v>0</v>
      </c>
      <c r="AC14" s="53">
        <f t="shared" si="12"/>
        <v>0</v>
      </c>
      <c r="AD14" s="123">
        <v>0</v>
      </c>
      <c r="AE14" s="688">
        <f t="shared" si="13"/>
        <v>0</v>
      </c>
      <c r="AF14" s="123">
        <v>0</v>
      </c>
      <c r="AG14" s="53">
        <f t="shared" si="14"/>
        <v>0</v>
      </c>
      <c r="AH14" s="123">
        <v>2</v>
      </c>
      <c r="AI14" s="53">
        <f t="shared" si="15"/>
        <v>240000</v>
      </c>
      <c r="AJ14" s="625">
        <v>0</v>
      </c>
      <c r="AK14" s="53">
        <f t="shared" si="16"/>
        <v>0</v>
      </c>
      <c r="AL14" s="123">
        <v>0</v>
      </c>
      <c r="AM14" s="53">
        <f t="shared" si="17"/>
        <v>0</v>
      </c>
      <c r="AN14" s="123"/>
      <c r="AO14" s="53">
        <f t="shared" si="18"/>
        <v>0</v>
      </c>
      <c r="AP14" s="123">
        <v>0</v>
      </c>
      <c r="AQ14" s="53">
        <f t="shared" si="19"/>
        <v>0</v>
      </c>
      <c r="AR14" s="123">
        <v>2</v>
      </c>
      <c r="AS14" s="53">
        <f t="shared" si="20"/>
        <v>240000</v>
      </c>
      <c r="AT14" s="123"/>
      <c r="AU14" s="53">
        <f t="shared" ref="AU14:AU37" si="34">AT14*E14</f>
        <v>0</v>
      </c>
      <c r="AV14" s="123">
        <v>0</v>
      </c>
      <c r="AW14" s="53">
        <f t="shared" ref="AW14:AW37" si="35">AV14*E14</f>
        <v>0</v>
      </c>
      <c r="AX14" s="123">
        <v>0</v>
      </c>
      <c r="AY14" s="53">
        <f>AX14*E14</f>
        <v>0</v>
      </c>
      <c r="AZ14" s="123">
        <v>3</v>
      </c>
      <c r="BA14" s="53">
        <f t="shared" si="21"/>
        <v>360000</v>
      </c>
      <c r="BB14" s="123">
        <v>0</v>
      </c>
      <c r="BC14" s="53">
        <f t="shared" si="22"/>
        <v>0</v>
      </c>
      <c r="BD14" s="123">
        <v>0</v>
      </c>
      <c r="BE14" s="53">
        <f t="shared" si="23"/>
        <v>0</v>
      </c>
      <c r="BF14" s="123">
        <v>0</v>
      </c>
      <c r="BG14" s="53">
        <f t="shared" si="24"/>
        <v>0</v>
      </c>
      <c r="BH14" s="123"/>
      <c r="BI14" s="53">
        <f t="shared" si="25"/>
        <v>0</v>
      </c>
      <c r="BJ14" s="47">
        <f t="shared" si="1"/>
        <v>7</v>
      </c>
      <c r="BK14" s="117">
        <f t="shared" si="1"/>
        <v>840000</v>
      </c>
      <c r="BL14" s="331" t="s">
        <v>471</v>
      </c>
      <c r="BN14" s="113">
        <f t="shared" ref="BN14:BN37" si="36">G14</f>
        <v>840000</v>
      </c>
      <c r="BO14" s="124"/>
      <c r="BP14" s="124"/>
      <c r="BQ14" s="124"/>
      <c r="BR14" s="113">
        <f t="shared" si="26"/>
        <v>840000</v>
      </c>
      <c r="BS14" s="113"/>
      <c r="BT14" s="113"/>
      <c r="BU14" s="113"/>
      <c r="BV14" s="179">
        <f t="shared" si="2"/>
        <v>840000</v>
      </c>
    </row>
    <row r="15" spans="1:74" x14ac:dyDescent="0.25">
      <c r="A15" s="974"/>
      <c r="B15" s="119"/>
      <c r="C15" s="343" t="s">
        <v>667</v>
      </c>
      <c r="D15" s="38" t="s">
        <v>208</v>
      </c>
      <c r="E15" s="445">
        <v>250000</v>
      </c>
      <c r="F15" s="443">
        <f t="shared" si="3"/>
        <v>0</v>
      </c>
      <c r="G15" s="79">
        <f t="shared" si="27"/>
        <v>0</v>
      </c>
      <c r="H15" s="79">
        <f t="shared" si="28"/>
        <v>0</v>
      </c>
      <c r="I15" s="79">
        <f t="shared" si="4"/>
        <v>0</v>
      </c>
      <c r="J15" s="120"/>
      <c r="K15" s="120"/>
      <c r="L15" s="120"/>
      <c r="M15" s="120"/>
      <c r="N15" s="120"/>
      <c r="O15" s="121"/>
      <c r="P15" s="80">
        <f t="shared" si="29"/>
        <v>0</v>
      </c>
      <c r="Q15" s="122"/>
      <c r="R15" s="57">
        <f t="shared" si="30"/>
        <v>0</v>
      </c>
      <c r="S15" s="54">
        <f t="shared" si="31"/>
        <v>0</v>
      </c>
      <c r="T15" s="54">
        <f t="shared" si="32"/>
        <v>0</v>
      </c>
      <c r="U15" s="54">
        <f t="shared" si="33"/>
        <v>0</v>
      </c>
      <c r="V15" s="53">
        <f t="shared" si="7"/>
        <v>0</v>
      </c>
      <c r="W15" s="53">
        <f t="shared" si="8"/>
        <v>0</v>
      </c>
      <c r="X15" s="53">
        <f t="shared" si="9"/>
        <v>0</v>
      </c>
      <c r="Y15" s="53">
        <f t="shared" si="10"/>
        <v>0</v>
      </c>
      <c r="Z15" s="123"/>
      <c r="AA15" s="53">
        <f t="shared" si="11"/>
        <v>0</v>
      </c>
      <c r="AB15" s="123"/>
      <c r="AC15" s="53">
        <f t="shared" si="12"/>
        <v>0</v>
      </c>
      <c r="AD15" s="123"/>
      <c r="AE15" s="53">
        <f t="shared" si="13"/>
        <v>0</v>
      </c>
      <c r="AF15" s="625">
        <v>0</v>
      </c>
      <c r="AG15" s="53">
        <f t="shared" si="14"/>
        <v>0</v>
      </c>
      <c r="AH15" s="123"/>
      <c r="AI15" s="53">
        <f t="shared" si="15"/>
        <v>0</v>
      </c>
      <c r="AJ15" s="123"/>
      <c r="AK15" s="53">
        <f t="shared" si="16"/>
        <v>0</v>
      </c>
      <c r="AL15" s="123"/>
      <c r="AM15" s="53">
        <f t="shared" si="17"/>
        <v>0</v>
      </c>
      <c r="AN15" s="123"/>
      <c r="AO15" s="53">
        <f t="shared" si="18"/>
        <v>0</v>
      </c>
      <c r="AP15" s="123"/>
      <c r="AQ15" s="53">
        <f t="shared" si="19"/>
        <v>0</v>
      </c>
      <c r="AR15" s="123"/>
      <c r="AS15" s="53">
        <f t="shared" si="20"/>
        <v>0</v>
      </c>
      <c r="AT15" s="123"/>
      <c r="AU15" s="53">
        <f t="shared" si="34"/>
        <v>0</v>
      </c>
      <c r="AV15" s="123">
        <v>0</v>
      </c>
      <c r="AW15" s="53">
        <f t="shared" si="35"/>
        <v>0</v>
      </c>
      <c r="AX15" s="123">
        <v>0</v>
      </c>
      <c r="AY15" s="53">
        <f t="shared" ref="AY15:AY37" si="37">AX15*E15</f>
        <v>0</v>
      </c>
      <c r="AZ15" s="123"/>
      <c r="BA15" s="53">
        <f t="shared" si="21"/>
        <v>0</v>
      </c>
      <c r="BB15" s="123">
        <v>0</v>
      </c>
      <c r="BC15" s="53">
        <f t="shared" si="22"/>
        <v>0</v>
      </c>
      <c r="BD15" s="123"/>
      <c r="BE15" s="53">
        <f t="shared" si="23"/>
        <v>0</v>
      </c>
      <c r="BF15" s="123"/>
      <c r="BG15" s="53">
        <f t="shared" si="24"/>
        <v>0</v>
      </c>
      <c r="BH15" s="123"/>
      <c r="BI15" s="53">
        <f t="shared" si="25"/>
        <v>0</v>
      </c>
      <c r="BJ15" s="47">
        <f t="shared" si="1"/>
        <v>0</v>
      </c>
      <c r="BK15" s="117">
        <f t="shared" si="1"/>
        <v>0</v>
      </c>
      <c r="BL15" s="331" t="s">
        <v>471</v>
      </c>
      <c r="BN15" s="113">
        <f t="shared" si="36"/>
        <v>0</v>
      </c>
      <c r="BO15" s="124"/>
      <c r="BP15" s="124"/>
      <c r="BQ15" s="124"/>
      <c r="BR15" s="113">
        <f t="shared" si="26"/>
        <v>0</v>
      </c>
      <c r="BS15" s="113"/>
      <c r="BT15" s="113"/>
      <c r="BU15" s="113"/>
      <c r="BV15" s="179">
        <f t="shared" si="2"/>
        <v>0</v>
      </c>
    </row>
    <row r="16" spans="1:74" ht="31.5" customHeight="1" x14ac:dyDescent="0.25">
      <c r="A16" s="974"/>
      <c r="B16" s="119"/>
      <c r="C16" s="343" t="s">
        <v>640</v>
      </c>
      <c r="D16" s="38" t="s">
        <v>208</v>
      </c>
      <c r="E16" s="445">
        <v>600000</v>
      </c>
      <c r="F16" s="443">
        <f t="shared" si="3"/>
        <v>0</v>
      </c>
      <c r="G16" s="79">
        <f t="shared" si="27"/>
        <v>0</v>
      </c>
      <c r="H16" s="79">
        <f t="shared" si="28"/>
        <v>0</v>
      </c>
      <c r="I16" s="79">
        <f t="shared" si="4"/>
        <v>0</v>
      </c>
      <c r="J16" s="120"/>
      <c r="K16" s="120"/>
      <c r="L16" s="120"/>
      <c r="M16" s="120"/>
      <c r="N16" s="120"/>
      <c r="O16" s="121"/>
      <c r="P16" s="80">
        <f t="shared" si="29"/>
        <v>0</v>
      </c>
      <c r="Q16" s="122"/>
      <c r="R16" s="57">
        <f t="shared" si="30"/>
        <v>0</v>
      </c>
      <c r="S16" s="54">
        <f t="shared" si="31"/>
        <v>0</v>
      </c>
      <c r="T16" s="54">
        <f t="shared" si="32"/>
        <v>0</v>
      </c>
      <c r="U16" s="54">
        <f t="shared" si="33"/>
        <v>0</v>
      </c>
      <c r="V16" s="53">
        <f t="shared" si="7"/>
        <v>0</v>
      </c>
      <c r="W16" s="53">
        <f t="shared" si="8"/>
        <v>0</v>
      </c>
      <c r="X16" s="53">
        <f t="shared" si="9"/>
        <v>0</v>
      </c>
      <c r="Y16" s="53">
        <f t="shared" si="10"/>
        <v>0</v>
      </c>
      <c r="Z16" s="123"/>
      <c r="AA16" s="53">
        <f t="shared" si="11"/>
        <v>0</v>
      </c>
      <c r="AB16" s="123"/>
      <c r="AC16" s="53">
        <f t="shared" si="12"/>
        <v>0</v>
      </c>
      <c r="AD16" s="123"/>
      <c r="AE16" s="53">
        <f t="shared" si="13"/>
        <v>0</v>
      </c>
      <c r="AF16" s="123"/>
      <c r="AG16" s="53">
        <f t="shared" si="14"/>
        <v>0</v>
      </c>
      <c r="AH16" s="123"/>
      <c r="AI16" s="53">
        <f t="shared" si="15"/>
        <v>0</v>
      </c>
      <c r="AJ16" s="123"/>
      <c r="AK16" s="53">
        <f t="shared" si="16"/>
        <v>0</v>
      </c>
      <c r="AL16" s="123">
        <v>0</v>
      </c>
      <c r="AM16" s="53">
        <f t="shared" si="17"/>
        <v>0</v>
      </c>
      <c r="AN16" s="123">
        <v>0</v>
      </c>
      <c r="AO16" s="53">
        <f t="shared" si="18"/>
        <v>0</v>
      </c>
      <c r="AP16" s="123"/>
      <c r="AQ16" s="53">
        <f t="shared" si="19"/>
        <v>0</v>
      </c>
      <c r="AR16" s="123"/>
      <c r="AS16" s="53">
        <f t="shared" si="20"/>
        <v>0</v>
      </c>
      <c r="AT16" s="123"/>
      <c r="AU16" s="53">
        <f t="shared" si="34"/>
        <v>0</v>
      </c>
      <c r="AV16" s="625">
        <v>0</v>
      </c>
      <c r="AW16" s="53">
        <f t="shared" si="35"/>
        <v>0</v>
      </c>
      <c r="AX16" s="123"/>
      <c r="AY16" s="53">
        <f t="shared" si="37"/>
        <v>0</v>
      </c>
      <c r="AZ16" s="123"/>
      <c r="BA16" s="53">
        <f t="shared" si="21"/>
        <v>0</v>
      </c>
      <c r="BB16" s="123"/>
      <c r="BC16" s="53">
        <f t="shared" si="22"/>
        <v>0</v>
      </c>
      <c r="BD16" s="123">
        <v>0</v>
      </c>
      <c r="BE16" s="53">
        <f t="shared" si="23"/>
        <v>0</v>
      </c>
      <c r="BF16" s="123"/>
      <c r="BG16" s="53">
        <f t="shared" si="24"/>
        <v>0</v>
      </c>
      <c r="BH16" s="123"/>
      <c r="BI16" s="53">
        <f t="shared" si="25"/>
        <v>0</v>
      </c>
      <c r="BJ16" s="47">
        <f t="shared" si="1"/>
        <v>0</v>
      </c>
      <c r="BK16" s="117">
        <f t="shared" si="1"/>
        <v>0</v>
      </c>
      <c r="BL16" s="331" t="s">
        <v>471</v>
      </c>
      <c r="BN16" s="113">
        <f t="shared" si="36"/>
        <v>0</v>
      </c>
      <c r="BO16" s="124"/>
      <c r="BP16" s="124"/>
      <c r="BQ16" s="124"/>
      <c r="BR16" s="113">
        <f t="shared" si="26"/>
        <v>0</v>
      </c>
      <c r="BS16" s="113"/>
      <c r="BT16" s="113"/>
      <c r="BU16" s="113"/>
      <c r="BV16" s="179">
        <f t="shared" si="2"/>
        <v>0</v>
      </c>
    </row>
    <row r="17" spans="1:74" ht="31.5" x14ac:dyDescent="0.25">
      <c r="A17" s="974"/>
      <c r="B17" s="119"/>
      <c r="C17" s="343" t="s">
        <v>641</v>
      </c>
      <c r="D17" s="38" t="s">
        <v>208</v>
      </c>
      <c r="E17" s="445">
        <v>500000</v>
      </c>
      <c r="F17" s="443">
        <f t="shared" si="3"/>
        <v>2</v>
      </c>
      <c r="G17" s="79">
        <f t="shared" si="27"/>
        <v>1000000</v>
      </c>
      <c r="H17" s="79">
        <f t="shared" si="28"/>
        <v>100000</v>
      </c>
      <c r="I17" s="79">
        <f t="shared" si="4"/>
        <v>800000</v>
      </c>
      <c r="J17" s="120"/>
      <c r="K17" s="120"/>
      <c r="L17" s="120"/>
      <c r="M17" s="120"/>
      <c r="N17" s="120"/>
      <c r="O17" s="121"/>
      <c r="P17" s="80">
        <f t="shared" si="29"/>
        <v>100000</v>
      </c>
      <c r="Q17" s="122"/>
      <c r="R17" s="57">
        <f t="shared" si="30"/>
        <v>0.4</v>
      </c>
      <c r="S17" s="54">
        <f t="shared" si="31"/>
        <v>0.4</v>
      </c>
      <c r="T17" s="54">
        <f t="shared" si="32"/>
        <v>0.6</v>
      </c>
      <c r="U17" s="54">
        <f t="shared" si="33"/>
        <v>0.6</v>
      </c>
      <c r="V17" s="53">
        <f t="shared" si="7"/>
        <v>200000</v>
      </c>
      <c r="W17" s="53">
        <f t="shared" si="8"/>
        <v>200000</v>
      </c>
      <c r="X17" s="53">
        <f t="shared" si="9"/>
        <v>300000</v>
      </c>
      <c r="Y17" s="53">
        <f t="shared" si="10"/>
        <v>300000</v>
      </c>
      <c r="Z17" s="123">
        <v>2</v>
      </c>
      <c r="AA17" s="53">
        <f t="shared" si="11"/>
        <v>1000000</v>
      </c>
      <c r="AB17" s="123">
        <v>0</v>
      </c>
      <c r="AC17" s="53">
        <f t="shared" si="12"/>
        <v>0</v>
      </c>
      <c r="AD17" s="123">
        <v>0</v>
      </c>
      <c r="AE17" s="53">
        <f t="shared" si="13"/>
        <v>0</v>
      </c>
      <c r="AF17" s="123">
        <v>0</v>
      </c>
      <c r="AG17" s="53">
        <f t="shared" si="14"/>
        <v>0</v>
      </c>
      <c r="AH17" s="123">
        <v>0</v>
      </c>
      <c r="AI17" s="53">
        <f t="shared" si="15"/>
        <v>0</v>
      </c>
      <c r="AJ17" s="123"/>
      <c r="AK17" s="53">
        <f t="shared" si="16"/>
        <v>0</v>
      </c>
      <c r="AL17" s="123">
        <v>0</v>
      </c>
      <c r="AM17" s="53">
        <f t="shared" si="17"/>
        <v>0</v>
      </c>
      <c r="AN17" s="123"/>
      <c r="AO17" s="53">
        <f t="shared" si="18"/>
        <v>0</v>
      </c>
      <c r="AP17" s="123"/>
      <c r="AQ17" s="53">
        <f t="shared" si="19"/>
        <v>0</v>
      </c>
      <c r="AR17" s="123"/>
      <c r="AS17" s="53">
        <f t="shared" si="20"/>
        <v>0</v>
      </c>
      <c r="AT17" s="123"/>
      <c r="AU17" s="53">
        <f t="shared" si="34"/>
        <v>0</v>
      </c>
      <c r="AV17" s="123"/>
      <c r="AW17" s="53">
        <f t="shared" si="35"/>
        <v>0</v>
      </c>
      <c r="AX17" s="123"/>
      <c r="AY17" s="53">
        <f t="shared" si="37"/>
        <v>0</v>
      </c>
      <c r="AZ17" s="123"/>
      <c r="BA17" s="53">
        <f t="shared" si="21"/>
        <v>0</v>
      </c>
      <c r="BB17" s="123"/>
      <c r="BC17" s="53">
        <f t="shared" si="22"/>
        <v>0</v>
      </c>
      <c r="BD17" s="123"/>
      <c r="BE17" s="53">
        <f t="shared" si="23"/>
        <v>0</v>
      </c>
      <c r="BF17" s="123"/>
      <c r="BG17" s="53">
        <f t="shared" si="24"/>
        <v>0</v>
      </c>
      <c r="BH17" s="123"/>
      <c r="BI17" s="53">
        <f t="shared" si="25"/>
        <v>0</v>
      </c>
      <c r="BJ17" s="47">
        <f t="shared" si="1"/>
        <v>2</v>
      </c>
      <c r="BK17" s="117">
        <f t="shared" si="1"/>
        <v>1000000</v>
      </c>
      <c r="BL17" s="331" t="s">
        <v>471</v>
      </c>
      <c r="BN17" s="113">
        <f t="shared" si="36"/>
        <v>1000000</v>
      </c>
      <c r="BO17" s="124"/>
      <c r="BP17" s="124"/>
      <c r="BQ17" s="124"/>
      <c r="BR17" s="113">
        <f t="shared" si="26"/>
        <v>1000000</v>
      </c>
      <c r="BS17" s="113"/>
      <c r="BT17" s="113"/>
      <c r="BU17" s="113"/>
      <c r="BV17" s="179">
        <f t="shared" si="2"/>
        <v>1000000</v>
      </c>
    </row>
    <row r="18" spans="1:74" x14ac:dyDescent="0.25">
      <c r="A18" s="974"/>
      <c r="B18" s="119"/>
      <c r="C18" s="343" t="s">
        <v>668</v>
      </c>
      <c r="D18" s="38" t="s">
        <v>208</v>
      </c>
      <c r="E18" s="445">
        <v>250000</v>
      </c>
      <c r="F18" s="443">
        <f t="shared" si="3"/>
        <v>7</v>
      </c>
      <c r="G18" s="79">
        <f t="shared" si="27"/>
        <v>1750000</v>
      </c>
      <c r="H18" s="79">
        <f t="shared" si="28"/>
        <v>175000</v>
      </c>
      <c r="I18" s="79">
        <f t="shared" si="4"/>
        <v>1400000</v>
      </c>
      <c r="J18" s="120"/>
      <c r="K18" s="120"/>
      <c r="L18" s="120"/>
      <c r="M18" s="120"/>
      <c r="N18" s="120"/>
      <c r="O18" s="121"/>
      <c r="P18" s="80">
        <f t="shared" si="29"/>
        <v>175000</v>
      </c>
      <c r="Q18" s="122"/>
      <c r="R18" s="57">
        <f t="shared" si="30"/>
        <v>1.4000000000000001</v>
      </c>
      <c r="S18" s="54">
        <f t="shared" si="31"/>
        <v>1.4000000000000001</v>
      </c>
      <c r="T18" s="54">
        <f t="shared" si="32"/>
        <v>2.1</v>
      </c>
      <c r="U18" s="54">
        <f t="shared" si="33"/>
        <v>2.1</v>
      </c>
      <c r="V18" s="53">
        <f t="shared" si="7"/>
        <v>350000.00000000006</v>
      </c>
      <c r="W18" s="53">
        <f t="shared" si="8"/>
        <v>350000.00000000006</v>
      </c>
      <c r="X18" s="53">
        <f t="shared" si="9"/>
        <v>525000</v>
      </c>
      <c r="Y18" s="53">
        <f t="shared" si="10"/>
        <v>525000</v>
      </c>
      <c r="Z18" s="123"/>
      <c r="AA18" s="53">
        <f t="shared" si="11"/>
        <v>0</v>
      </c>
      <c r="AB18" s="123">
        <v>0</v>
      </c>
      <c r="AC18" s="53">
        <f t="shared" si="12"/>
        <v>0</v>
      </c>
      <c r="AD18" s="123">
        <v>0</v>
      </c>
      <c r="AE18" s="53">
        <f t="shared" si="13"/>
        <v>0</v>
      </c>
      <c r="AF18" s="123">
        <v>0</v>
      </c>
      <c r="AG18" s="53">
        <f t="shared" si="14"/>
        <v>0</v>
      </c>
      <c r="AH18" s="625">
        <v>0</v>
      </c>
      <c r="AI18" s="53">
        <f t="shared" si="15"/>
        <v>0</v>
      </c>
      <c r="AJ18" s="123"/>
      <c r="AK18" s="53">
        <f t="shared" si="16"/>
        <v>0</v>
      </c>
      <c r="AL18" s="123"/>
      <c r="AM18" s="53">
        <f t="shared" si="17"/>
        <v>0</v>
      </c>
      <c r="AN18" s="123"/>
      <c r="AO18" s="53">
        <f t="shared" si="18"/>
        <v>0</v>
      </c>
      <c r="AP18" s="123">
        <v>0</v>
      </c>
      <c r="AQ18" s="53">
        <f t="shared" si="19"/>
        <v>0</v>
      </c>
      <c r="AR18" s="123">
        <v>6</v>
      </c>
      <c r="AS18" s="53">
        <f t="shared" si="20"/>
        <v>1500000</v>
      </c>
      <c r="AT18" s="123">
        <v>0</v>
      </c>
      <c r="AU18" s="53">
        <f t="shared" si="34"/>
        <v>0</v>
      </c>
      <c r="AV18" s="123">
        <v>1</v>
      </c>
      <c r="AW18" s="53">
        <f t="shared" si="35"/>
        <v>250000</v>
      </c>
      <c r="AX18" s="123"/>
      <c r="AY18" s="53">
        <f t="shared" si="37"/>
        <v>0</v>
      </c>
      <c r="AZ18" s="123"/>
      <c r="BA18" s="53">
        <f t="shared" si="21"/>
        <v>0</v>
      </c>
      <c r="BB18" s="123">
        <v>0</v>
      </c>
      <c r="BC18" s="53">
        <f t="shared" si="22"/>
        <v>0</v>
      </c>
      <c r="BD18" s="123"/>
      <c r="BE18" s="53">
        <f t="shared" si="23"/>
        <v>0</v>
      </c>
      <c r="BF18" s="123"/>
      <c r="BG18" s="53">
        <f t="shared" si="24"/>
        <v>0</v>
      </c>
      <c r="BH18" s="123"/>
      <c r="BI18" s="53">
        <f t="shared" si="25"/>
        <v>0</v>
      </c>
      <c r="BJ18" s="47">
        <f t="shared" si="1"/>
        <v>7</v>
      </c>
      <c r="BK18" s="117">
        <f t="shared" si="1"/>
        <v>1750000</v>
      </c>
      <c r="BL18" s="331" t="s">
        <v>471</v>
      </c>
      <c r="BN18" s="113">
        <f t="shared" si="36"/>
        <v>1750000</v>
      </c>
      <c r="BO18" s="124"/>
      <c r="BP18" s="124"/>
      <c r="BQ18" s="124"/>
      <c r="BR18" s="113">
        <f t="shared" si="26"/>
        <v>1750000</v>
      </c>
      <c r="BS18" s="113"/>
      <c r="BT18" s="113"/>
      <c r="BU18" s="113"/>
      <c r="BV18" s="179">
        <f t="shared" si="2"/>
        <v>1750000</v>
      </c>
    </row>
    <row r="19" spans="1:74" s="163" customFormat="1" x14ac:dyDescent="0.25">
      <c r="A19" s="974"/>
      <c r="B19" s="146"/>
      <c r="C19" s="344" t="s">
        <v>642</v>
      </c>
      <c r="D19" s="169" t="s">
        <v>208</v>
      </c>
      <c r="E19" s="446">
        <v>300000</v>
      </c>
      <c r="F19" s="447">
        <f t="shared" si="3"/>
        <v>9</v>
      </c>
      <c r="G19" s="79">
        <f t="shared" si="27"/>
        <v>2700000</v>
      </c>
      <c r="H19" s="161">
        <f t="shared" si="28"/>
        <v>270000</v>
      </c>
      <c r="I19" s="161">
        <f t="shared" si="4"/>
        <v>2160000</v>
      </c>
      <c r="J19" s="147"/>
      <c r="K19" s="147"/>
      <c r="L19" s="147"/>
      <c r="M19" s="147"/>
      <c r="N19" s="147"/>
      <c r="O19" s="148"/>
      <c r="P19" s="162">
        <f t="shared" si="29"/>
        <v>270000</v>
      </c>
      <c r="Q19" s="149"/>
      <c r="R19" s="57">
        <f t="shared" si="30"/>
        <v>1.8</v>
      </c>
      <c r="S19" s="54">
        <f t="shared" si="31"/>
        <v>1.8</v>
      </c>
      <c r="T19" s="54">
        <f t="shared" si="32"/>
        <v>2.6999999999999997</v>
      </c>
      <c r="U19" s="54">
        <f t="shared" si="33"/>
        <v>2.6999999999999997</v>
      </c>
      <c r="V19" s="53">
        <f t="shared" si="7"/>
        <v>540000</v>
      </c>
      <c r="W19" s="53">
        <f t="shared" si="8"/>
        <v>540000</v>
      </c>
      <c r="X19" s="53">
        <f t="shared" si="9"/>
        <v>809999.99999999988</v>
      </c>
      <c r="Y19" s="53">
        <f t="shared" si="10"/>
        <v>809999.99999999988</v>
      </c>
      <c r="Z19" s="763">
        <v>1</v>
      </c>
      <c r="AA19" s="53">
        <f t="shared" si="11"/>
        <v>300000</v>
      </c>
      <c r="AB19" s="150">
        <v>1</v>
      </c>
      <c r="AC19" s="53">
        <f t="shared" si="12"/>
        <v>300000</v>
      </c>
      <c r="AD19" s="150"/>
      <c r="AE19" s="53">
        <f t="shared" si="13"/>
        <v>0</v>
      </c>
      <c r="AF19" s="150">
        <v>0</v>
      </c>
      <c r="AG19" s="53">
        <f t="shared" si="14"/>
        <v>0</v>
      </c>
      <c r="AH19" s="763">
        <v>0</v>
      </c>
      <c r="AI19" s="53">
        <f t="shared" si="15"/>
        <v>0</v>
      </c>
      <c r="AJ19" s="150">
        <v>0</v>
      </c>
      <c r="AK19" s="53">
        <f t="shared" si="16"/>
        <v>0</v>
      </c>
      <c r="AL19" s="150">
        <v>0</v>
      </c>
      <c r="AM19" s="53">
        <f t="shared" si="17"/>
        <v>0</v>
      </c>
      <c r="AN19" s="150"/>
      <c r="AO19" s="53">
        <f t="shared" si="18"/>
        <v>0</v>
      </c>
      <c r="AP19" s="150">
        <v>0</v>
      </c>
      <c r="AQ19" s="53">
        <f t="shared" si="19"/>
        <v>0</v>
      </c>
      <c r="AR19" s="763">
        <v>2</v>
      </c>
      <c r="AS19" s="53">
        <f t="shared" si="20"/>
        <v>600000</v>
      </c>
      <c r="AT19" s="150">
        <v>0</v>
      </c>
      <c r="AU19" s="53">
        <f t="shared" si="34"/>
        <v>0</v>
      </c>
      <c r="AV19" s="150">
        <v>2</v>
      </c>
      <c r="AW19" s="53">
        <f t="shared" si="35"/>
        <v>600000</v>
      </c>
      <c r="AX19" s="150"/>
      <c r="AY19" s="53">
        <f t="shared" si="37"/>
        <v>0</v>
      </c>
      <c r="AZ19" s="150">
        <v>0</v>
      </c>
      <c r="BA19" s="53">
        <f t="shared" si="21"/>
        <v>0</v>
      </c>
      <c r="BB19" s="150">
        <v>1</v>
      </c>
      <c r="BC19" s="53">
        <f t="shared" si="22"/>
        <v>300000</v>
      </c>
      <c r="BD19" s="763">
        <v>2</v>
      </c>
      <c r="BE19" s="53">
        <f t="shared" si="23"/>
        <v>600000</v>
      </c>
      <c r="BF19" s="150"/>
      <c r="BG19" s="53">
        <f t="shared" si="24"/>
        <v>0</v>
      </c>
      <c r="BH19" s="150"/>
      <c r="BI19" s="53">
        <f t="shared" si="25"/>
        <v>0</v>
      </c>
      <c r="BJ19" s="135">
        <f t="shared" si="1"/>
        <v>9</v>
      </c>
      <c r="BK19" s="322">
        <f t="shared" si="1"/>
        <v>2700000</v>
      </c>
      <c r="BL19" s="332" t="s">
        <v>471</v>
      </c>
      <c r="BN19" s="113">
        <f t="shared" si="36"/>
        <v>2700000</v>
      </c>
      <c r="BO19" s="164"/>
      <c r="BP19" s="164"/>
      <c r="BQ19" s="164"/>
      <c r="BR19" s="113">
        <f t="shared" si="26"/>
        <v>2700000</v>
      </c>
      <c r="BS19" s="176"/>
      <c r="BT19" s="176"/>
      <c r="BU19" s="176"/>
      <c r="BV19" s="179">
        <f t="shared" si="2"/>
        <v>2700000</v>
      </c>
    </row>
    <row r="20" spans="1:74" x14ac:dyDescent="0.25">
      <c r="A20" s="974"/>
      <c r="B20" s="119"/>
      <c r="C20" s="343" t="s">
        <v>650</v>
      </c>
      <c r="D20" s="38" t="s">
        <v>208</v>
      </c>
      <c r="E20" s="445">
        <v>300000</v>
      </c>
      <c r="F20" s="443">
        <f t="shared" si="3"/>
        <v>16</v>
      </c>
      <c r="G20" s="79">
        <f t="shared" si="27"/>
        <v>4800000</v>
      </c>
      <c r="H20" s="79">
        <f t="shared" si="28"/>
        <v>480000</v>
      </c>
      <c r="I20" s="79">
        <f t="shared" si="4"/>
        <v>3840000</v>
      </c>
      <c r="J20" s="120"/>
      <c r="K20" s="120"/>
      <c r="L20" s="120"/>
      <c r="M20" s="120"/>
      <c r="N20" s="120"/>
      <c r="O20" s="121"/>
      <c r="P20" s="80">
        <f t="shared" si="29"/>
        <v>480000</v>
      </c>
      <c r="Q20" s="122"/>
      <c r="R20" s="57">
        <f t="shared" si="30"/>
        <v>3.2</v>
      </c>
      <c r="S20" s="54">
        <f t="shared" si="31"/>
        <v>3.2</v>
      </c>
      <c r="T20" s="54">
        <f t="shared" si="32"/>
        <v>4.8</v>
      </c>
      <c r="U20" s="54">
        <f t="shared" si="33"/>
        <v>4.8</v>
      </c>
      <c r="V20" s="53">
        <f t="shared" si="7"/>
        <v>960000</v>
      </c>
      <c r="W20" s="53">
        <f t="shared" si="8"/>
        <v>960000</v>
      </c>
      <c r="X20" s="53">
        <f t="shared" si="9"/>
        <v>1440000</v>
      </c>
      <c r="Y20" s="53">
        <f t="shared" si="10"/>
        <v>1440000</v>
      </c>
      <c r="Z20" s="123"/>
      <c r="AA20" s="53">
        <f t="shared" si="11"/>
        <v>0</v>
      </c>
      <c r="AB20" s="123">
        <v>0</v>
      </c>
      <c r="AC20" s="53">
        <f t="shared" si="12"/>
        <v>0</v>
      </c>
      <c r="AD20" s="123">
        <v>2</v>
      </c>
      <c r="AE20" s="688">
        <f t="shared" si="13"/>
        <v>600000</v>
      </c>
      <c r="AF20" s="123">
        <v>0</v>
      </c>
      <c r="AG20" s="53">
        <f t="shared" si="14"/>
        <v>0</v>
      </c>
      <c r="AH20" s="123">
        <v>1</v>
      </c>
      <c r="AI20" s="53">
        <f t="shared" si="15"/>
        <v>300000</v>
      </c>
      <c r="AJ20" s="123"/>
      <c r="AK20" s="53">
        <f t="shared" si="16"/>
        <v>0</v>
      </c>
      <c r="AL20" s="123"/>
      <c r="AM20" s="53">
        <f t="shared" si="17"/>
        <v>0</v>
      </c>
      <c r="AN20" s="123">
        <v>2</v>
      </c>
      <c r="AO20" s="53">
        <f t="shared" si="18"/>
        <v>600000</v>
      </c>
      <c r="AP20" s="123">
        <v>1</v>
      </c>
      <c r="AQ20" s="53">
        <f t="shared" si="19"/>
        <v>300000</v>
      </c>
      <c r="AR20" s="123">
        <v>6</v>
      </c>
      <c r="AS20" s="53">
        <f t="shared" si="20"/>
        <v>1800000</v>
      </c>
      <c r="AT20" s="625">
        <v>0</v>
      </c>
      <c r="AU20" s="53">
        <f t="shared" si="34"/>
        <v>0</v>
      </c>
      <c r="AV20" s="123">
        <v>0</v>
      </c>
      <c r="AW20" s="53">
        <f t="shared" si="35"/>
        <v>0</v>
      </c>
      <c r="AX20" s="123">
        <v>0</v>
      </c>
      <c r="AY20" s="53">
        <f t="shared" si="37"/>
        <v>0</v>
      </c>
      <c r="AZ20" s="123"/>
      <c r="BA20" s="53">
        <f t="shared" si="21"/>
        <v>0</v>
      </c>
      <c r="BB20" s="625">
        <v>1</v>
      </c>
      <c r="BC20" s="53">
        <f t="shared" si="22"/>
        <v>300000</v>
      </c>
      <c r="BD20" s="625">
        <v>3</v>
      </c>
      <c r="BE20" s="53">
        <f t="shared" si="23"/>
        <v>900000</v>
      </c>
      <c r="BF20" s="123"/>
      <c r="BG20" s="53">
        <f t="shared" si="24"/>
        <v>0</v>
      </c>
      <c r="BH20" s="123"/>
      <c r="BI20" s="53">
        <f t="shared" si="25"/>
        <v>0</v>
      </c>
      <c r="BJ20" s="47">
        <f t="shared" si="1"/>
        <v>16</v>
      </c>
      <c r="BK20" s="117">
        <f t="shared" si="1"/>
        <v>4800000</v>
      </c>
      <c r="BL20" s="331" t="s">
        <v>471</v>
      </c>
      <c r="BN20" s="113">
        <f t="shared" si="36"/>
        <v>4800000</v>
      </c>
      <c r="BO20" s="124"/>
      <c r="BP20" s="124"/>
      <c r="BQ20" s="124"/>
      <c r="BR20" s="113">
        <f t="shared" si="26"/>
        <v>4800000</v>
      </c>
      <c r="BS20" s="113"/>
      <c r="BT20" s="113"/>
      <c r="BU20" s="113"/>
      <c r="BV20" s="179">
        <f t="shared" si="2"/>
        <v>4800000</v>
      </c>
    </row>
    <row r="21" spans="1:74" x14ac:dyDescent="0.25">
      <c r="A21" s="974"/>
      <c r="B21" s="119"/>
      <c r="C21" s="343" t="s">
        <v>756</v>
      </c>
      <c r="D21" s="38" t="s">
        <v>208</v>
      </c>
      <c r="E21" s="445">
        <v>200000</v>
      </c>
      <c r="F21" s="443">
        <f t="shared" si="3"/>
        <v>6</v>
      </c>
      <c r="G21" s="79">
        <f t="shared" si="27"/>
        <v>1200000</v>
      </c>
      <c r="H21" s="79">
        <f t="shared" si="28"/>
        <v>120000</v>
      </c>
      <c r="I21" s="79">
        <f t="shared" si="4"/>
        <v>960000</v>
      </c>
      <c r="J21" s="120"/>
      <c r="K21" s="120"/>
      <c r="L21" s="120"/>
      <c r="M21" s="120"/>
      <c r="N21" s="120"/>
      <c r="O21" s="121"/>
      <c r="P21" s="80">
        <f t="shared" si="29"/>
        <v>120000</v>
      </c>
      <c r="Q21" s="122"/>
      <c r="R21" s="57">
        <f t="shared" si="30"/>
        <v>1.2000000000000002</v>
      </c>
      <c r="S21" s="54">
        <f t="shared" si="31"/>
        <v>1.2000000000000002</v>
      </c>
      <c r="T21" s="54">
        <f t="shared" si="32"/>
        <v>1.7999999999999998</v>
      </c>
      <c r="U21" s="54">
        <f t="shared" si="33"/>
        <v>1.7999999999999998</v>
      </c>
      <c r="V21" s="53">
        <f t="shared" si="7"/>
        <v>240000.00000000003</v>
      </c>
      <c r="W21" s="53">
        <f t="shared" si="8"/>
        <v>240000.00000000003</v>
      </c>
      <c r="X21" s="53">
        <f t="shared" si="9"/>
        <v>359999.99999999994</v>
      </c>
      <c r="Y21" s="53">
        <f t="shared" si="10"/>
        <v>359999.99999999994</v>
      </c>
      <c r="Z21" s="123"/>
      <c r="AA21" s="53">
        <f t="shared" si="11"/>
        <v>0</v>
      </c>
      <c r="AB21" s="123"/>
      <c r="AC21" s="53">
        <f t="shared" si="12"/>
        <v>0</v>
      </c>
      <c r="AD21" s="123"/>
      <c r="AE21" s="53">
        <f t="shared" si="13"/>
        <v>0</v>
      </c>
      <c r="AF21" s="123"/>
      <c r="AG21" s="53">
        <f t="shared" si="14"/>
        <v>0</v>
      </c>
      <c r="AH21" s="123"/>
      <c r="AI21" s="53">
        <f t="shared" si="15"/>
        <v>0</v>
      </c>
      <c r="AJ21" s="123"/>
      <c r="AK21" s="53">
        <f t="shared" si="16"/>
        <v>0</v>
      </c>
      <c r="AL21" s="123">
        <v>0</v>
      </c>
      <c r="AM21" s="53">
        <f t="shared" si="17"/>
        <v>0</v>
      </c>
      <c r="AN21" s="123">
        <v>1</v>
      </c>
      <c r="AO21" s="53">
        <f t="shared" si="18"/>
        <v>200000</v>
      </c>
      <c r="AP21" s="123"/>
      <c r="AQ21" s="53">
        <f t="shared" si="19"/>
        <v>0</v>
      </c>
      <c r="AR21" s="123"/>
      <c r="AS21" s="53">
        <f t="shared" si="20"/>
        <v>0</v>
      </c>
      <c r="AT21" s="123">
        <v>0</v>
      </c>
      <c r="AU21" s="53">
        <f t="shared" si="34"/>
        <v>0</v>
      </c>
      <c r="AV21" s="123">
        <v>0</v>
      </c>
      <c r="AW21" s="53">
        <f t="shared" si="35"/>
        <v>0</v>
      </c>
      <c r="AX21" s="123">
        <v>1</v>
      </c>
      <c r="AY21" s="53">
        <f t="shared" si="37"/>
        <v>200000</v>
      </c>
      <c r="AZ21" s="123"/>
      <c r="BA21" s="53">
        <f t="shared" si="21"/>
        <v>0</v>
      </c>
      <c r="BB21" s="123">
        <v>0</v>
      </c>
      <c r="BC21" s="53">
        <f t="shared" si="22"/>
        <v>0</v>
      </c>
      <c r="BD21" s="625">
        <v>3</v>
      </c>
      <c r="BE21" s="53">
        <f t="shared" si="23"/>
        <v>600000</v>
      </c>
      <c r="BF21" s="123">
        <v>1</v>
      </c>
      <c r="BG21" s="53">
        <f t="shared" si="24"/>
        <v>200000</v>
      </c>
      <c r="BH21" s="123"/>
      <c r="BI21" s="53">
        <f t="shared" si="25"/>
        <v>0</v>
      </c>
      <c r="BJ21" s="47">
        <f t="shared" si="1"/>
        <v>6</v>
      </c>
      <c r="BK21" s="117">
        <f t="shared" si="1"/>
        <v>1200000</v>
      </c>
      <c r="BL21" s="331" t="s">
        <v>471</v>
      </c>
      <c r="BN21" s="113">
        <f t="shared" si="36"/>
        <v>1200000</v>
      </c>
      <c r="BO21" s="124"/>
      <c r="BP21" s="124"/>
      <c r="BQ21" s="124"/>
      <c r="BR21" s="113">
        <f t="shared" si="26"/>
        <v>1200000</v>
      </c>
      <c r="BS21" s="113"/>
      <c r="BT21" s="113"/>
      <c r="BU21" s="113"/>
      <c r="BV21" s="179">
        <f t="shared" si="2"/>
        <v>1200000</v>
      </c>
    </row>
    <row r="22" spans="1:74" x14ac:dyDescent="0.25">
      <c r="A22" s="974"/>
      <c r="B22" s="119"/>
      <c r="C22" s="343" t="s">
        <v>644</v>
      </c>
      <c r="D22" s="38" t="s">
        <v>208</v>
      </c>
      <c r="E22" s="764">
        <v>300000</v>
      </c>
      <c r="F22" s="443">
        <f t="shared" si="3"/>
        <v>18</v>
      </c>
      <c r="G22" s="79">
        <f t="shared" si="27"/>
        <v>5400000</v>
      </c>
      <c r="H22" s="79">
        <f t="shared" si="28"/>
        <v>540000</v>
      </c>
      <c r="I22" s="79">
        <f t="shared" si="4"/>
        <v>4320000</v>
      </c>
      <c r="J22" s="120"/>
      <c r="K22" s="120"/>
      <c r="L22" s="120"/>
      <c r="M22" s="120"/>
      <c r="N22" s="120"/>
      <c r="O22" s="121"/>
      <c r="P22" s="80">
        <f t="shared" si="29"/>
        <v>540000</v>
      </c>
      <c r="Q22" s="122"/>
      <c r="R22" s="57">
        <f t="shared" si="30"/>
        <v>3.6</v>
      </c>
      <c r="S22" s="54">
        <f t="shared" si="31"/>
        <v>3.6</v>
      </c>
      <c r="T22" s="54">
        <f t="shared" si="32"/>
        <v>5.3999999999999995</v>
      </c>
      <c r="U22" s="54">
        <f t="shared" si="33"/>
        <v>5.3999999999999995</v>
      </c>
      <c r="V22" s="53">
        <f t="shared" si="7"/>
        <v>1080000</v>
      </c>
      <c r="W22" s="53">
        <f t="shared" si="8"/>
        <v>1080000</v>
      </c>
      <c r="X22" s="53">
        <f t="shared" si="9"/>
        <v>1619999.9999999998</v>
      </c>
      <c r="Y22" s="53">
        <f t="shared" si="10"/>
        <v>1619999.9999999998</v>
      </c>
      <c r="Z22" s="123">
        <v>5</v>
      </c>
      <c r="AA22" s="53">
        <f t="shared" si="11"/>
        <v>1500000</v>
      </c>
      <c r="AB22" s="123">
        <v>0</v>
      </c>
      <c r="AC22" s="53">
        <f t="shared" si="12"/>
        <v>0</v>
      </c>
      <c r="AD22" s="123">
        <v>2</v>
      </c>
      <c r="AE22" s="688">
        <f t="shared" si="13"/>
        <v>600000</v>
      </c>
      <c r="AF22" s="123">
        <v>0</v>
      </c>
      <c r="AG22" s="53">
        <f t="shared" si="14"/>
        <v>0</v>
      </c>
      <c r="AH22" s="123">
        <v>1</v>
      </c>
      <c r="AI22" s="53">
        <f t="shared" si="15"/>
        <v>300000</v>
      </c>
      <c r="AJ22" s="123">
        <v>1</v>
      </c>
      <c r="AK22" s="53">
        <f t="shared" si="16"/>
        <v>300000</v>
      </c>
      <c r="AL22" s="123">
        <v>1</v>
      </c>
      <c r="AM22" s="53">
        <f t="shared" si="17"/>
        <v>300000</v>
      </c>
      <c r="AN22" s="123"/>
      <c r="AO22" s="53">
        <f t="shared" si="18"/>
        <v>0</v>
      </c>
      <c r="AP22" s="123"/>
      <c r="AQ22" s="53">
        <f t="shared" si="19"/>
        <v>0</v>
      </c>
      <c r="AR22" s="123">
        <v>2</v>
      </c>
      <c r="AS22" s="53">
        <f t="shared" si="20"/>
        <v>600000</v>
      </c>
      <c r="AT22" s="123">
        <v>1</v>
      </c>
      <c r="AU22" s="53">
        <f t="shared" si="34"/>
        <v>300000</v>
      </c>
      <c r="AV22" s="123">
        <v>2</v>
      </c>
      <c r="AW22" s="53">
        <f t="shared" si="35"/>
        <v>600000</v>
      </c>
      <c r="AX22" s="123">
        <v>1</v>
      </c>
      <c r="AY22" s="53">
        <f t="shared" si="37"/>
        <v>300000</v>
      </c>
      <c r="AZ22" s="123"/>
      <c r="BA22" s="53">
        <f t="shared" si="21"/>
        <v>0</v>
      </c>
      <c r="BB22" s="123">
        <v>1</v>
      </c>
      <c r="BC22" s="53">
        <f t="shared" si="22"/>
        <v>300000</v>
      </c>
      <c r="BD22" s="123"/>
      <c r="BE22" s="53">
        <f t="shared" si="23"/>
        <v>0</v>
      </c>
      <c r="BF22" s="123">
        <v>1</v>
      </c>
      <c r="BG22" s="53">
        <f t="shared" si="24"/>
        <v>300000</v>
      </c>
      <c r="BH22" s="123"/>
      <c r="BI22" s="53">
        <f t="shared" si="25"/>
        <v>0</v>
      </c>
      <c r="BJ22" s="47">
        <f t="shared" si="1"/>
        <v>18</v>
      </c>
      <c r="BK22" s="117">
        <f t="shared" si="1"/>
        <v>5400000</v>
      </c>
      <c r="BL22" s="331" t="s">
        <v>471</v>
      </c>
      <c r="BN22" s="113">
        <f t="shared" si="36"/>
        <v>5400000</v>
      </c>
      <c r="BO22" s="124"/>
      <c r="BP22" s="124"/>
      <c r="BQ22" s="124"/>
      <c r="BR22" s="113">
        <f t="shared" si="26"/>
        <v>5400000</v>
      </c>
      <c r="BS22" s="113"/>
      <c r="BT22" s="113"/>
      <c r="BU22" s="113"/>
      <c r="BV22" s="179">
        <f t="shared" si="2"/>
        <v>5400000</v>
      </c>
    </row>
    <row r="23" spans="1:74" x14ac:dyDescent="0.25">
      <c r="A23" s="974"/>
      <c r="B23" s="119"/>
      <c r="C23" s="343" t="s">
        <v>643</v>
      </c>
      <c r="D23" s="38" t="s">
        <v>208</v>
      </c>
      <c r="E23" s="445">
        <v>150000</v>
      </c>
      <c r="F23" s="443">
        <f t="shared" si="3"/>
        <v>4</v>
      </c>
      <c r="G23" s="79">
        <f t="shared" si="27"/>
        <v>600000</v>
      </c>
      <c r="H23" s="79">
        <f t="shared" si="28"/>
        <v>60000</v>
      </c>
      <c r="I23" s="79">
        <f t="shared" si="4"/>
        <v>480000</v>
      </c>
      <c r="J23" s="120"/>
      <c r="K23" s="120"/>
      <c r="L23" s="120"/>
      <c r="M23" s="120"/>
      <c r="N23" s="120"/>
      <c r="O23" s="121"/>
      <c r="P23" s="80">
        <f t="shared" si="29"/>
        <v>60000</v>
      </c>
      <c r="Q23" s="122"/>
      <c r="R23" s="57">
        <f t="shared" si="30"/>
        <v>0.8</v>
      </c>
      <c r="S23" s="54">
        <f t="shared" si="31"/>
        <v>0.8</v>
      </c>
      <c r="T23" s="54">
        <f t="shared" si="32"/>
        <v>1.2</v>
      </c>
      <c r="U23" s="54">
        <f t="shared" si="33"/>
        <v>1.2</v>
      </c>
      <c r="V23" s="53">
        <f t="shared" si="7"/>
        <v>120000</v>
      </c>
      <c r="W23" s="53">
        <f t="shared" si="8"/>
        <v>120000</v>
      </c>
      <c r="X23" s="53">
        <f t="shared" si="9"/>
        <v>180000</v>
      </c>
      <c r="Y23" s="53">
        <f t="shared" si="10"/>
        <v>180000</v>
      </c>
      <c r="Z23" s="123"/>
      <c r="AA23" s="53">
        <f t="shared" si="11"/>
        <v>0</v>
      </c>
      <c r="AB23" s="123"/>
      <c r="AC23" s="53">
        <f t="shared" si="12"/>
        <v>0</v>
      </c>
      <c r="AD23" s="123"/>
      <c r="AE23" s="53">
        <f t="shared" si="13"/>
        <v>0</v>
      </c>
      <c r="AF23" s="123"/>
      <c r="AG23" s="53">
        <f t="shared" si="14"/>
        <v>0</v>
      </c>
      <c r="AH23" s="123"/>
      <c r="AI23" s="53">
        <f t="shared" si="15"/>
        <v>0</v>
      </c>
      <c r="AJ23" s="123">
        <v>1</v>
      </c>
      <c r="AK23" s="53">
        <f t="shared" si="16"/>
        <v>150000</v>
      </c>
      <c r="AL23" s="123">
        <v>0</v>
      </c>
      <c r="AM23" s="53">
        <f t="shared" si="17"/>
        <v>0</v>
      </c>
      <c r="AN23" s="123">
        <v>0</v>
      </c>
      <c r="AO23" s="53">
        <f t="shared" si="18"/>
        <v>0</v>
      </c>
      <c r="AP23" s="123"/>
      <c r="AQ23" s="53">
        <f t="shared" si="19"/>
        <v>0</v>
      </c>
      <c r="AR23" s="123"/>
      <c r="AS23" s="53">
        <f t="shared" si="20"/>
        <v>0</v>
      </c>
      <c r="AT23" s="123">
        <v>0</v>
      </c>
      <c r="AU23" s="53">
        <f t="shared" si="34"/>
        <v>0</v>
      </c>
      <c r="AV23" s="123">
        <v>0</v>
      </c>
      <c r="AW23" s="53">
        <f t="shared" si="35"/>
        <v>0</v>
      </c>
      <c r="AX23" s="625">
        <v>0</v>
      </c>
      <c r="AY23" s="53">
        <f t="shared" si="37"/>
        <v>0</v>
      </c>
      <c r="AZ23" s="123">
        <v>3</v>
      </c>
      <c r="BA23" s="53">
        <f t="shared" si="21"/>
        <v>450000</v>
      </c>
      <c r="BB23" s="123"/>
      <c r="BC23" s="53">
        <f t="shared" si="22"/>
        <v>0</v>
      </c>
      <c r="BD23" s="625">
        <v>0</v>
      </c>
      <c r="BE23" s="53">
        <f t="shared" si="23"/>
        <v>0</v>
      </c>
      <c r="BF23" s="625">
        <v>0</v>
      </c>
      <c r="BG23" s="53">
        <f t="shared" si="24"/>
        <v>0</v>
      </c>
      <c r="BH23" s="123"/>
      <c r="BI23" s="53">
        <f t="shared" si="25"/>
        <v>0</v>
      </c>
      <c r="BJ23" s="47">
        <f t="shared" si="1"/>
        <v>4</v>
      </c>
      <c r="BK23" s="117">
        <f t="shared" si="1"/>
        <v>600000</v>
      </c>
      <c r="BL23" s="331" t="s">
        <v>471</v>
      </c>
      <c r="BN23" s="113">
        <f t="shared" si="36"/>
        <v>600000</v>
      </c>
      <c r="BO23" s="124"/>
      <c r="BP23" s="124"/>
      <c r="BQ23" s="124"/>
      <c r="BR23" s="113">
        <f t="shared" si="26"/>
        <v>600000</v>
      </c>
      <c r="BS23" s="113"/>
      <c r="BT23" s="113"/>
      <c r="BU23" s="113"/>
      <c r="BV23" s="179">
        <f t="shared" si="2"/>
        <v>600000</v>
      </c>
    </row>
    <row r="24" spans="1:74" x14ac:dyDescent="0.25">
      <c r="A24" s="974"/>
      <c r="B24" s="119"/>
      <c r="C24" s="343" t="s">
        <v>645</v>
      </c>
      <c r="D24" s="38" t="s">
        <v>208</v>
      </c>
      <c r="E24" s="445">
        <v>600000</v>
      </c>
      <c r="F24" s="443">
        <f t="shared" si="3"/>
        <v>172</v>
      </c>
      <c r="G24" s="79">
        <f t="shared" si="27"/>
        <v>103200000</v>
      </c>
      <c r="H24" s="79">
        <f t="shared" si="28"/>
        <v>10320000</v>
      </c>
      <c r="I24" s="79">
        <f t="shared" si="4"/>
        <v>82560000</v>
      </c>
      <c r="J24" s="120"/>
      <c r="K24" s="120"/>
      <c r="L24" s="120"/>
      <c r="M24" s="120"/>
      <c r="N24" s="120"/>
      <c r="O24" s="121"/>
      <c r="P24" s="80">
        <f t="shared" si="29"/>
        <v>10320000</v>
      </c>
      <c r="Q24" s="122"/>
      <c r="R24" s="57">
        <f t="shared" si="30"/>
        <v>34.4</v>
      </c>
      <c r="S24" s="54">
        <f t="shared" si="31"/>
        <v>34.4</v>
      </c>
      <c r="T24" s="54">
        <f t="shared" si="32"/>
        <v>51.6</v>
      </c>
      <c r="U24" s="54">
        <f t="shared" si="33"/>
        <v>51.6</v>
      </c>
      <c r="V24" s="53">
        <f t="shared" si="7"/>
        <v>20640000</v>
      </c>
      <c r="W24" s="53">
        <f t="shared" si="8"/>
        <v>20640000</v>
      </c>
      <c r="X24" s="53">
        <f t="shared" si="9"/>
        <v>30960000</v>
      </c>
      <c r="Y24" s="53">
        <f t="shared" si="10"/>
        <v>30960000</v>
      </c>
      <c r="Z24" s="123">
        <v>10</v>
      </c>
      <c r="AA24" s="53">
        <f t="shared" si="11"/>
        <v>6000000</v>
      </c>
      <c r="AB24" s="123">
        <v>0</v>
      </c>
      <c r="AC24" s="53">
        <f t="shared" si="12"/>
        <v>0</v>
      </c>
      <c r="AD24" s="123">
        <v>6</v>
      </c>
      <c r="AE24" s="53">
        <f t="shared" si="13"/>
        <v>3600000</v>
      </c>
      <c r="AF24" s="123">
        <v>10</v>
      </c>
      <c r="AG24" s="53">
        <f t="shared" si="14"/>
        <v>6000000</v>
      </c>
      <c r="AH24" s="123">
        <v>10</v>
      </c>
      <c r="AI24" s="53">
        <f t="shared" si="15"/>
        <v>6000000</v>
      </c>
      <c r="AJ24" s="123">
        <v>10</v>
      </c>
      <c r="AK24" s="53">
        <f t="shared" si="16"/>
        <v>6000000</v>
      </c>
      <c r="AL24" s="123">
        <v>4</v>
      </c>
      <c r="AM24" s="53">
        <f t="shared" si="17"/>
        <v>2400000</v>
      </c>
      <c r="AN24" s="625">
        <v>15</v>
      </c>
      <c r="AO24" s="53">
        <f t="shared" si="18"/>
        <v>9000000</v>
      </c>
      <c r="AP24" s="123">
        <v>5</v>
      </c>
      <c r="AQ24" s="53">
        <f t="shared" si="19"/>
        <v>3000000</v>
      </c>
      <c r="AR24" s="123">
        <v>10</v>
      </c>
      <c r="AS24" s="53">
        <f t="shared" si="20"/>
        <v>6000000</v>
      </c>
      <c r="AT24" s="625">
        <v>12</v>
      </c>
      <c r="AU24" s="53">
        <f t="shared" si="34"/>
        <v>7200000</v>
      </c>
      <c r="AV24" s="123">
        <v>10</v>
      </c>
      <c r="AW24" s="53">
        <f t="shared" si="35"/>
        <v>6000000</v>
      </c>
      <c r="AX24" s="625">
        <v>12</v>
      </c>
      <c r="AY24" s="53">
        <f t="shared" si="37"/>
        <v>7200000</v>
      </c>
      <c r="AZ24" s="123">
        <v>20</v>
      </c>
      <c r="BA24" s="53">
        <f t="shared" si="21"/>
        <v>12000000</v>
      </c>
      <c r="BB24" s="123">
        <v>13</v>
      </c>
      <c r="BC24" s="53">
        <f t="shared" si="22"/>
        <v>7800000</v>
      </c>
      <c r="BD24" s="625">
        <v>17</v>
      </c>
      <c r="BE24" s="53">
        <f t="shared" si="23"/>
        <v>10200000</v>
      </c>
      <c r="BF24" s="123">
        <v>8</v>
      </c>
      <c r="BG24" s="53">
        <f t="shared" si="24"/>
        <v>4800000</v>
      </c>
      <c r="BH24" s="123"/>
      <c r="BI24" s="53">
        <f t="shared" si="25"/>
        <v>0</v>
      </c>
      <c r="BJ24" s="47">
        <f t="shared" si="1"/>
        <v>172</v>
      </c>
      <c r="BK24" s="117">
        <f t="shared" si="1"/>
        <v>103200000</v>
      </c>
      <c r="BL24" s="331" t="s">
        <v>471</v>
      </c>
      <c r="BN24" s="113">
        <f t="shared" si="36"/>
        <v>103200000</v>
      </c>
      <c r="BO24" s="124"/>
      <c r="BP24" s="124"/>
      <c r="BQ24" s="124"/>
      <c r="BR24" s="113">
        <f t="shared" si="26"/>
        <v>103200000</v>
      </c>
      <c r="BS24" s="113"/>
      <c r="BT24" s="113"/>
      <c r="BU24" s="113"/>
      <c r="BV24" s="179">
        <f t="shared" si="2"/>
        <v>103200000</v>
      </c>
    </row>
    <row r="25" spans="1:74" ht="35.25" customHeight="1" x14ac:dyDescent="0.25">
      <c r="A25" s="974"/>
      <c r="B25" s="119"/>
      <c r="C25" s="343" t="s">
        <v>718</v>
      </c>
      <c r="D25" s="38" t="s">
        <v>208</v>
      </c>
      <c r="E25" s="445">
        <v>250000</v>
      </c>
      <c r="F25" s="443">
        <f t="shared" si="3"/>
        <v>21</v>
      </c>
      <c r="G25" s="79">
        <f t="shared" si="27"/>
        <v>5250000</v>
      </c>
      <c r="H25" s="79">
        <f t="shared" si="28"/>
        <v>525000</v>
      </c>
      <c r="I25" s="79">
        <f t="shared" si="4"/>
        <v>4200000</v>
      </c>
      <c r="J25" s="120"/>
      <c r="K25" s="120"/>
      <c r="L25" s="120"/>
      <c r="M25" s="120"/>
      <c r="N25" s="120"/>
      <c r="O25" s="121"/>
      <c r="P25" s="80">
        <f t="shared" si="29"/>
        <v>525000</v>
      </c>
      <c r="Q25" s="122"/>
      <c r="R25" s="57">
        <f t="shared" si="30"/>
        <v>4.2</v>
      </c>
      <c r="S25" s="54">
        <f t="shared" si="31"/>
        <v>4.2</v>
      </c>
      <c r="T25" s="54">
        <f t="shared" si="32"/>
        <v>6.3</v>
      </c>
      <c r="U25" s="54">
        <f t="shared" si="33"/>
        <v>6.3</v>
      </c>
      <c r="V25" s="53">
        <f t="shared" si="7"/>
        <v>1050000</v>
      </c>
      <c r="W25" s="53">
        <f t="shared" si="8"/>
        <v>1050000</v>
      </c>
      <c r="X25" s="53">
        <f t="shared" si="9"/>
        <v>1575000</v>
      </c>
      <c r="Y25" s="53">
        <f t="shared" si="10"/>
        <v>1575000</v>
      </c>
      <c r="Z25" s="123">
        <v>4</v>
      </c>
      <c r="AA25" s="53">
        <f t="shared" si="11"/>
        <v>1000000</v>
      </c>
      <c r="AB25" s="123">
        <v>1</v>
      </c>
      <c r="AC25" s="53">
        <f t="shared" si="12"/>
        <v>250000</v>
      </c>
      <c r="AD25" s="123">
        <v>0</v>
      </c>
      <c r="AE25" s="53">
        <f t="shared" si="13"/>
        <v>0</v>
      </c>
      <c r="AF25" s="123">
        <v>0</v>
      </c>
      <c r="AG25" s="53">
        <f t="shared" si="14"/>
        <v>0</v>
      </c>
      <c r="AH25" s="123">
        <v>0</v>
      </c>
      <c r="AI25" s="53">
        <f t="shared" si="15"/>
        <v>0</v>
      </c>
      <c r="AJ25" s="123">
        <v>1</v>
      </c>
      <c r="AK25" s="53">
        <f t="shared" si="16"/>
        <v>250000</v>
      </c>
      <c r="AL25" s="123">
        <v>0</v>
      </c>
      <c r="AM25" s="53">
        <f t="shared" si="17"/>
        <v>0</v>
      </c>
      <c r="AN25" s="123">
        <v>4</v>
      </c>
      <c r="AO25" s="53">
        <f t="shared" si="18"/>
        <v>1000000</v>
      </c>
      <c r="AP25" s="123"/>
      <c r="AQ25" s="53">
        <f t="shared" si="19"/>
        <v>0</v>
      </c>
      <c r="AR25" s="625">
        <v>3</v>
      </c>
      <c r="AS25" s="53">
        <f t="shared" si="20"/>
        <v>750000</v>
      </c>
      <c r="AT25" s="765">
        <v>1</v>
      </c>
      <c r="AU25" s="53">
        <f t="shared" si="34"/>
        <v>250000</v>
      </c>
      <c r="AV25" s="123">
        <v>1</v>
      </c>
      <c r="AW25" s="53">
        <f t="shared" si="35"/>
        <v>250000</v>
      </c>
      <c r="AX25" s="123">
        <v>0</v>
      </c>
      <c r="AY25" s="53">
        <f t="shared" si="37"/>
        <v>0</v>
      </c>
      <c r="AZ25" s="625">
        <v>2</v>
      </c>
      <c r="BA25" s="53">
        <f t="shared" si="21"/>
        <v>500000</v>
      </c>
      <c r="BB25" s="625">
        <v>1</v>
      </c>
      <c r="BC25" s="53">
        <f t="shared" si="22"/>
        <v>250000</v>
      </c>
      <c r="BD25" s="123">
        <v>2</v>
      </c>
      <c r="BE25" s="53">
        <f t="shared" si="23"/>
        <v>500000</v>
      </c>
      <c r="BF25" s="123">
        <v>1</v>
      </c>
      <c r="BG25" s="53">
        <f t="shared" si="24"/>
        <v>250000</v>
      </c>
      <c r="BH25" s="123"/>
      <c r="BI25" s="53">
        <f t="shared" si="25"/>
        <v>0</v>
      </c>
      <c r="BJ25" s="47">
        <f t="shared" si="1"/>
        <v>21</v>
      </c>
      <c r="BK25" s="117">
        <f t="shared" si="1"/>
        <v>5250000</v>
      </c>
      <c r="BL25" s="331" t="s">
        <v>471</v>
      </c>
      <c r="BN25" s="113">
        <f t="shared" si="36"/>
        <v>5250000</v>
      </c>
      <c r="BO25" s="124"/>
      <c r="BP25" s="124"/>
      <c r="BQ25" s="124"/>
      <c r="BR25" s="113">
        <f t="shared" si="26"/>
        <v>5250000</v>
      </c>
      <c r="BS25" s="113"/>
      <c r="BT25" s="113"/>
      <c r="BU25" s="113"/>
      <c r="BV25" s="179">
        <f t="shared" si="2"/>
        <v>5250000</v>
      </c>
    </row>
    <row r="26" spans="1:74" x14ac:dyDescent="0.25">
      <c r="A26" s="974"/>
      <c r="B26" s="119"/>
      <c r="C26" s="343" t="s">
        <v>646</v>
      </c>
      <c r="D26" s="38" t="s">
        <v>208</v>
      </c>
      <c r="E26" s="445">
        <v>100000</v>
      </c>
      <c r="F26" s="443">
        <f t="shared" si="3"/>
        <v>8</v>
      </c>
      <c r="G26" s="79">
        <f t="shared" si="27"/>
        <v>800000</v>
      </c>
      <c r="H26" s="79">
        <f t="shared" si="28"/>
        <v>80000</v>
      </c>
      <c r="I26" s="79">
        <f t="shared" si="4"/>
        <v>640000</v>
      </c>
      <c r="J26" s="120"/>
      <c r="K26" s="120"/>
      <c r="L26" s="120"/>
      <c r="M26" s="120"/>
      <c r="N26" s="120"/>
      <c r="O26" s="121"/>
      <c r="P26" s="80">
        <f t="shared" si="29"/>
        <v>80000</v>
      </c>
      <c r="Q26" s="122"/>
      <c r="R26" s="57">
        <f t="shared" si="30"/>
        <v>1.6</v>
      </c>
      <c r="S26" s="54">
        <f t="shared" si="31"/>
        <v>1.6</v>
      </c>
      <c r="T26" s="54">
        <f t="shared" si="32"/>
        <v>2.4</v>
      </c>
      <c r="U26" s="54">
        <f t="shared" si="33"/>
        <v>2.4</v>
      </c>
      <c r="V26" s="53">
        <f t="shared" si="7"/>
        <v>160000</v>
      </c>
      <c r="W26" s="53">
        <f t="shared" si="8"/>
        <v>160000</v>
      </c>
      <c r="X26" s="53">
        <f t="shared" si="9"/>
        <v>240000</v>
      </c>
      <c r="Y26" s="53">
        <f t="shared" si="10"/>
        <v>240000</v>
      </c>
      <c r="Z26" s="123">
        <v>2</v>
      </c>
      <c r="AA26" s="53">
        <f t="shared" si="11"/>
        <v>200000</v>
      </c>
      <c r="AB26" s="123">
        <v>0</v>
      </c>
      <c r="AC26" s="53">
        <f t="shared" si="12"/>
        <v>0</v>
      </c>
      <c r="AD26" s="123">
        <v>0</v>
      </c>
      <c r="AE26" s="53">
        <f t="shared" si="13"/>
        <v>0</v>
      </c>
      <c r="AF26" s="123">
        <v>0</v>
      </c>
      <c r="AG26" s="53">
        <f t="shared" si="14"/>
        <v>0</v>
      </c>
      <c r="AH26" s="123">
        <v>1</v>
      </c>
      <c r="AI26" s="53">
        <f t="shared" si="15"/>
        <v>100000</v>
      </c>
      <c r="AJ26" s="123">
        <v>1</v>
      </c>
      <c r="AK26" s="53">
        <f t="shared" si="16"/>
        <v>100000</v>
      </c>
      <c r="AL26" s="123"/>
      <c r="AM26" s="53">
        <f t="shared" si="17"/>
        <v>0</v>
      </c>
      <c r="AN26" s="123"/>
      <c r="AO26" s="53">
        <f t="shared" si="18"/>
        <v>0</v>
      </c>
      <c r="AP26" s="123">
        <v>0</v>
      </c>
      <c r="AQ26" s="53">
        <f t="shared" si="19"/>
        <v>0</v>
      </c>
      <c r="AR26" s="123">
        <v>2</v>
      </c>
      <c r="AS26" s="53">
        <f t="shared" si="20"/>
        <v>200000</v>
      </c>
      <c r="AT26" s="123">
        <v>0</v>
      </c>
      <c r="AU26" s="53">
        <f t="shared" si="34"/>
        <v>0</v>
      </c>
      <c r="AV26" s="123">
        <v>0</v>
      </c>
      <c r="AW26" s="53">
        <f t="shared" si="35"/>
        <v>0</v>
      </c>
      <c r="AX26" s="123">
        <v>0</v>
      </c>
      <c r="AY26" s="53">
        <f t="shared" si="37"/>
        <v>0</v>
      </c>
      <c r="AZ26" s="123">
        <v>1</v>
      </c>
      <c r="BA26" s="53">
        <f t="shared" si="21"/>
        <v>100000</v>
      </c>
      <c r="BB26" s="625">
        <v>1</v>
      </c>
      <c r="BC26" s="53">
        <f t="shared" si="22"/>
        <v>100000</v>
      </c>
      <c r="BD26" s="123"/>
      <c r="BE26" s="53">
        <f t="shared" si="23"/>
        <v>0</v>
      </c>
      <c r="BF26" s="123"/>
      <c r="BG26" s="53">
        <f t="shared" si="24"/>
        <v>0</v>
      </c>
      <c r="BH26" s="123"/>
      <c r="BI26" s="53">
        <f t="shared" si="25"/>
        <v>0</v>
      </c>
      <c r="BJ26" s="47">
        <f t="shared" si="1"/>
        <v>8</v>
      </c>
      <c r="BK26" s="117">
        <f t="shared" si="1"/>
        <v>800000</v>
      </c>
      <c r="BL26" s="331" t="s">
        <v>471</v>
      </c>
      <c r="BN26" s="113">
        <f t="shared" si="36"/>
        <v>800000</v>
      </c>
      <c r="BO26" s="124"/>
      <c r="BP26" s="124"/>
      <c r="BQ26" s="124"/>
      <c r="BR26" s="113">
        <f t="shared" si="26"/>
        <v>800000</v>
      </c>
      <c r="BS26" s="113"/>
      <c r="BT26" s="113"/>
      <c r="BU26" s="113"/>
      <c r="BV26" s="179">
        <f t="shared" si="2"/>
        <v>800000</v>
      </c>
    </row>
    <row r="27" spans="1:74" x14ac:dyDescent="0.25">
      <c r="A27" s="974"/>
      <c r="B27" s="119"/>
      <c r="C27" s="343" t="s">
        <v>647</v>
      </c>
      <c r="D27" s="38" t="s">
        <v>208</v>
      </c>
      <c r="E27" s="445">
        <v>5000000</v>
      </c>
      <c r="F27" s="443">
        <f t="shared" si="3"/>
        <v>0</v>
      </c>
      <c r="G27" s="79">
        <f t="shared" si="27"/>
        <v>0</v>
      </c>
      <c r="H27" s="79">
        <f t="shared" si="28"/>
        <v>0</v>
      </c>
      <c r="I27" s="79">
        <f t="shared" si="4"/>
        <v>0</v>
      </c>
      <c r="J27" s="120"/>
      <c r="K27" s="120"/>
      <c r="L27" s="120"/>
      <c r="M27" s="120"/>
      <c r="N27" s="120"/>
      <c r="O27" s="121"/>
      <c r="P27" s="80">
        <f t="shared" si="29"/>
        <v>0</v>
      </c>
      <c r="Q27" s="122"/>
      <c r="R27" s="57">
        <f t="shared" si="30"/>
        <v>0</v>
      </c>
      <c r="S27" s="54">
        <f t="shared" si="31"/>
        <v>0</v>
      </c>
      <c r="T27" s="54">
        <f t="shared" si="32"/>
        <v>0</v>
      </c>
      <c r="U27" s="54">
        <f t="shared" si="33"/>
        <v>0</v>
      </c>
      <c r="V27" s="53">
        <f t="shared" si="7"/>
        <v>0</v>
      </c>
      <c r="W27" s="53">
        <f t="shared" si="8"/>
        <v>0</v>
      </c>
      <c r="X27" s="53">
        <f t="shared" si="9"/>
        <v>0</v>
      </c>
      <c r="Y27" s="53">
        <f t="shared" si="10"/>
        <v>0</v>
      </c>
      <c r="Z27" s="123"/>
      <c r="AA27" s="53">
        <f t="shared" si="11"/>
        <v>0</v>
      </c>
      <c r="AB27" s="123"/>
      <c r="AC27" s="53">
        <f t="shared" si="12"/>
        <v>0</v>
      </c>
      <c r="AD27" s="123"/>
      <c r="AE27" s="53">
        <f t="shared" si="13"/>
        <v>0</v>
      </c>
      <c r="AF27" s="123">
        <v>0</v>
      </c>
      <c r="AG27" s="53">
        <f t="shared" si="14"/>
        <v>0</v>
      </c>
      <c r="AH27" s="123"/>
      <c r="AI27" s="53">
        <f t="shared" si="15"/>
        <v>0</v>
      </c>
      <c r="AJ27" s="123"/>
      <c r="AK27" s="53">
        <f t="shared" si="16"/>
        <v>0</v>
      </c>
      <c r="AL27" s="123"/>
      <c r="AM27" s="53">
        <f t="shared" si="17"/>
        <v>0</v>
      </c>
      <c r="AN27" s="123"/>
      <c r="AO27" s="53">
        <f t="shared" si="18"/>
        <v>0</v>
      </c>
      <c r="AP27" s="123">
        <v>0</v>
      </c>
      <c r="AQ27" s="53">
        <f t="shared" si="19"/>
        <v>0</v>
      </c>
      <c r="AR27" s="625">
        <v>0</v>
      </c>
      <c r="AS27" s="53">
        <f t="shared" si="20"/>
        <v>0</v>
      </c>
      <c r="AT27" s="123">
        <v>0</v>
      </c>
      <c r="AU27" s="53">
        <f t="shared" si="34"/>
        <v>0</v>
      </c>
      <c r="AV27" s="123">
        <v>0</v>
      </c>
      <c r="AW27" s="53">
        <f t="shared" si="35"/>
        <v>0</v>
      </c>
      <c r="AX27" s="123">
        <v>0</v>
      </c>
      <c r="AY27" s="53">
        <f t="shared" si="37"/>
        <v>0</v>
      </c>
      <c r="AZ27" s="123"/>
      <c r="BA27" s="53">
        <f t="shared" si="21"/>
        <v>0</v>
      </c>
      <c r="BB27" s="123"/>
      <c r="BC27" s="53">
        <f t="shared" si="22"/>
        <v>0</v>
      </c>
      <c r="BD27" s="123"/>
      <c r="BE27" s="53">
        <f t="shared" si="23"/>
        <v>0</v>
      </c>
      <c r="BF27" s="123"/>
      <c r="BG27" s="53">
        <f t="shared" si="24"/>
        <v>0</v>
      </c>
      <c r="BH27" s="123"/>
      <c r="BI27" s="53">
        <f t="shared" si="25"/>
        <v>0</v>
      </c>
      <c r="BJ27" s="47">
        <f t="shared" si="1"/>
        <v>0</v>
      </c>
      <c r="BK27" s="117">
        <f t="shared" si="1"/>
        <v>0</v>
      </c>
      <c r="BL27" s="331" t="s">
        <v>471</v>
      </c>
      <c r="BN27" s="113">
        <f t="shared" si="36"/>
        <v>0</v>
      </c>
      <c r="BO27" s="124"/>
      <c r="BP27" s="124"/>
      <c r="BQ27" s="124"/>
      <c r="BR27" s="113">
        <f t="shared" si="26"/>
        <v>0</v>
      </c>
      <c r="BS27" s="113"/>
      <c r="BT27" s="113"/>
      <c r="BU27" s="113"/>
      <c r="BV27" s="179">
        <f t="shared" si="2"/>
        <v>0</v>
      </c>
    </row>
    <row r="28" spans="1:74" x14ac:dyDescent="0.25">
      <c r="A28" s="974"/>
      <c r="B28" s="119"/>
      <c r="C28" s="343" t="s">
        <v>648</v>
      </c>
      <c r="D28" s="38" t="s">
        <v>208</v>
      </c>
      <c r="E28" s="446">
        <v>30000</v>
      </c>
      <c r="F28" s="443">
        <f t="shared" si="3"/>
        <v>0</v>
      </c>
      <c r="G28" s="79">
        <f t="shared" si="27"/>
        <v>0</v>
      </c>
      <c r="H28" s="79">
        <f t="shared" si="28"/>
        <v>0</v>
      </c>
      <c r="I28" s="79">
        <f t="shared" si="4"/>
        <v>0</v>
      </c>
      <c r="J28" s="120"/>
      <c r="K28" s="120"/>
      <c r="L28" s="120"/>
      <c r="M28" s="120"/>
      <c r="N28" s="120"/>
      <c r="O28" s="121"/>
      <c r="P28" s="80">
        <f t="shared" si="29"/>
        <v>0</v>
      </c>
      <c r="Q28" s="122"/>
      <c r="R28" s="57">
        <f t="shared" si="30"/>
        <v>0</v>
      </c>
      <c r="S28" s="54">
        <f t="shared" si="31"/>
        <v>0</v>
      </c>
      <c r="T28" s="54">
        <f t="shared" si="32"/>
        <v>0</v>
      </c>
      <c r="U28" s="54">
        <f t="shared" si="33"/>
        <v>0</v>
      </c>
      <c r="V28" s="53">
        <f t="shared" si="7"/>
        <v>0</v>
      </c>
      <c r="W28" s="53">
        <f t="shared" si="8"/>
        <v>0</v>
      </c>
      <c r="X28" s="53">
        <f t="shared" si="9"/>
        <v>0</v>
      </c>
      <c r="Y28" s="53">
        <f t="shared" si="10"/>
        <v>0</v>
      </c>
      <c r="Z28" s="123"/>
      <c r="AA28" s="53">
        <f t="shared" si="11"/>
        <v>0</v>
      </c>
      <c r="AB28" s="123"/>
      <c r="AC28" s="53">
        <f t="shared" si="12"/>
        <v>0</v>
      </c>
      <c r="AD28" s="123"/>
      <c r="AE28" s="53">
        <f t="shared" si="13"/>
        <v>0</v>
      </c>
      <c r="AF28" s="123">
        <v>0</v>
      </c>
      <c r="AG28" s="53">
        <f t="shared" si="14"/>
        <v>0</v>
      </c>
      <c r="AH28" s="123"/>
      <c r="AI28" s="53">
        <f t="shared" si="15"/>
        <v>0</v>
      </c>
      <c r="AJ28" s="123"/>
      <c r="AK28" s="53">
        <f t="shared" si="16"/>
        <v>0</v>
      </c>
      <c r="AL28" s="123">
        <v>0</v>
      </c>
      <c r="AM28" s="53">
        <f t="shared" si="17"/>
        <v>0</v>
      </c>
      <c r="AN28" s="123"/>
      <c r="AO28" s="53">
        <f t="shared" si="18"/>
        <v>0</v>
      </c>
      <c r="AP28" s="123"/>
      <c r="AQ28" s="53">
        <f t="shared" si="19"/>
        <v>0</v>
      </c>
      <c r="AR28" s="123"/>
      <c r="AS28" s="53">
        <f t="shared" si="20"/>
        <v>0</v>
      </c>
      <c r="AT28" s="123">
        <v>0</v>
      </c>
      <c r="AU28" s="53">
        <f t="shared" si="34"/>
        <v>0</v>
      </c>
      <c r="AV28" s="123">
        <v>0</v>
      </c>
      <c r="AW28" s="53">
        <f t="shared" si="35"/>
        <v>0</v>
      </c>
      <c r="AX28" s="123">
        <v>0</v>
      </c>
      <c r="AY28" s="53">
        <f t="shared" si="37"/>
        <v>0</v>
      </c>
      <c r="AZ28" s="123"/>
      <c r="BA28" s="53">
        <f t="shared" si="21"/>
        <v>0</v>
      </c>
      <c r="BB28" s="123"/>
      <c r="BC28" s="53">
        <f t="shared" si="22"/>
        <v>0</v>
      </c>
      <c r="BD28" s="123"/>
      <c r="BE28" s="53">
        <f t="shared" si="23"/>
        <v>0</v>
      </c>
      <c r="BF28" s="123"/>
      <c r="BG28" s="53">
        <f t="shared" si="24"/>
        <v>0</v>
      </c>
      <c r="BH28" s="123"/>
      <c r="BI28" s="53">
        <f t="shared" si="25"/>
        <v>0</v>
      </c>
      <c r="BJ28" s="47">
        <f t="shared" ref="BJ28:BJ36" si="38">Z28+AB28+AD28+AF28+AH28+AJ28+AL28+AN28+AP28+AR28+AT28+AV28+AX28+AZ28+BB28+BD28+BF28+BH28</f>
        <v>0</v>
      </c>
      <c r="BK28" s="117">
        <f t="shared" ref="BK28:BK50" si="39">AA28+AC28+AE28+AG28+AI28+AK28+AM28+AO28+AQ28+AS28+AU28+AW28+AY28+BA28+BC28+BE28+BG28+BI28</f>
        <v>0</v>
      </c>
      <c r="BL28" s="331" t="s">
        <v>471</v>
      </c>
      <c r="BN28" s="113">
        <f t="shared" si="36"/>
        <v>0</v>
      </c>
      <c r="BO28" s="124"/>
      <c r="BP28" s="124"/>
      <c r="BQ28" s="124"/>
      <c r="BR28" s="113">
        <f t="shared" si="26"/>
        <v>0</v>
      </c>
      <c r="BS28" s="113"/>
      <c r="BT28" s="113"/>
      <c r="BU28" s="113"/>
      <c r="BV28" s="179">
        <f t="shared" si="2"/>
        <v>0</v>
      </c>
    </row>
    <row r="29" spans="1:74" ht="31.5" x14ac:dyDescent="0.25">
      <c r="A29" s="974"/>
      <c r="B29" s="119"/>
      <c r="C29" s="343" t="s">
        <v>649</v>
      </c>
      <c r="D29" s="38" t="s">
        <v>208</v>
      </c>
      <c r="E29" s="445">
        <v>10000</v>
      </c>
      <c r="F29" s="443">
        <f t="shared" si="3"/>
        <v>66</v>
      </c>
      <c r="G29" s="79">
        <f t="shared" si="27"/>
        <v>660000</v>
      </c>
      <c r="H29" s="79">
        <f t="shared" si="28"/>
        <v>66000</v>
      </c>
      <c r="I29" s="79">
        <f t="shared" si="4"/>
        <v>528000</v>
      </c>
      <c r="J29" s="120"/>
      <c r="K29" s="120"/>
      <c r="L29" s="120"/>
      <c r="M29" s="120"/>
      <c r="N29" s="120"/>
      <c r="O29" s="121"/>
      <c r="P29" s="80">
        <f t="shared" si="29"/>
        <v>66000</v>
      </c>
      <c r="Q29" s="122"/>
      <c r="R29" s="57">
        <f t="shared" si="30"/>
        <v>13.200000000000001</v>
      </c>
      <c r="S29" s="54">
        <f t="shared" si="31"/>
        <v>13.200000000000001</v>
      </c>
      <c r="T29" s="54">
        <f t="shared" si="32"/>
        <v>19.8</v>
      </c>
      <c r="U29" s="54">
        <f t="shared" si="33"/>
        <v>19.8</v>
      </c>
      <c r="V29" s="53">
        <f t="shared" si="7"/>
        <v>132000</v>
      </c>
      <c r="W29" s="53">
        <f t="shared" si="8"/>
        <v>132000</v>
      </c>
      <c r="X29" s="53">
        <f t="shared" si="9"/>
        <v>198000</v>
      </c>
      <c r="Y29" s="53">
        <f t="shared" si="10"/>
        <v>198000</v>
      </c>
      <c r="Z29" s="123"/>
      <c r="AA29" s="53">
        <f t="shared" si="11"/>
        <v>0</v>
      </c>
      <c r="AB29" s="123">
        <v>6</v>
      </c>
      <c r="AC29" s="53">
        <f t="shared" si="12"/>
        <v>60000</v>
      </c>
      <c r="AD29" s="123"/>
      <c r="AE29" s="53">
        <f t="shared" si="13"/>
        <v>0</v>
      </c>
      <c r="AF29" s="123"/>
      <c r="AG29" s="53">
        <f t="shared" si="14"/>
        <v>0</v>
      </c>
      <c r="AH29" s="123">
        <v>0</v>
      </c>
      <c r="AI29" s="53">
        <f t="shared" si="15"/>
        <v>0</v>
      </c>
      <c r="AJ29" s="123">
        <v>0</v>
      </c>
      <c r="AK29" s="53">
        <f t="shared" si="16"/>
        <v>0</v>
      </c>
      <c r="AL29" s="123">
        <v>0</v>
      </c>
      <c r="AM29" s="53">
        <f t="shared" si="17"/>
        <v>0</v>
      </c>
      <c r="AN29" s="123"/>
      <c r="AO29" s="53">
        <f t="shared" si="18"/>
        <v>0</v>
      </c>
      <c r="AP29" s="123"/>
      <c r="AQ29" s="53">
        <f t="shared" si="19"/>
        <v>0</v>
      </c>
      <c r="AR29" s="123">
        <v>10</v>
      </c>
      <c r="AS29" s="53">
        <f t="shared" si="20"/>
        <v>100000</v>
      </c>
      <c r="AT29" s="123">
        <v>0</v>
      </c>
      <c r="AU29" s="53">
        <f t="shared" si="34"/>
        <v>0</v>
      </c>
      <c r="AV29" s="123">
        <v>0</v>
      </c>
      <c r="AW29" s="53">
        <f t="shared" si="35"/>
        <v>0</v>
      </c>
      <c r="AX29" s="123">
        <v>0</v>
      </c>
      <c r="AY29" s="53">
        <f t="shared" si="37"/>
        <v>0</v>
      </c>
      <c r="AZ29" s="123"/>
      <c r="BA29" s="53">
        <f t="shared" si="21"/>
        <v>0</v>
      </c>
      <c r="BB29" s="625">
        <v>0</v>
      </c>
      <c r="BC29" s="53">
        <f t="shared" si="22"/>
        <v>0</v>
      </c>
      <c r="BD29" s="123">
        <v>50</v>
      </c>
      <c r="BE29" s="53">
        <f t="shared" si="23"/>
        <v>500000</v>
      </c>
      <c r="BF29" s="123"/>
      <c r="BG29" s="53">
        <f t="shared" si="24"/>
        <v>0</v>
      </c>
      <c r="BH29" s="123"/>
      <c r="BI29" s="53">
        <f t="shared" si="25"/>
        <v>0</v>
      </c>
      <c r="BJ29" s="47">
        <f t="shared" si="38"/>
        <v>66</v>
      </c>
      <c r="BK29" s="117">
        <f t="shared" si="39"/>
        <v>660000</v>
      </c>
      <c r="BL29" s="331" t="s">
        <v>471</v>
      </c>
      <c r="BN29" s="113">
        <f t="shared" si="36"/>
        <v>660000</v>
      </c>
      <c r="BO29" s="124"/>
      <c r="BP29" s="124"/>
      <c r="BQ29" s="124"/>
      <c r="BR29" s="113">
        <f t="shared" si="26"/>
        <v>660000</v>
      </c>
      <c r="BS29" s="113"/>
      <c r="BT29" s="113"/>
      <c r="BU29" s="113"/>
      <c r="BV29" s="179">
        <f t="shared" si="2"/>
        <v>660000</v>
      </c>
    </row>
    <row r="30" spans="1:74" ht="31.5" x14ac:dyDescent="0.25">
      <c r="A30" s="974"/>
      <c r="B30" s="119"/>
      <c r="C30" s="343" t="s">
        <v>651</v>
      </c>
      <c r="D30" s="38" t="s">
        <v>208</v>
      </c>
      <c r="E30" s="445">
        <v>200000</v>
      </c>
      <c r="F30" s="443">
        <f t="shared" si="3"/>
        <v>0</v>
      </c>
      <c r="G30" s="79">
        <f t="shared" si="27"/>
        <v>0</v>
      </c>
      <c r="H30" s="79">
        <f t="shared" si="28"/>
        <v>0</v>
      </c>
      <c r="I30" s="79">
        <f t="shared" si="4"/>
        <v>0</v>
      </c>
      <c r="J30" s="120"/>
      <c r="K30" s="120"/>
      <c r="L30" s="120"/>
      <c r="M30" s="120"/>
      <c r="N30" s="120"/>
      <c r="O30" s="121"/>
      <c r="P30" s="80">
        <f t="shared" si="29"/>
        <v>0</v>
      </c>
      <c r="Q30" s="122"/>
      <c r="R30" s="57">
        <f t="shared" si="30"/>
        <v>0</v>
      </c>
      <c r="S30" s="54">
        <f t="shared" si="31"/>
        <v>0</v>
      </c>
      <c r="T30" s="54">
        <f t="shared" si="32"/>
        <v>0</v>
      </c>
      <c r="U30" s="54">
        <f t="shared" si="33"/>
        <v>0</v>
      </c>
      <c r="V30" s="53">
        <f t="shared" si="7"/>
        <v>0</v>
      </c>
      <c r="W30" s="53">
        <f t="shared" si="8"/>
        <v>0</v>
      </c>
      <c r="X30" s="53">
        <f t="shared" si="9"/>
        <v>0</v>
      </c>
      <c r="Y30" s="53">
        <f t="shared" si="10"/>
        <v>0</v>
      </c>
      <c r="Z30" s="123"/>
      <c r="AA30" s="53">
        <f t="shared" si="11"/>
        <v>0</v>
      </c>
      <c r="AB30" s="123"/>
      <c r="AC30" s="53">
        <f t="shared" si="12"/>
        <v>0</v>
      </c>
      <c r="AD30" s="123"/>
      <c r="AE30" s="53">
        <f t="shared" si="13"/>
        <v>0</v>
      </c>
      <c r="AF30" s="123">
        <v>0</v>
      </c>
      <c r="AG30" s="53">
        <f t="shared" si="14"/>
        <v>0</v>
      </c>
      <c r="AH30" s="123"/>
      <c r="AI30" s="53">
        <f t="shared" si="15"/>
        <v>0</v>
      </c>
      <c r="AJ30" s="123"/>
      <c r="AK30" s="53">
        <f t="shared" si="16"/>
        <v>0</v>
      </c>
      <c r="AL30" s="123"/>
      <c r="AM30" s="53">
        <f t="shared" si="17"/>
        <v>0</v>
      </c>
      <c r="AN30" s="123"/>
      <c r="AO30" s="53">
        <f t="shared" si="18"/>
        <v>0</v>
      </c>
      <c r="AP30" s="123"/>
      <c r="AQ30" s="53">
        <f t="shared" si="19"/>
        <v>0</v>
      </c>
      <c r="AR30" s="123"/>
      <c r="AS30" s="53">
        <f t="shared" si="20"/>
        <v>0</v>
      </c>
      <c r="AT30" s="123">
        <v>0</v>
      </c>
      <c r="AU30" s="53">
        <f t="shared" si="34"/>
        <v>0</v>
      </c>
      <c r="AV30" s="123">
        <v>0</v>
      </c>
      <c r="AW30" s="53">
        <f t="shared" si="35"/>
        <v>0</v>
      </c>
      <c r="AX30" s="123">
        <v>0</v>
      </c>
      <c r="AY30" s="53">
        <f t="shared" si="37"/>
        <v>0</v>
      </c>
      <c r="AZ30" s="123"/>
      <c r="BA30" s="53">
        <f t="shared" si="21"/>
        <v>0</v>
      </c>
      <c r="BB30" s="123"/>
      <c r="BC30" s="53">
        <f t="shared" si="22"/>
        <v>0</v>
      </c>
      <c r="BD30" s="123"/>
      <c r="BE30" s="53">
        <f t="shared" si="23"/>
        <v>0</v>
      </c>
      <c r="BF30" s="123"/>
      <c r="BG30" s="53">
        <f t="shared" si="24"/>
        <v>0</v>
      </c>
      <c r="BH30" s="123"/>
      <c r="BI30" s="53">
        <f t="shared" si="25"/>
        <v>0</v>
      </c>
      <c r="BJ30" s="47">
        <f t="shared" si="38"/>
        <v>0</v>
      </c>
      <c r="BK30" s="117">
        <f t="shared" si="39"/>
        <v>0</v>
      </c>
      <c r="BL30" s="331" t="s">
        <v>471</v>
      </c>
      <c r="BN30" s="113">
        <f t="shared" si="36"/>
        <v>0</v>
      </c>
      <c r="BO30" s="124"/>
      <c r="BP30" s="124"/>
      <c r="BQ30" s="124"/>
      <c r="BR30" s="113">
        <f t="shared" si="26"/>
        <v>0</v>
      </c>
      <c r="BS30" s="113"/>
      <c r="BT30" s="113"/>
      <c r="BU30" s="113"/>
      <c r="BV30" s="179">
        <f t="shared" si="2"/>
        <v>0</v>
      </c>
    </row>
    <row r="31" spans="1:74" x14ac:dyDescent="0.25">
      <c r="A31" s="974"/>
      <c r="B31" s="119"/>
      <c r="C31" s="343" t="s">
        <v>652</v>
      </c>
      <c r="D31" s="38" t="s">
        <v>208</v>
      </c>
      <c r="E31" s="445">
        <v>500000</v>
      </c>
      <c r="F31" s="443">
        <f t="shared" si="3"/>
        <v>0</v>
      </c>
      <c r="G31" s="79">
        <f t="shared" si="27"/>
        <v>0</v>
      </c>
      <c r="H31" s="79">
        <f t="shared" si="28"/>
        <v>0</v>
      </c>
      <c r="I31" s="79">
        <f t="shared" si="4"/>
        <v>0</v>
      </c>
      <c r="J31" s="120"/>
      <c r="K31" s="120"/>
      <c r="L31" s="120"/>
      <c r="M31" s="120"/>
      <c r="N31" s="120"/>
      <c r="O31" s="121"/>
      <c r="P31" s="80">
        <f t="shared" si="29"/>
        <v>0</v>
      </c>
      <c r="Q31" s="122"/>
      <c r="R31" s="57">
        <f t="shared" si="30"/>
        <v>0</v>
      </c>
      <c r="S31" s="54">
        <f t="shared" si="31"/>
        <v>0</v>
      </c>
      <c r="T31" s="54">
        <f t="shared" si="32"/>
        <v>0</v>
      </c>
      <c r="U31" s="54">
        <f t="shared" si="33"/>
        <v>0</v>
      </c>
      <c r="V31" s="53">
        <f t="shared" si="7"/>
        <v>0</v>
      </c>
      <c r="W31" s="53">
        <f t="shared" si="8"/>
        <v>0</v>
      </c>
      <c r="X31" s="53">
        <f t="shared" si="9"/>
        <v>0</v>
      </c>
      <c r="Y31" s="53">
        <f t="shared" si="10"/>
        <v>0</v>
      </c>
      <c r="Z31" s="123">
        <v>0</v>
      </c>
      <c r="AA31" s="53">
        <f t="shared" si="11"/>
        <v>0</v>
      </c>
      <c r="AB31" s="123"/>
      <c r="AC31" s="53">
        <f t="shared" si="12"/>
        <v>0</v>
      </c>
      <c r="AD31" s="123"/>
      <c r="AE31" s="53">
        <f t="shared" si="13"/>
        <v>0</v>
      </c>
      <c r="AF31" s="123">
        <v>0</v>
      </c>
      <c r="AG31" s="53">
        <f t="shared" si="14"/>
        <v>0</v>
      </c>
      <c r="AH31" s="123"/>
      <c r="AI31" s="53">
        <f t="shared" si="15"/>
        <v>0</v>
      </c>
      <c r="AJ31" s="123"/>
      <c r="AK31" s="53">
        <f t="shared" si="16"/>
        <v>0</v>
      </c>
      <c r="AL31" s="123"/>
      <c r="AM31" s="53">
        <f t="shared" si="17"/>
        <v>0</v>
      </c>
      <c r="AN31" s="123"/>
      <c r="AO31" s="53">
        <f t="shared" si="18"/>
        <v>0</v>
      </c>
      <c r="AP31" s="123"/>
      <c r="AQ31" s="53">
        <f t="shared" si="19"/>
        <v>0</v>
      </c>
      <c r="AR31" s="123">
        <v>0</v>
      </c>
      <c r="AS31" s="53">
        <f t="shared" si="20"/>
        <v>0</v>
      </c>
      <c r="AT31" s="123">
        <v>0</v>
      </c>
      <c r="AU31" s="53">
        <f t="shared" si="34"/>
        <v>0</v>
      </c>
      <c r="AV31" s="625">
        <v>0</v>
      </c>
      <c r="AW31" s="53">
        <f t="shared" si="35"/>
        <v>0</v>
      </c>
      <c r="AX31" s="123">
        <v>0</v>
      </c>
      <c r="AY31" s="53">
        <f t="shared" si="37"/>
        <v>0</v>
      </c>
      <c r="AZ31" s="123"/>
      <c r="BA31" s="53">
        <f t="shared" si="21"/>
        <v>0</v>
      </c>
      <c r="BB31" s="123"/>
      <c r="BC31" s="53">
        <f t="shared" si="22"/>
        <v>0</v>
      </c>
      <c r="BD31" s="123"/>
      <c r="BE31" s="53">
        <f t="shared" si="23"/>
        <v>0</v>
      </c>
      <c r="BF31" s="123">
        <v>0</v>
      </c>
      <c r="BG31" s="53">
        <f t="shared" si="24"/>
        <v>0</v>
      </c>
      <c r="BH31" s="123"/>
      <c r="BI31" s="53">
        <f t="shared" si="25"/>
        <v>0</v>
      </c>
      <c r="BJ31" s="47">
        <f t="shared" si="38"/>
        <v>0</v>
      </c>
      <c r="BK31" s="117">
        <f t="shared" si="39"/>
        <v>0</v>
      </c>
      <c r="BL31" s="331" t="s">
        <v>471</v>
      </c>
      <c r="BN31" s="113">
        <f t="shared" si="36"/>
        <v>0</v>
      </c>
      <c r="BO31" s="124"/>
      <c r="BP31" s="124"/>
      <c r="BQ31" s="124"/>
      <c r="BR31" s="113">
        <f t="shared" si="26"/>
        <v>0</v>
      </c>
      <c r="BS31" s="113"/>
      <c r="BT31" s="113"/>
      <c r="BU31" s="113"/>
      <c r="BV31" s="179">
        <f t="shared" si="2"/>
        <v>0</v>
      </c>
    </row>
    <row r="32" spans="1:74" x14ac:dyDescent="0.25">
      <c r="A32" s="974"/>
      <c r="B32" s="119"/>
      <c r="C32" s="343" t="s">
        <v>653</v>
      </c>
      <c r="D32" s="38" t="s">
        <v>208</v>
      </c>
      <c r="E32" s="445"/>
      <c r="F32" s="443">
        <f t="shared" si="3"/>
        <v>0</v>
      </c>
      <c r="G32" s="79">
        <f t="shared" si="27"/>
        <v>0</v>
      </c>
      <c r="H32" s="79">
        <f t="shared" si="28"/>
        <v>0</v>
      </c>
      <c r="I32" s="79">
        <f t="shared" si="4"/>
        <v>0</v>
      </c>
      <c r="J32" s="120"/>
      <c r="K32" s="120"/>
      <c r="L32" s="120"/>
      <c r="M32" s="120"/>
      <c r="N32" s="120"/>
      <c r="O32" s="121"/>
      <c r="P32" s="80">
        <f t="shared" si="29"/>
        <v>0</v>
      </c>
      <c r="Q32" s="122"/>
      <c r="R32" s="57">
        <f t="shared" si="30"/>
        <v>0</v>
      </c>
      <c r="S32" s="54">
        <f t="shared" si="31"/>
        <v>0</v>
      </c>
      <c r="T32" s="54">
        <f t="shared" si="32"/>
        <v>0</v>
      </c>
      <c r="U32" s="54">
        <f t="shared" si="33"/>
        <v>0</v>
      </c>
      <c r="V32" s="53">
        <f t="shared" si="7"/>
        <v>0</v>
      </c>
      <c r="W32" s="53">
        <f t="shared" si="8"/>
        <v>0</v>
      </c>
      <c r="X32" s="53">
        <f t="shared" si="9"/>
        <v>0</v>
      </c>
      <c r="Y32" s="53">
        <f t="shared" si="10"/>
        <v>0</v>
      </c>
      <c r="Z32" s="123">
        <v>0</v>
      </c>
      <c r="AA32" s="53">
        <f t="shared" si="11"/>
        <v>0</v>
      </c>
      <c r="AB32" s="123"/>
      <c r="AC32" s="53">
        <f t="shared" si="12"/>
        <v>0</v>
      </c>
      <c r="AD32" s="123"/>
      <c r="AE32" s="53">
        <f t="shared" si="13"/>
        <v>0</v>
      </c>
      <c r="AF32" s="123">
        <v>0</v>
      </c>
      <c r="AG32" s="53">
        <f t="shared" si="14"/>
        <v>0</v>
      </c>
      <c r="AH32" s="123">
        <v>0</v>
      </c>
      <c r="AI32" s="53">
        <f t="shared" si="15"/>
        <v>0</v>
      </c>
      <c r="AJ32" s="123">
        <v>0</v>
      </c>
      <c r="AK32" s="53">
        <f t="shared" si="16"/>
        <v>0</v>
      </c>
      <c r="AL32" s="123"/>
      <c r="AM32" s="53">
        <f t="shared" si="17"/>
        <v>0</v>
      </c>
      <c r="AN32" s="123"/>
      <c r="AO32" s="53">
        <f t="shared" si="18"/>
        <v>0</v>
      </c>
      <c r="AP32" s="123"/>
      <c r="AQ32" s="53">
        <f t="shared" si="19"/>
        <v>0</v>
      </c>
      <c r="AR32" s="123"/>
      <c r="AS32" s="53">
        <f t="shared" si="20"/>
        <v>0</v>
      </c>
      <c r="AT32" s="123"/>
      <c r="AU32" s="53">
        <f t="shared" si="34"/>
        <v>0</v>
      </c>
      <c r="AV32" s="123"/>
      <c r="AW32" s="53">
        <f t="shared" si="35"/>
        <v>0</v>
      </c>
      <c r="AX32" s="123"/>
      <c r="AY32" s="53">
        <f t="shared" si="37"/>
        <v>0</v>
      </c>
      <c r="AZ32" s="123">
        <v>0</v>
      </c>
      <c r="BA32" s="53">
        <f t="shared" si="21"/>
        <v>0</v>
      </c>
      <c r="BB32" s="123">
        <v>0</v>
      </c>
      <c r="BC32" s="53">
        <f t="shared" si="22"/>
        <v>0</v>
      </c>
      <c r="BD32" s="123"/>
      <c r="BE32" s="53">
        <f t="shared" si="23"/>
        <v>0</v>
      </c>
      <c r="BF32" s="123"/>
      <c r="BG32" s="53">
        <f t="shared" si="24"/>
        <v>0</v>
      </c>
      <c r="BH32" s="123"/>
      <c r="BI32" s="53">
        <f t="shared" si="25"/>
        <v>0</v>
      </c>
      <c r="BJ32" s="47">
        <f t="shared" si="38"/>
        <v>0</v>
      </c>
      <c r="BK32" s="117">
        <f t="shared" si="39"/>
        <v>0</v>
      </c>
      <c r="BL32" s="331" t="s">
        <v>471</v>
      </c>
      <c r="BN32" s="113">
        <f t="shared" si="36"/>
        <v>0</v>
      </c>
      <c r="BO32" s="124"/>
      <c r="BP32" s="124"/>
      <c r="BQ32" s="124"/>
      <c r="BR32" s="113">
        <f t="shared" si="26"/>
        <v>0</v>
      </c>
      <c r="BS32" s="113"/>
      <c r="BT32" s="113"/>
      <c r="BU32" s="113"/>
      <c r="BV32" s="179">
        <f t="shared" si="2"/>
        <v>0</v>
      </c>
    </row>
    <row r="33" spans="1:74" x14ac:dyDescent="0.25">
      <c r="A33" s="974"/>
      <c r="B33" s="119"/>
      <c r="C33" s="343" t="s">
        <v>670</v>
      </c>
      <c r="D33" s="38" t="s">
        <v>208</v>
      </c>
      <c r="E33" s="445"/>
      <c r="F33" s="443">
        <f t="shared" si="3"/>
        <v>28</v>
      </c>
      <c r="G33" s="79">
        <f t="shared" si="27"/>
        <v>0</v>
      </c>
      <c r="H33" s="79">
        <f t="shared" si="28"/>
        <v>0</v>
      </c>
      <c r="I33" s="79">
        <f t="shared" si="4"/>
        <v>0</v>
      </c>
      <c r="J33" s="120"/>
      <c r="K33" s="120"/>
      <c r="L33" s="120"/>
      <c r="M33" s="120"/>
      <c r="N33" s="120"/>
      <c r="O33" s="121"/>
      <c r="P33" s="80">
        <f t="shared" si="29"/>
        <v>0</v>
      </c>
      <c r="Q33" s="122"/>
      <c r="R33" s="57">
        <f t="shared" si="30"/>
        <v>5.6000000000000005</v>
      </c>
      <c r="S33" s="54">
        <f t="shared" si="31"/>
        <v>5.6000000000000005</v>
      </c>
      <c r="T33" s="54">
        <f t="shared" si="32"/>
        <v>8.4</v>
      </c>
      <c r="U33" s="54">
        <f t="shared" si="33"/>
        <v>8.4</v>
      </c>
      <c r="V33" s="53">
        <f t="shared" si="7"/>
        <v>0</v>
      </c>
      <c r="W33" s="53">
        <f t="shared" si="8"/>
        <v>0</v>
      </c>
      <c r="X33" s="53">
        <f t="shared" si="9"/>
        <v>0</v>
      </c>
      <c r="Y33" s="53">
        <f t="shared" si="10"/>
        <v>0</v>
      </c>
      <c r="Z33" s="123">
        <v>10</v>
      </c>
      <c r="AA33" s="53">
        <f t="shared" si="11"/>
        <v>0</v>
      </c>
      <c r="AB33" s="123">
        <v>5</v>
      </c>
      <c r="AC33" s="53">
        <f t="shared" si="12"/>
        <v>0</v>
      </c>
      <c r="AD33" s="123">
        <v>0</v>
      </c>
      <c r="AE33" s="53">
        <f t="shared" si="13"/>
        <v>0</v>
      </c>
      <c r="AF33" s="123">
        <v>0</v>
      </c>
      <c r="AG33" s="53">
        <f t="shared" si="14"/>
        <v>0</v>
      </c>
      <c r="AH33" s="123"/>
      <c r="AI33" s="53">
        <f t="shared" si="15"/>
        <v>0</v>
      </c>
      <c r="AJ33" s="123">
        <v>0</v>
      </c>
      <c r="AK33" s="53">
        <f t="shared" si="16"/>
        <v>0</v>
      </c>
      <c r="AL33" s="123">
        <v>5</v>
      </c>
      <c r="AM33" s="53">
        <f t="shared" si="17"/>
        <v>0</v>
      </c>
      <c r="AN33" s="123">
        <v>1</v>
      </c>
      <c r="AO33" s="53">
        <f t="shared" si="18"/>
        <v>0</v>
      </c>
      <c r="AP33" s="123"/>
      <c r="AQ33" s="53">
        <f t="shared" si="19"/>
        <v>0</v>
      </c>
      <c r="AR33" s="123"/>
      <c r="AS33" s="53">
        <f t="shared" si="20"/>
        <v>0</v>
      </c>
      <c r="AT33" s="123">
        <v>2</v>
      </c>
      <c r="AU33" s="53">
        <f t="shared" si="34"/>
        <v>0</v>
      </c>
      <c r="AV33" s="123"/>
      <c r="AW33" s="53">
        <f t="shared" si="35"/>
        <v>0</v>
      </c>
      <c r="AX33" s="123">
        <v>5</v>
      </c>
      <c r="AY33" s="53">
        <f t="shared" si="37"/>
        <v>0</v>
      </c>
      <c r="AZ33" s="123">
        <v>0</v>
      </c>
      <c r="BA33" s="53">
        <f t="shared" si="21"/>
        <v>0</v>
      </c>
      <c r="BB33" s="123">
        <v>0</v>
      </c>
      <c r="BC33" s="53">
        <f t="shared" si="22"/>
        <v>0</v>
      </c>
      <c r="BD33" s="123"/>
      <c r="BE33" s="53">
        <f t="shared" si="23"/>
        <v>0</v>
      </c>
      <c r="BF33" s="123"/>
      <c r="BG33" s="53">
        <f t="shared" si="24"/>
        <v>0</v>
      </c>
      <c r="BH33" s="123"/>
      <c r="BI33" s="53">
        <f t="shared" si="25"/>
        <v>0</v>
      </c>
      <c r="BJ33" s="47">
        <f t="shared" si="38"/>
        <v>28</v>
      </c>
      <c r="BK33" s="117">
        <f t="shared" si="39"/>
        <v>0</v>
      </c>
      <c r="BL33" s="331" t="s">
        <v>471</v>
      </c>
      <c r="BN33" s="113">
        <f t="shared" si="36"/>
        <v>0</v>
      </c>
      <c r="BO33" s="124"/>
      <c r="BP33" s="124"/>
      <c r="BQ33" s="124"/>
      <c r="BR33" s="113">
        <f t="shared" si="26"/>
        <v>0</v>
      </c>
      <c r="BS33" s="113"/>
      <c r="BT33" s="113"/>
      <c r="BU33" s="113"/>
      <c r="BV33" s="179">
        <f t="shared" si="2"/>
        <v>0</v>
      </c>
    </row>
    <row r="34" spans="1:74" ht="31.5" x14ac:dyDescent="0.25">
      <c r="A34" s="974"/>
      <c r="B34" s="119"/>
      <c r="C34" s="343" t="s">
        <v>679</v>
      </c>
      <c r="D34" s="38" t="s">
        <v>208</v>
      </c>
      <c r="E34" s="445">
        <v>15000</v>
      </c>
      <c r="F34" s="443">
        <f t="shared" si="3"/>
        <v>10</v>
      </c>
      <c r="G34" s="79">
        <f t="shared" si="27"/>
        <v>150000</v>
      </c>
      <c r="H34" s="79">
        <f t="shared" si="28"/>
        <v>15000</v>
      </c>
      <c r="I34" s="79">
        <f t="shared" si="4"/>
        <v>120000</v>
      </c>
      <c r="J34" s="120"/>
      <c r="K34" s="120"/>
      <c r="L34" s="120"/>
      <c r="M34" s="120"/>
      <c r="N34" s="120"/>
      <c r="O34" s="121"/>
      <c r="P34" s="80">
        <f t="shared" si="29"/>
        <v>15000</v>
      </c>
      <c r="Q34" s="122"/>
      <c r="R34" s="57">
        <f t="shared" si="30"/>
        <v>2</v>
      </c>
      <c r="S34" s="54">
        <f t="shared" si="31"/>
        <v>2</v>
      </c>
      <c r="T34" s="54">
        <f t="shared" si="32"/>
        <v>3</v>
      </c>
      <c r="U34" s="54">
        <f t="shared" si="33"/>
        <v>3</v>
      </c>
      <c r="V34" s="53">
        <f t="shared" si="7"/>
        <v>30000</v>
      </c>
      <c r="W34" s="53">
        <f t="shared" si="8"/>
        <v>30000</v>
      </c>
      <c r="X34" s="53">
        <f t="shared" si="9"/>
        <v>45000</v>
      </c>
      <c r="Y34" s="53">
        <f t="shared" si="10"/>
        <v>45000</v>
      </c>
      <c r="Z34" s="123"/>
      <c r="AA34" s="53">
        <f t="shared" si="11"/>
        <v>0</v>
      </c>
      <c r="AB34" s="123"/>
      <c r="AC34" s="53">
        <f t="shared" si="12"/>
        <v>0</v>
      </c>
      <c r="AD34" s="123"/>
      <c r="AE34" s="53">
        <f t="shared" si="13"/>
        <v>0</v>
      </c>
      <c r="AF34" s="123"/>
      <c r="AG34" s="53">
        <f t="shared" si="14"/>
        <v>0</v>
      </c>
      <c r="AH34" s="123"/>
      <c r="AI34" s="53">
        <f t="shared" si="15"/>
        <v>0</v>
      </c>
      <c r="AJ34" s="123">
        <v>0</v>
      </c>
      <c r="AK34" s="53">
        <f t="shared" si="16"/>
        <v>0</v>
      </c>
      <c r="AL34" s="123"/>
      <c r="AM34" s="53">
        <f t="shared" si="17"/>
        <v>0</v>
      </c>
      <c r="AN34" s="123">
        <v>10</v>
      </c>
      <c r="AO34" s="53">
        <f t="shared" si="18"/>
        <v>150000</v>
      </c>
      <c r="AP34" s="123"/>
      <c r="AQ34" s="53">
        <f t="shared" si="19"/>
        <v>0</v>
      </c>
      <c r="AR34" s="123"/>
      <c r="AS34" s="53">
        <f t="shared" si="20"/>
        <v>0</v>
      </c>
      <c r="AT34" s="123"/>
      <c r="AU34" s="53">
        <f t="shared" si="34"/>
        <v>0</v>
      </c>
      <c r="AV34" s="123"/>
      <c r="AW34" s="53">
        <f t="shared" si="35"/>
        <v>0</v>
      </c>
      <c r="AX34" s="123"/>
      <c r="AY34" s="53">
        <f t="shared" si="37"/>
        <v>0</v>
      </c>
      <c r="AZ34" s="123"/>
      <c r="BA34" s="53">
        <f t="shared" si="21"/>
        <v>0</v>
      </c>
      <c r="BB34" s="123"/>
      <c r="BC34" s="53">
        <f t="shared" si="22"/>
        <v>0</v>
      </c>
      <c r="BD34" s="123"/>
      <c r="BE34" s="53">
        <f t="shared" si="23"/>
        <v>0</v>
      </c>
      <c r="BF34" s="123"/>
      <c r="BG34" s="53">
        <f t="shared" si="24"/>
        <v>0</v>
      </c>
      <c r="BH34" s="123"/>
      <c r="BI34" s="53">
        <f t="shared" si="25"/>
        <v>0</v>
      </c>
      <c r="BJ34" s="47">
        <f t="shared" si="38"/>
        <v>10</v>
      </c>
      <c r="BK34" s="117">
        <f t="shared" si="39"/>
        <v>150000</v>
      </c>
      <c r="BL34" s="331" t="s">
        <v>471</v>
      </c>
      <c r="BN34" s="113">
        <f t="shared" si="36"/>
        <v>150000</v>
      </c>
      <c r="BO34" s="124"/>
      <c r="BP34" s="124"/>
      <c r="BQ34" s="124"/>
      <c r="BR34" s="113">
        <f t="shared" si="26"/>
        <v>150000</v>
      </c>
      <c r="BS34" s="113"/>
      <c r="BT34" s="113"/>
      <c r="BU34" s="113"/>
      <c r="BV34" s="179">
        <f t="shared" si="2"/>
        <v>150000</v>
      </c>
    </row>
    <row r="35" spans="1:74" x14ac:dyDescent="0.25">
      <c r="A35" s="974"/>
      <c r="B35" s="119"/>
      <c r="C35" s="343" t="s">
        <v>719</v>
      </c>
      <c r="D35" s="38" t="s">
        <v>208</v>
      </c>
      <c r="E35" s="445">
        <v>500000</v>
      </c>
      <c r="F35" s="443">
        <f t="shared" si="3"/>
        <v>0</v>
      </c>
      <c r="G35" s="79">
        <f t="shared" si="27"/>
        <v>0</v>
      </c>
      <c r="H35" s="161">
        <f t="shared" si="28"/>
        <v>0</v>
      </c>
      <c r="I35" s="79">
        <f t="shared" si="4"/>
        <v>0</v>
      </c>
      <c r="J35" s="120"/>
      <c r="K35" s="120"/>
      <c r="L35" s="120"/>
      <c r="M35" s="120"/>
      <c r="N35" s="120"/>
      <c r="O35" s="121"/>
      <c r="P35" s="80">
        <f t="shared" si="29"/>
        <v>0</v>
      </c>
      <c r="Q35" s="122"/>
      <c r="R35" s="57">
        <f t="shared" si="30"/>
        <v>0</v>
      </c>
      <c r="S35" s="54">
        <f t="shared" si="31"/>
        <v>0</v>
      </c>
      <c r="T35" s="54">
        <f t="shared" si="32"/>
        <v>0</v>
      </c>
      <c r="U35" s="54">
        <f t="shared" si="33"/>
        <v>0</v>
      </c>
      <c r="V35" s="53">
        <f t="shared" si="7"/>
        <v>0</v>
      </c>
      <c r="W35" s="53">
        <f t="shared" si="8"/>
        <v>0</v>
      </c>
      <c r="X35" s="53">
        <f t="shared" si="9"/>
        <v>0</v>
      </c>
      <c r="Y35" s="53">
        <f t="shared" si="10"/>
        <v>0</v>
      </c>
      <c r="Z35" s="123"/>
      <c r="AA35" s="53">
        <f t="shared" si="11"/>
        <v>0</v>
      </c>
      <c r="AB35" s="123"/>
      <c r="AC35" s="53">
        <f t="shared" si="12"/>
        <v>0</v>
      </c>
      <c r="AD35" s="123"/>
      <c r="AE35" s="53">
        <f t="shared" si="13"/>
        <v>0</v>
      </c>
      <c r="AF35" s="123"/>
      <c r="AG35" s="53">
        <f t="shared" si="14"/>
        <v>0</v>
      </c>
      <c r="AH35" s="123"/>
      <c r="AI35" s="53">
        <f t="shared" si="15"/>
        <v>0</v>
      </c>
      <c r="AJ35" s="123"/>
      <c r="AK35" s="53">
        <f t="shared" si="16"/>
        <v>0</v>
      </c>
      <c r="AL35" s="123"/>
      <c r="AM35" s="53">
        <f t="shared" si="17"/>
        <v>0</v>
      </c>
      <c r="AN35" s="123"/>
      <c r="AO35" s="53">
        <f t="shared" si="18"/>
        <v>0</v>
      </c>
      <c r="AP35" s="123"/>
      <c r="AQ35" s="53">
        <f t="shared" si="19"/>
        <v>0</v>
      </c>
      <c r="AR35" s="123">
        <v>0</v>
      </c>
      <c r="AS35" s="53">
        <f t="shared" si="20"/>
        <v>0</v>
      </c>
      <c r="AT35" s="123"/>
      <c r="AU35" s="53">
        <f t="shared" si="34"/>
        <v>0</v>
      </c>
      <c r="AV35" s="123"/>
      <c r="AW35" s="53">
        <f t="shared" si="35"/>
        <v>0</v>
      </c>
      <c r="AX35" s="123"/>
      <c r="AY35" s="53">
        <f t="shared" si="37"/>
        <v>0</v>
      </c>
      <c r="AZ35" s="123">
        <v>0</v>
      </c>
      <c r="BA35" s="53">
        <f t="shared" si="21"/>
        <v>0</v>
      </c>
      <c r="BB35" s="123"/>
      <c r="BC35" s="53">
        <f t="shared" si="22"/>
        <v>0</v>
      </c>
      <c r="BD35" s="123"/>
      <c r="BE35" s="53">
        <f t="shared" si="23"/>
        <v>0</v>
      </c>
      <c r="BF35" s="123"/>
      <c r="BG35" s="53">
        <f t="shared" si="24"/>
        <v>0</v>
      </c>
      <c r="BH35" s="123"/>
      <c r="BI35" s="53">
        <f t="shared" si="25"/>
        <v>0</v>
      </c>
      <c r="BJ35" s="47">
        <f t="shared" si="38"/>
        <v>0</v>
      </c>
      <c r="BK35" s="117">
        <f t="shared" si="39"/>
        <v>0</v>
      </c>
      <c r="BL35" s="331" t="s">
        <v>471</v>
      </c>
      <c r="BN35" s="113">
        <f t="shared" si="36"/>
        <v>0</v>
      </c>
      <c r="BO35" s="124"/>
      <c r="BP35" s="124"/>
      <c r="BQ35" s="124"/>
      <c r="BR35" s="113">
        <f t="shared" si="26"/>
        <v>0</v>
      </c>
      <c r="BS35" s="113"/>
      <c r="BT35" s="113"/>
      <c r="BU35" s="113"/>
      <c r="BV35" s="179">
        <f t="shared" si="2"/>
        <v>0</v>
      </c>
    </row>
    <row r="36" spans="1:74" ht="31.5" x14ac:dyDescent="0.25">
      <c r="A36" s="974"/>
      <c r="B36" s="119"/>
      <c r="C36" s="343" t="s">
        <v>758</v>
      </c>
      <c r="D36" s="38" t="s">
        <v>208</v>
      </c>
      <c r="E36" s="445">
        <v>1000000</v>
      </c>
      <c r="F36" s="443">
        <f t="shared" si="3"/>
        <v>9</v>
      </c>
      <c r="G36" s="79">
        <f t="shared" si="27"/>
        <v>9000000</v>
      </c>
      <c r="H36" s="147">
        <f t="shared" si="28"/>
        <v>900000</v>
      </c>
      <c r="I36" s="120">
        <f t="shared" si="4"/>
        <v>7200000</v>
      </c>
      <c r="J36" s="120"/>
      <c r="K36" s="120"/>
      <c r="L36" s="120"/>
      <c r="M36" s="120"/>
      <c r="N36" s="120"/>
      <c r="O36" s="121"/>
      <c r="P36" s="121">
        <f t="shared" si="29"/>
        <v>900000</v>
      </c>
      <c r="Q36" s="122"/>
      <c r="R36" s="57">
        <f t="shared" si="30"/>
        <v>1.8</v>
      </c>
      <c r="S36" s="54">
        <f t="shared" si="31"/>
        <v>1.8</v>
      </c>
      <c r="T36" s="54">
        <f t="shared" si="32"/>
        <v>2.6999999999999997</v>
      </c>
      <c r="U36" s="54">
        <f t="shared" si="33"/>
        <v>2.6999999999999997</v>
      </c>
      <c r="V36" s="53">
        <f t="shared" si="7"/>
        <v>1800000</v>
      </c>
      <c r="W36" s="53">
        <f t="shared" si="8"/>
        <v>1800000</v>
      </c>
      <c r="X36" s="53">
        <f t="shared" si="9"/>
        <v>2699999.9999999995</v>
      </c>
      <c r="Y36" s="53">
        <f t="shared" si="10"/>
        <v>2699999.9999999995</v>
      </c>
      <c r="Z36" s="123">
        <v>4</v>
      </c>
      <c r="AA36" s="688">
        <f t="shared" si="11"/>
        <v>4000000</v>
      </c>
      <c r="AB36" s="123"/>
      <c r="AC36" s="53">
        <f t="shared" si="12"/>
        <v>0</v>
      </c>
      <c r="AD36" s="123">
        <v>0</v>
      </c>
      <c r="AE36" s="53">
        <f t="shared" si="13"/>
        <v>0</v>
      </c>
      <c r="AF36" s="123"/>
      <c r="AG36" s="53">
        <f t="shared" si="14"/>
        <v>0</v>
      </c>
      <c r="AH36" s="123"/>
      <c r="AI36" s="53">
        <f t="shared" si="15"/>
        <v>0</v>
      </c>
      <c r="AJ36" s="123"/>
      <c r="AK36" s="53">
        <f t="shared" si="16"/>
        <v>0</v>
      </c>
      <c r="AL36" s="782">
        <v>2</v>
      </c>
      <c r="AM36" s="783">
        <f>AL36*E36</f>
        <v>2000000</v>
      </c>
      <c r="AN36" s="782"/>
      <c r="AO36" s="53">
        <f t="shared" si="18"/>
        <v>0</v>
      </c>
      <c r="AP36" s="123"/>
      <c r="AQ36" s="53">
        <f t="shared" si="19"/>
        <v>0</v>
      </c>
      <c r="AR36" s="765">
        <v>1</v>
      </c>
      <c r="AS36" s="254">
        <f t="shared" si="20"/>
        <v>1000000</v>
      </c>
      <c r="AT36" s="123"/>
      <c r="AU36" s="53">
        <f t="shared" si="34"/>
        <v>0</v>
      </c>
      <c r="AV36" s="123"/>
      <c r="AW36" s="53">
        <f t="shared" si="35"/>
        <v>0</v>
      </c>
      <c r="AX36" s="123"/>
      <c r="AY36" s="53">
        <f t="shared" si="37"/>
        <v>0</v>
      </c>
      <c r="AZ36" s="123"/>
      <c r="BA36" s="53">
        <f t="shared" si="21"/>
        <v>0</v>
      </c>
      <c r="BB36" s="123">
        <v>1</v>
      </c>
      <c r="BC36" s="53">
        <f t="shared" si="22"/>
        <v>1000000</v>
      </c>
      <c r="BD36" s="123"/>
      <c r="BE36" s="53">
        <f t="shared" si="23"/>
        <v>0</v>
      </c>
      <c r="BF36" s="123">
        <v>1</v>
      </c>
      <c r="BG36" s="53">
        <f t="shared" si="24"/>
        <v>1000000</v>
      </c>
      <c r="BH36" s="123"/>
      <c r="BI36" s="53">
        <f t="shared" si="25"/>
        <v>0</v>
      </c>
      <c r="BJ36" s="47">
        <f t="shared" si="38"/>
        <v>9</v>
      </c>
      <c r="BK36" s="117">
        <f t="shared" si="39"/>
        <v>9000000</v>
      </c>
      <c r="BL36" s="331" t="s">
        <v>471</v>
      </c>
      <c r="BN36" s="113">
        <f t="shared" si="36"/>
        <v>9000000</v>
      </c>
      <c r="BO36" s="124"/>
      <c r="BP36" s="124"/>
      <c r="BQ36" s="124"/>
      <c r="BR36" s="124">
        <f t="shared" si="26"/>
        <v>9000000</v>
      </c>
      <c r="BS36" s="124"/>
      <c r="BT36" s="124"/>
      <c r="BU36" s="124"/>
      <c r="BV36" s="193">
        <f t="shared" si="2"/>
        <v>9000000</v>
      </c>
    </row>
    <row r="37" spans="1:74" x14ac:dyDescent="0.25">
      <c r="A37" s="974"/>
      <c r="B37" s="119"/>
      <c r="C37" s="343" t="s">
        <v>877</v>
      </c>
      <c r="D37" s="38" t="s">
        <v>208</v>
      </c>
      <c r="E37" s="445">
        <v>500000</v>
      </c>
      <c r="F37" s="443">
        <f t="shared" si="3"/>
        <v>0</v>
      </c>
      <c r="G37" s="79">
        <f t="shared" si="27"/>
        <v>0</v>
      </c>
      <c r="H37" s="147">
        <f t="shared" si="28"/>
        <v>0</v>
      </c>
      <c r="I37" s="120">
        <f t="shared" si="4"/>
        <v>0</v>
      </c>
      <c r="J37" s="120"/>
      <c r="K37" s="120"/>
      <c r="L37" s="120"/>
      <c r="M37" s="120"/>
      <c r="N37" s="120"/>
      <c r="O37" s="121"/>
      <c r="P37" s="121">
        <f t="shared" si="29"/>
        <v>0</v>
      </c>
      <c r="Q37" s="122"/>
      <c r="R37" s="57">
        <f t="shared" si="30"/>
        <v>0</v>
      </c>
      <c r="S37" s="54">
        <f t="shared" si="31"/>
        <v>0</v>
      </c>
      <c r="T37" s="54">
        <f t="shared" si="32"/>
        <v>0</v>
      </c>
      <c r="U37" s="54">
        <f t="shared" si="33"/>
        <v>0</v>
      </c>
      <c r="V37" s="53">
        <f t="shared" si="7"/>
        <v>0</v>
      </c>
      <c r="W37" s="53">
        <f t="shared" si="8"/>
        <v>0</v>
      </c>
      <c r="X37" s="53">
        <f t="shared" si="9"/>
        <v>0</v>
      </c>
      <c r="Y37" s="53">
        <f t="shared" si="10"/>
        <v>0</v>
      </c>
      <c r="Z37" s="123"/>
      <c r="AA37" s="53">
        <f t="shared" si="11"/>
        <v>0</v>
      </c>
      <c r="AB37" s="123"/>
      <c r="AC37" s="53">
        <f t="shared" si="12"/>
        <v>0</v>
      </c>
      <c r="AD37" s="123"/>
      <c r="AE37" s="53">
        <f t="shared" si="13"/>
        <v>0</v>
      </c>
      <c r="AF37" s="123"/>
      <c r="AG37" s="53">
        <f t="shared" si="14"/>
        <v>0</v>
      </c>
      <c r="AH37" s="123"/>
      <c r="AI37" s="53">
        <f t="shared" si="15"/>
        <v>0</v>
      </c>
      <c r="AJ37" s="123"/>
      <c r="AK37" s="53">
        <f t="shared" si="16"/>
        <v>0</v>
      </c>
      <c r="AL37" s="123"/>
      <c r="AM37" s="53">
        <f t="shared" si="17"/>
        <v>0</v>
      </c>
      <c r="AN37" s="123"/>
      <c r="AO37" s="53">
        <f t="shared" si="18"/>
        <v>0</v>
      </c>
      <c r="AP37" s="123"/>
      <c r="AQ37" s="53">
        <f t="shared" si="19"/>
        <v>0</v>
      </c>
      <c r="AR37" s="123"/>
      <c r="AS37" s="53">
        <f t="shared" si="20"/>
        <v>0</v>
      </c>
      <c r="AT37" s="123"/>
      <c r="AU37" s="53">
        <f t="shared" si="34"/>
        <v>0</v>
      </c>
      <c r="AV37" s="123"/>
      <c r="AW37" s="53">
        <f t="shared" si="35"/>
        <v>0</v>
      </c>
      <c r="AX37" s="123"/>
      <c r="AY37" s="53">
        <f t="shared" si="37"/>
        <v>0</v>
      </c>
      <c r="AZ37" s="123"/>
      <c r="BA37" s="53">
        <f t="shared" si="21"/>
        <v>0</v>
      </c>
      <c r="BB37" s="123"/>
      <c r="BC37" s="53">
        <f t="shared" si="22"/>
        <v>0</v>
      </c>
      <c r="BD37" s="625">
        <v>0</v>
      </c>
      <c r="BE37" s="53">
        <f t="shared" si="23"/>
        <v>0</v>
      </c>
      <c r="BF37" s="123"/>
      <c r="BG37" s="53">
        <f t="shared" si="24"/>
        <v>0</v>
      </c>
      <c r="BH37" s="123"/>
      <c r="BI37" s="53">
        <f t="shared" si="25"/>
        <v>0</v>
      </c>
      <c r="BJ37" s="47">
        <f>Z37+AB37+AD37+AF37+AH37+AJ37+AL37+AN37+AP37+AR37+AT37+AV37+AX37+AZ37+BB37+BD37+BF37+BH37</f>
        <v>0</v>
      </c>
      <c r="BK37" s="117">
        <f>AA37+AC37+AE37+AG37+AI37+AK37+AM37+AO37+AQ37+AS37+AU37+AW37+AY37+BA37+BC37+BE37+BG37+BI37</f>
        <v>0</v>
      </c>
      <c r="BL37" s="331" t="s">
        <v>471</v>
      </c>
      <c r="BN37" s="113">
        <f t="shared" si="36"/>
        <v>0</v>
      </c>
      <c r="BO37" s="124"/>
      <c r="BP37" s="124"/>
      <c r="BQ37" s="124"/>
      <c r="BR37" s="124">
        <f t="shared" si="26"/>
        <v>0</v>
      </c>
      <c r="BS37" s="124"/>
      <c r="BT37" s="124"/>
      <c r="BU37" s="124"/>
      <c r="BV37" s="193">
        <f t="shared" si="2"/>
        <v>0</v>
      </c>
    </row>
    <row r="38" spans="1:74" x14ac:dyDescent="0.25">
      <c r="A38" s="974"/>
      <c r="B38" s="58"/>
      <c r="C38" s="203"/>
      <c r="D38" s="58"/>
      <c r="E38" s="58"/>
      <c r="F38" s="59">
        <f>SUM(F12:F36)</f>
        <v>5055</v>
      </c>
      <c r="G38" s="59">
        <f t="shared" ref="G38:Y38" si="40">SUM(G12:G37)</f>
        <v>144850000</v>
      </c>
      <c r="H38" s="59">
        <f t="shared" si="40"/>
        <v>14485000</v>
      </c>
      <c r="I38" s="59">
        <f t="shared" si="40"/>
        <v>115880000</v>
      </c>
      <c r="J38" s="59">
        <f t="shared" si="40"/>
        <v>0</v>
      </c>
      <c r="K38" s="59">
        <f t="shared" si="40"/>
        <v>0</v>
      </c>
      <c r="L38" s="59">
        <f t="shared" si="40"/>
        <v>0</v>
      </c>
      <c r="M38" s="59">
        <f t="shared" si="40"/>
        <v>0</v>
      </c>
      <c r="N38" s="59">
        <f t="shared" si="40"/>
        <v>0</v>
      </c>
      <c r="O38" s="59">
        <f t="shared" si="40"/>
        <v>0</v>
      </c>
      <c r="P38" s="59">
        <f t="shared" si="40"/>
        <v>14485000</v>
      </c>
      <c r="Q38" s="59">
        <f t="shared" si="40"/>
        <v>0</v>
      </c>
      <c r="R38" s="59">
        <f t="shared" si="40"/>
        <v>81.599999999999994</v>
      </c>
      <c r="S38" s="59">
        <f t="shared" si="40"/>
        <v>1940.4000000000003</v>
      </c>
      <c r="T38" s="59">
        <f t="shared" si="40"/>
        <v>1516.4999999999998</v>
      </c>
      <c r="U38" s="59">
        <f t="shared" si="40"/>
        <v>1516.4999999999998</v>
      </c>
      <c r="V38" s="59">
        <f t="shared" si="40"/>
        <v>28970000</v>
      </c>
      <c r="W38" s="59">
        <f t="shared" si="40"/>
        <v>28970000</v>
      </c>
      <c r="X38" s="59">
        <f t="shared" si="40"/>
        <v>43455000</v>
      </c>
      <c r="Y38" s="59">
        <f t="shared" si="40"/>
        <v>43455000</v>
      </c>
      <c r="Z38" s="59">
        <f>SUM(Z12:Z37)</f>
        <v>490</v>
      </c>
      <c r="AA38" s="59">
        <f t="shared" ref="AA38:BK38" si="41">SUM(AA12:AA37)</f>
        <v>14600000</v>
      </c>
      <c r="AB38" s="59">
        <f t="shared" si="41"/>
        <v>314</v>
      </c>
      <c r="AC38" s="59">
        <f t="shared" si="41"/>
        <v>910000</v>
      </c>
      <c r="AD38" s="59">
        <f t="shared" si="41"/>
        <v>261</v>
      </c>
      <c r="AE38" s="59">
        <f t="shared" si="41"/>
        <v>5100000</v>
      </c>
      <c r="AF38" s="59">
        <f t="shared" si="41"/>
        <v>310</v>
      </c>
      <c r="AG38" s="59">
        <f t="shared" si="41"/>
        <v>6000000</v>
      </c>
      <c r="AH38" s="59">
        <f t="shared" si="41"/>
        <v>167</v>
      </c>
      <c r="AI38" s="59">
        <f t="shared" si="41"/>
        <v>7540000</v>
      </c>
      <c r="AJ38" s="59">
        <f t="shared" si="41"/>
        <v>67</v>
      </c>
      <c r="AK38" s="59">
        <f t="shared" si="41"/>
        <v>7700000</v>
      </c>
      <c r="AL38" s="59">
        <f t="shared" si="41"/>
        <v>1014</v>
      </c>
      <c r="AM38" s="59">
        <f t="shared" si="41"/>
        <v>5300000</v>
      </c>
      <c r="AN38" s="59">
        <f t="shared" si="41"/>
        <v>233</v>
      </c>
      <c r="AO38" s="59">
        <f t="shared" si="41"/>
        <v>10950000</v>
      </c>
      <c r="AP38" s="59">
        <f t="shared" si="41"/>
        <v>56</v>
      </c>
      <c r="AQ38" s="59">
        <f t="shared" si="41"/>
        <v>3300000</v>
      </c>
      <c r="AR38" s="59">
        <f t="shared" si="41"/>
        <v>195</v>
      </c>
      <c r="AS38" s="59">
        <f t="shared" si="41"/>
        <v>13090000</v>
      </c>
      <c r="AT38" s="59">
        <f t="shared" si="41"/>
        <v>18</v>
      </c>
      <c r="AU38" s="59">
        <f t="shared" si="41"/>
        <v>8350000</v>
      </c>
      <c r="AV38" s="59">
        <f t="shared" si="41"/>
        <v>18</v>
      </c>
      <c r="AW38" s="59">
        <f t="shared" si="41"/>
        <v>8300000</v>
      </c>
      <c r="AX38" s="59">
        <f t="shared" si="41"/>
        <v>23</v>
      </c>
      <c r="AY38" s="59">
        <f t="shared" si="41"/>
        <v>8900000</v>
      </c>
      <c r="AZ38" s="59">
        <f t="shared" si="41"/>
        <v>278</v>
      </c>
      <c r="BA38" s="59">
        <f t="shared" si="41"/>
        <v>14010000</v>
      </c>
      <c r="BB38" s="59">
        <f t="shared" si="41"/>
        <v>620</v>
      </c>
      <c r="BC38" s="59">
        <f t="shared" si="41"/>
        <v>10350000</v>
      </c>
      <c r="BD38" s="59">
        <f t="shared" si="41"/>
        <v>778</v>
      </c>
      <c r="BE38" s="59">
        <f t="shared" si="41"/>
        <v>13600000</v>
      </c>
      <c r="BF38" s="59">
        <f t="shared" si="41"/>
        <v>213</v>
      </c>
      <c r="BG38" s="59">
        <f t="shared" si="41"/>
        <v>6850000</v>
      </c>
      <c r="BH38" s="59">
        <f t="shared" si="41"/>
        <v>0</v>
      </c>
      <c r="BI38" s="59">
        <f t="shared" si="41"/>
        <v>0</v>
      </c>
      <c r="BJ38" s="59">
        <f t="shared" si="41"/>
        <v>5055</v>
      </c>
      <c r="BK38" s="59">
        <f t="shared" si="41"/>
        <v>144850000</v>
      </c>
      <c r="BL38" s="138">
        <f>SUM(BL12:BL35)</f>
        <v>0</v>
      </c>
      <c r="BM38" s="213"/>
      <c r="BN38" s="138">
        <f>SUM(BN12:BN37)</f>
        <v>144850000</v>
      </c>
      <c r="BO38" s="59">
        <f>SUM(BO12:BO35)</f>
        <v>0</v>
      </c>
      <c r="BP38" s="59">
        <f>SUM(BP12:BP35)</f>
        <v>0</v>
      </c>
      <c r="BQ38" s="59">
        <f>SUM(BQ12:BQ35)</f>
        <v>0</v>
      </c>
      <c r="BR38" s="59">
        <f>SUM(BR12:BR37)</f>
        <v>144850000</v>
      </c>
      <c r="BS38" s="59">
        <f>SUM(BS12:BS35)</f>
        <v>0</v>
      </c>
      <c r="BT38" s="59">
        <f>SUM(BT12:BT35)</f>
        <v>0</v>
      </c>
      <c r="BU38" s="59">
        <f>SUM(BU12:BU35)</f>
        <v>0</v>
      </c>
      <c r="BV38" s="59">
        <f>SUM(BV13:BV37)</f>
        <v>144850000</v>
      </c>
    </row>
    <row r="39" spans="1:74" x14ac:dyDescent="0.25">
      <c r="A39" s="974"/>
      <c r="B39" s="56">
        <v>32200</v>
      </c>
      <c r="C39" s="211" t="s">
        <v>229</v>
      </c>
      <c r="D39" s="38"/>
      <c r="E39" s="365"/>
      <c r="F39" s="443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53"/>
      <c r="R39" s="54"/>
      <c r="S39" s="54">
        <f t="shared" ref="S39:S48" si="42">F39*0.4</f>
        <v>0</v>
      </c>
      <c r="T39" s="54">
        <f t="shared" si="5"/>
        <v>0</v>
      </c>
      <c r="U39" s="54">
        <f t="shared" si="6"/>
        <v>0</v>
      </c>
      <c r="V39" s="53"/>
      <c r="W39" s="53"/>
      <c r="X39" s="53"/>
      <c r="Y39" s="53"/>
      <c r="Z39" s="47"/>
      <c r="AA39" s="53">
        <f t="shared" si="11"/>
        <v>0</v>
      </c>
      <c r="AB39" s="47"/>
      <c r="AC39" s="53">
        <f t="shared" si="12"/>
        <v>0</v>
      </c>
      <c r="AD39" s="47"/>
      <c r="AE39" s="53">
        <f t="shared" si="13"/>
        <v>0</v>
      </c>
      <c r="AF39" s="47"/>
      <c r="AG39" s="53">
        <f t="shared" si="14"/>
        <v>0</v>
      </c>
      <c r="AH39" s="47"/>
      <c r="AI39" s="53">
        <f t="shared" si="15"/>
        <v>0</v>
      </c>
      <c r="AJ39" s="47"/>
      <c r="AK39" s="53"/>
      <c r="AL39" s="47"/>
      <c r="AM39" s="53">
        <f t="shared" si="17"/>
        <v>0</v>
      </c>
      <c r="AN39" s="47"/>
      <c r="AO39" s="53"/>
      <c r="AP39" s="47"/>
      <c r="AQ39" s="53">
        <f t="shared" si="19"/>
        <v>0</v>
      </c>
      <c r="AR39" s="47"/>
      <c r="AS39" s="53">
        <f t="shared" si="20"/>
        <v>0</v>
      </c>
      <c r="AT39" s="47"/>
      <c r="AU39" s="53"/>
      <c r="AV39" s="47"/>
      <c r="AW39" s="53"/>
      <c r="AX39" s="47"/>
      <c r="AY39" s="53"/>
      <c r="AZ39" s="47"/>
      <c r="BA39" s="53">
        <f t="shared" si="21"/>
        <v>0</v>
      </c>
      <c r="BB39" s="47"/>
      <c r="BC39" s="53">
        <f t="shared" si="22"/>
        <v>0</v>
      </c>
      <c r="BD39" s="47"/>
      <c r="BE39" s="53">
        <f t="shared" si="23"/>
        <v>0</v>
      </c>
      <c r="BF39" s="47"/>
      <c r="BG39" s="53">
        <f t="shared" si="24"/>
        <v>0</v>
      </c>
      <c r="BH39" s="47"/>
      <c r="BI39" s="53">
        <f t="shared" si="25"/>
        <v>0</v>
      </c>
      <c r="BJ39" s="47"/>
      <c r="BK39" s="117">
        <f t="shared" si="39"/>
        <v>0</v>
      </c>
      <c r="BL39" s="47"/>
      <c r="BN39" s="113"/>
      <c r="BO39" s="113"/>
      <c r="BP39" s="113"/>
      <c r="BQ39" s="113"/>
      <c r="BR39" s="113"/>
      <c r="BS39" s="113"/>
      <c r="BT39" s="113"/>
      <c r="BU39" s="113"/>
      <c r="BV39" s="179">
        <f t="shared" si="2"/>
        <v>0</v>
      </c>
    </row>
    <row r="40" spans="1:74" x14ac:dyDescent="0.25">
      <c r="A40" s="974"/>
      <c r="B40" s="56"/>
      <c r="C40" s="38" t="s">
        <v>230</v>
      </c>
      <c r="D40" s="38" t="s">
        <v>173</v>
      </c>
      <c r="E40" s="365">
        <f>0.5*100000</f>
        <v>50000</v>
      </c>
      <c r="F40" s="443">
        <f t="shared" ref="F40:F45" si="43">BJ40</f>
        <v>89</v>
      </c>
      <c r="G40" s="79">
        <f t="shared" ref="G40:G45" si="44">E40*F40</f>
        <v>4450000</v>
      </c>
      <c r="H40" s="79">
        <f>G40*0</f>
        <v>0</v>
      </c>
      <c r="I40" s="79">
        <f>G40*0.8</f>
        <v>3560000</v>
      </c>
      <c r="J40" s="79">
        <f>G40*0</f>
        <v>0</v>
      </c>
      <c r="K40" s="79">
        <f>G40*0</f>
        <v>0</v>
      </c>
      <c r="L40" s="79">
        <f>G40*0.2</f>
        <v>890000</v>
      </c>
      <c r="M40" s="79">
        <f>G40*0</f>
        <v>0</v>
      </c>
      <c r="N40" s="79">
        <f>G40*0</f>
        <v>0</v>
      </c>
      <c r="O40" s="80">
        <f>G40*0</f>
        <v>0</v>
      </c>
      <c r="P40" s="80">
        <f>G40*0</f>
        <v>0</v>
      </c>
      <c r="Q40" s="76">
        <f>G40*0</f>
        <v>0</v>
      </c>
      <c r="R40" s="57">
        <f t="shared" ref="R40" si="45">F40*0.2</f>
        <v>17.8</v>
      </c>
      <c r="S40" s="54">
        <f t="shared" ref="S40" si="46">F40*0.2</f>
        <v>17.8</v>
      </c>
      <c r="T40" s="54">
        <f t="shared" si="5"/>
        <v>26.7</v>
      </c>
      <c r="U40" s="54">
        <f t="shared" si="6"/>
        <v>26.7</v>
      </c>
      <c r="V40" s="53">
        <f t="shared" ref="V40:V45" si="47">R40*E40</f>
        <v>890000</v>
      </c>
      <c r="W40" s="53">
        <f t="shared" ref="W40:W45" si="48">S40*E40</f>
        <v>890000</v>
      </c>
      <c r="X40" s="53">
        <f t="shared" ref="X40:X45" si="49">T40*E40</f>
        <v>1335000</v>
      </c>
      <c r="Y40" s="53">
        <f t="shared" ref="Y40:Y45" si="50">U40*E40</f>
        <v>1335000</v>
      </c>
      <c r="Z40" s="47">
        <v>4</v>
      </c>
      <c r="AA40" s="53">
        <f t="shared" si="11"/>
        <v>200000</v>
      </c>
      <c r="AB40" s="47">
        <v>5</v>
      </c>
      <c r="AC40" s="53">
        <f t="shared" si="12"/>
        <v>250000</v>
      </c>
      <c r="AD40" s="47">
        <v>0</v>
      </c>
      <c r="AE40" s="53">
        <f t="shared" si="13"/>
        <v>0</v>
      </c>
      <c r="AF40" s="47">
        <v>6</v>
      </c>
      <c r="AG40" s="53">
        <f t="shared" si="14"/>
        <v>300000</v>
      </c>
      <c r="AH40" s="624">
        <v>3</v>
      </c>
      <c r="AI40" s="53">
        <f t="shared" si="15"/>
        <v>150000</v>
      </c>
      <c r="AJ40" s="624">
        <v>5</v>
      </c>
      <c r="AK40" s="53">
        <f t="shared" ref="AK40:AK46" si="51">AJ40*E40</f>
        <v>250000</v>
      </c>
      <c r="AL40" s="47">
        <v>6</v>
      </c>
      <c r="AM40" s="53">
        <f t="shared" si="17"/>
        <v>300000</v>
      </c>
      <c r="AN40" s="47">
        <v>8</v>
      </c>
      <c r="AO40" s="53">
        <f>AN40*E40</f>
        <v>400000</v>
      </c>
      <c r="AP40" s="47">
        <v>2</v>
      </c>
      <c r="AQ40" s="53">
        <f t="shared" si="19"/>
        <v>100000</v>
      </c>
      <c r="AR40" s="47">
        <v>3</v>
      </c>
      <c r="AS40" s="53">
        <f t="shared" si="20"/>
        <v>150000</v>
      </c>
      <c r="AT40" s="47">
        <v>6</v>
      </c>
      <c r="AU40" s="53">
        <f>AT40*E40</f>
        <v>300000</v>
      </c>
      <c r="AV40" s="47">
        <v>5</v>
      </c>
      <c r="AW40" s="53">
        <f>AV40*E40</f>
        <v>250000</v>
      </c>
      <c r="AX40" s="47">
        <v>10</v>
      </c>
      <c r="AY40" s="53">
        <f>AX40*E40</f>
        <v>500000</v>
      </c>
      <c r="AZ40" s="47">
        <v>9</v>
      </c>
      <c r="BA40" s="53">
        <f t="shared" si="21"/>
        <v>450000</v>
      </c>
      <c r="BB40" s="47">
        <v>3</v>
      </c>
      <c r="BC40" s="53">
        <f t="shared" si="22"/>
        <v>150000</v>
      </c>
      <c r="BD40" s="47">
        <v>6</v>
      </c>
      <c r="BE40" s="53">
        <f t="shared" si="23"/>
        <v>300000</v>
      </c>
      <c r="BF40" s="47">
        <v>8</v>
      </c>
      <c r="BG40" s="53">
        <f t="shared" si="24"/>
        <v>400000</v>
      </c>
      <c r="BH40" s="47">
        <v>0</v>
      </c>
      <c r="BI40" s="53">
        <f t="shared" si="25"/>
        <v>0</v>
      </c>
      <c r="BJ40" s="47">
        <f t="shared" ref="BJ40:BJ46" si="52">Z40+AB40+AD40+AF40+AH40+AJ40+AL40+AN40+AP40+AR40+AT40+AV40+AX40+AZ40+BB40+BD40+BF40+BH40</f>
        <v>89</v>
      </c>
      <c r="BK40" s="117">
        <f t="shared" si="39"/>
        <v>4450000</v>
      </c>
      <c r="BL40" s="331" t="s">
        <v>467</v>
      </c>
      <c r="BN40" s="113"/>
      <c r="BO40" s="113"/>
      <c r="BP40" s="113">
        <f>G40</f>
        <v>4450000</v>
      </c>
      <c r="BQ40" s="113"/>
      <c r="BR40" s="113">
        <f t="shared" ref="BR40:BR46" si="53">BN40+BO40+BP40+BQ40</f>
        <v>4450000</v>
      </c>
      <c r="BS40" s="113"/>
      <c r="BT40" s="113"/>
      <c r="BU40" s="113">
        <f>BS40+BT40</f>
        <v>0</v>
      </c>
      <c r="BV40" s="179">
        <f t="shared" si="2"/>
        <v>4450000</v>
      </c>
    </row>
    <row r="41" spans="1:74" x14ac:dyDescent="0.25">
      <c r="A41" s="974"/>
      <c r="B41" s="56"/>
      <c r="C41" s="38" t="s">
        <v>231</v>
      </c>
      <c r="D41" s="38" t="s">
        <v>173</v>
      </c>
      <c r="E41" s="365">
        <f>0*100000</f>
        <v>0</v>
      </c>
      <c r="F41" s="443">
        <f t="shared" si="43"/>
        <v>0</v>
      </c>
      <c r="G41" s="79">
        <f t="shared" si="44"/>
        <v>0</v>
      </c>
      <c r="H41" s="79">
        <f>G41*0</f>
        <v>0</v>
      </c>
      <c r="I41" s="79">
        <f>G41*0.8</f>
        <v>0</v>
      </c>
      <c r="J41" s="79">
        <f>G41*0</f>
        <v>0</v>
      </c>
      <c r="K41" s="79">
        <f>G41*0</f>
        <v>0</v>
      </c>
      <c r="L41" s="79">
        <f>G41*0.2</f>
        <v>0</v>
      </c>
      <c r="M41" s="79">
        <f>G41*0</f>
        <v>0</v>
      </c>
      <c r="N41" s="79">
        <f>G41*0</f>
        <v>0</v>
      </c>
      <c r="O41" s="80">
        <f>G41*0</f>
        <v>0</v>
      </c>
      <c r="P41" s="80">
        <f>G41*0</f>
        <v>0</v>
      </c>
      <c r="Q41" s="76">
        <f>G41*0</f>
        <v>0</v>
      </c>
      <c r="R41" s="57">
        <f t="shared" ref="R41:R46" si="54">F41*0.2</f>
        <v>0</v>
      </c>
      <c r="S41" s="54">
        <f t="shared" ref="S41:S46" si="55">F41*0.2</f>
        <v>0</v>
      </c>
      <c r="T41" s="54">
        <f t="shared" ref="T41:T46" si="56">F41*0.3</f>
        <v>0</v>
      </c>
      <c r="U41" s="54">
        <f t="shared" ref="U41:U46" si="57">F41*0.3</f>
        <v>0</v>
      </c>
      <c r="V41" s="53">
        <f t="shared" si="47"/>
        <v>0</v>
      </c>
      <c r="W41" s="53">
        <f t="shared" si="48"/>
        <v>0</v>
      </c>
      <c r="X41" s="53">
        <f t="shared" si="49"/>
        <v>0</v>
      </c>
      <c r="Y41" s="53">
        <f t="shared" si="50"/>
        <v>0</v>
      </c>
      <c r="Z41" s="47">
        <v>0</v>
      </c>
      <c r="AA41" s="53">
        <f t="shared" si="11"/>
        <v>0</v>
      </c>
      <c r="AB41" s="47">
        <v>0</v>
      </c>
      <c r="AC41" s="53">
        <f t="shared" si="12"/>
        <v>0</v>
      </c>
      <c r="AD41" s="47">
        <v>0</v>
      </c>
      <c r="AE41" s="53">
        <f t="shared" si="13"/>
        <v>0</v>
      </c>
      <c r="AF41" s="47">
        <v>0</v>
      </c>
      <c r="AG41" s="53">
        <f t="shared" si="14"/>
        <v>0</v>
      </c>
      <c r="AH41" s="47">
        <v>0</v>
      </c>
      <c r="AI41" s="53">
        <f t="shared" si="15"/>
        <v>0</v>
      </c>
      <c r="AJ41" s="47">
        <v>0</v>
      </c>
      <c r="AK41" s="53">
        <f t="shared" si="51"/>
        <v>0</v>
      </c>
      <c r="AL41" s="47">
        <v>0</v>
      </c>
      <c r="AM41" s="53">
        <f t="shared" si="17"/>
        <v>0</v>
      </c>
      <c r="AN41" s="47">
        <v>0</v>
      </c>
      <c r="AO41" s="53">
        <f>AN41*E41</f>
        <v>0</v>
      </c>
      <c r="AP41" s="47">
        <v>0</v>
      </c>
      <c r="AQ41" s="53">
        <f t="shared" si="19"/>
        <v>0</v>
      </c>
      <c r="AR41" s="47">
        <v>0</v>
      </c>
      <c r="AS41" s="53">
        <f t="shared" si="20"/>
        <v>0</v>
      </c>
      <c r="AT41" s="47">
        <v>0</v>
      </c>
      <c r="AU41" s="53">
        <f>AT41*E41</f>
        <v>0</v>
      </c>
      <c r="AV41" s="47">
        <v>0</v>
      </c>
      <c r="AW41" s="53">
        <f>AV41*E41</f>
        <v>0</v>
      </c>
      <c r="AX41" s="47">
        <v>0</v>
      </c>
      <c r="AY41" s="53">
        <f>AX41*E41</f>
        <v>0</v>
      </c>
      <c r="AZ41" s="47">
        <v>0</v>
      </c>
      <c r="BA41" s="53">
        <f t="shared" si="21"/>
        <v>0</v>
      </c>
      <c r="BB41" s="47">
        <v>0</v>
      </c>
      <c r="BC41" s="53">
        <f t="shared" si="22"/>
        <v>0</v>
      </c>
      <c r="BD41" s="47">
        <v>0</v>
      </c>
      <c r="BE41" s="53">
        <f t="shared" si="23"/>
        <v>0</v>
      </c>
      <c r="BF41" s="47">
        <v>0</v>
      </c>
      <c r="BG41" s="53">
        <f t="shared" si="24"/>
        <v>0</v>
      </c>
      <c r="BH41" s="47">
        <v>0</v>
      </c>
      <c r="BI41" s="53">
        <f t="shared" si="25"/>
        <v>0</v>
      </c>
      <c r="BJ41" s="47">
        <f t="shared" si="52"/>
        <v>0</v>
      </c>
      <c r="BK41" s="117">
        <f t="shared" si="39"/>
        <v>0</v>
      </c>
      <c r="BL41" s="331" t="s">
        <v>472</v>
      </c>
      <c r="BN41" s="113">
        <f t="shared" ref="BN41:BN46" si="58">G41</f>
        <v>0</v>
      </c>
      <c r="BO41" s="113"/>
      <c r="BP41" s="113"/>
      <c r="BQ41" s="113"/>
      <c r="BR41" s="113">
        <f t="shared" si="53"/>
        <v>0</v>
      </c>
      <c r="BS41" s="113"/>
      <c r="BT41" s="113"/>
      <c r="BU41" s="113">
        <f>BS41+BT41</f>
        <v>0</v>
      </c>
      <c r="BV41" s="179">
        <f t="shared" si="2"/>
        <v>0</v>
      </c>
    </row>
    <row r="42" spans="1:74" ht="27" customHeight="1" x14ac:dyDescent="0.25">
      <c r="A42" s="974"/>
      <c r="B42" s="56"/>
      <c r="C42" s="636" t="s">
        <v>232</v>
      </c>
      <c r="D42" s="38" t="s">
        <v>17</v>
      </c>
      <c r="E42" s="365">
        <v>500000</v>
      </c>
      <c r="F42" s="443">
        <f t="shared" si="43"/>
        <v>20</v>
      </c>
      <c r="G42" s="79">
        <f>BK42</f>
        <v>10500000</v>
      </c>
      <c r="H42" s="79">
        <f>G42*0</f>
        <v>0</v>
      </c>
      <c r="I42" s="79">
        <f>G42*0.8</f>
        <v>8400000</v>
      </c>
      <c r="J42" s="79">
        <f>G42*0</f>
        <v>0</v>
      </c>
      <c r="K42" s="79">
        <f>G42*0</f>
        <v>0</v>
      </c>
      <c r="L42" s="79">
        <f>G42*0.2</f>
        <v>2100000</v>
      </c>
      <c r="M42" s="79">
        <f>G42*0</f>
        <v>0</v>
      </c>
      <c r="N42" s="79">
        <f>G42*0</f>
        <v>0</v>
      </c>
      <c r="O42" s="80">
        <f>G42*0</f>
        <v>0</v>
      </c>
      <c r="P42" s="80">
        <f>G42*0</f>
        <v>0</v>
      </c>
      <c r="Q42" s="76">
        <f>G42*0</f>
        <v>0</v>
      </c>
      <c r="R42" s="57">
        <f t="shared" si="54"/>
        <v>4</v>
      </c>
      <c r="S42" s="54">
        <f t="shared" si="55"/>
        <v>4</v>
      </c>
      <c r="T42" s="54">
        <f t="shared" si="56"/>
        <v>6</v>
      </c>
      <c r="U42" s="54">
        <f t="shared" si="57"/>
        <v>6</v>
      </c>
      <c r="V42" s="53">
        <f t="shared" si="47"/>
        <v>2000000</v>
      </c>
      <c r="W42" s="53">
        <f t="shared" si="48"/>
        <v>2000000</v>
      </c>
      <c r="X42" s="53">
        <f t="shared" si="49"/>
        <v>3000000</v>
      </c>
      <c r="Y42" s="53">
        <f t="shared" si="50"/>
        <v>3000000</v>
      </c>
      <c r="Z42" s="47">
        <v>1</v>
      </c>
      <c r="AA42" s="53">
        <f t="shared" si="11"/>
        <v>500000</v>
      </c>
      <c r="AB42" s="47">
        <v>1</v>
      </c>
      <c r="AC42" s="53">
        <f t="shared" si="12"/>
        <v>500000</v>
      </c>
      <c r="AD42" s="47">
        <v>0</v>
      </c>
      <c r="AE42" s="53">
        <f t="shared" si="13"/>
        <v>0</v>
      </c>
      <c r="AF42" s="47">
        <v>1</v>
      </c>
      <c r="AG42" s="53">
        <f t="shared" si="14"/>
        <v>500000</v>
      </c>
      <c r="AH42" s="47">
        <v>1</v>
      </c>
      <c r="AI42" s="53">
        <f t="shared" si="15"/>
        <v>500000</v>
      </c>
      <c r="AJ42" s="47">
        <v>1</v>
      </c>
      <c r="AK42" s="53">
        <f t="shared" si="51"/>
        <v>500000</v>
      </c>
      <c r="AL42" s="47">
        <v>1</v>
      </c>
      <c r="AM42" s="53">
        <f t="shared" si="17"/>
        <v>500000</v>
      </c>
      <c r="AN42" s="47">
        <v>1</v>
      </c>
      <c r="AO42" s="53">
        <f>AN42*E42</f>
        <v>500000</v>
      </c>
      <c r="AP42" s="47">
        <v>2</v>
      </c>
      <c r="AQ42" s="53">
        <f t="shared" si="19"/>
        <v>1000000</v>
      </c>
      <c r="AR42" s="47">
        <v>2</v>
      </c>
      <c r="AS42" s="53">
        <f t="shared" si="20"/>
        <v>1000000</v>
      </c>
      <c r="AT42" s="47">
        <v>1</v>
      </c>
      <c r="AU42" s="53">
        <f>AT42*E42</f>
        <v>500000</v>
      </c>
      <c r="AV42" s="47">
        <v>2</v>
      </c>
      <c r="AW42" s="688">
        <f>AV42*E42+200000</f>
        <v>1200000</v>
      </c>
      <c r="AX42" s="47">
        <v>1</v>
      </c>
      <c r="AY42" s="53">
        <f>AX42*E42</f>
        <v>500000</v>
      </c>
      <c r="AZ42" s="47">
        <v>1</v>
      </c>
      <c r="BA42" s="53">
        <f>AZ42*E42+150000</f>
        <v>650000</v>
      </c>
      <c r="BB42" s="47">
        <v>1</v>
      </c>
      <c r="BC42" s="53">
        <f>BB42*E42+250000</f>
        <v>750000</v>
      </c>
      <c r="BD42" s="47">
        <v>1</v>
      </c>
      <c r="BE42" s="53">
        <f>BD42*E42+200000</f>
        <v>700000</v>
      </c>
      <c r="BF42" s="624">
        <v>2</v>
      </c>
      <c r="BG42" s="688">
        <f>BF42*E42-300000</f>
        <v>700000</v>
      </c>
      <c r="BH42" s="47">
        <v>0</v>
      </c>
      <c r="BI42" s="53">
        <f t="shared" si="25"/>
        <v>0</v>
      </c>
      <c r="BJ42" s="47">
        <f t="shared" si="52"/>
        <v>20</v>
      </c>
      <c r="BK42" s="117">
        <f t="shared" si="39"/>
        <v>10500000</v>
      </c>
      <c r="BL42" s="331" t="s">
        <v>472</v>
      </c>
      <c r="BN42" s="113">
        <f t="shared" si="58"/>
        <v>10500000</v>
      </c>
      <c r="BO42" s="113"/>
      <c r="BP42" s="113"/>
      <c r="BQ42" s="113"/>
      <c r="BR42" s="113">
        <f t="shared" si="53"/>
        <v>10500000</v>
      </c>
      <c r="BS42" s="113"/>
      <c r="BT42" s="113"/>
      <c r="BU42" s="113">
        <f>BS42+BT42</f>
        <v>0</v>
      </c>
      <c r="BV42" s="179">
        <f t="shared" si="2"/>
        <v>10500000</v>
      </c>
    </row>
    <row r="43" spans="1:74" s="163" customFormat="1" ht="38.25" customHeight="1" x14ac:dyDescent="0.25">
      <c r="A43" s="974"/>
      <c r="B43" s="798"/>
      <c r="C43" s="639" t="s">
        <v>680</v>
      </c>
      <c r="D43" s="169"/>
      <c r="E43" s="178">
        <v>500000</v>
      </c>
      <c r="F43" s="447">
        <f t="shared" si="43"/>
        <v>34</v>
      </c>
      <c r="G43" s="161">
        <f>BK43</f>
        <v>17450000</v>
      </c>
      <c r="H43" s="161"/>
      <c r="I43" s="161">
        <f>G43*0.8</f>
        <v>13960000</v>
      </c>
      <c r="J43" s="161"/>
      <c r="K43" s="161"/>
      <c r="L43" s="161">
        <f>G43*0.2</f>
        <v>3490000</v>
      </c>
      <c r="M43" s="161"/>
      <c r="N43" s="161"/>
      <c r="O43" s="162"/>
      <c r="P43" s="162"/>
      <c r="Q43" s="274"/>
      <c r="R43" s="57">
        <f t="shared" si="54"/>
        <v>6.8000000000000007</v>
      </c>
      <c r="S43" s="54">
        <f t="shared" si="55"/>
        <v>6.8000000000000007</v>
      </c>
      <c r="T43" s="54">
        <f t="shared" si="56"/>
        <v>10.199999999999999</v>
      </c>
      <c r="U43" s="54">
        <f t="shared" si="57"/>
        <v>10.199999999999999</v>
      </c>
      <c r="V43" s="547">
        <f t="shared" si="47"/>
        <v>3400000.0000000005</v>
      </c>
      <c r="W43" s="547">
        <f t="shared" si="48"/>
        <v>3400000.0000000005</v>
      </c>
      <c r="X43" s="547">
        <f t="shared" si="49"/>
        <v>5100000</v>
      </c>
      <c r="Y43" s="547">
        <f t="shared" si="50"/>
        <v>5100000</v>
      </c>
      <c r="Z43" s="135">
        <v>4</v>
      </c>
      <c r="AA43" s="547">
        <f t="shared" si="11"/>
        <v>2000000</v>
      </c>
      <c r="AB43" s="135">
        <v>1</v>
      </c>
      <c r="AC43" s="547">
        <f t="shared" si="12"/>
        <v>500000</v>
      </c>
      <c r="AD43" s="135">
        <v>1</v>
      </c>
      <c r="AE43" s="547">
        <f t="shared" si="13"/>
        <v>500000</v>
      </c>
      <c r="AF43" s="135">
        <v>3</v>
      </c>
      <c r="AG43" s="547">
        <f t="shared" si="14"/>
        <v>1500000</v>
      </c>
      <c r="AH43" s="135">
        <v>4</v>
      </c>
      <c r="AI43" s="547">
        <f t="shared" si="15"/>
        <v>2000000</v>
      </c>
      <c r="AJ43" s="135">
        <v>1</v>
      </c>
      <c r="AK43" s="547">
        <f t="shared" si="51"/>
        <v>500000</v>
      </c>
      <c r="AL43" s="135">
        <v>5</v>
      </c>
      <c r="AM43" s="547">
        <f t="shared" si="17"/>
        <v>2500000</v>
      </c>
      <c r="AN43" s="135">
        <v>1</v>
      </c>
      <c r="AO43" s="547">
        <f>AN43*E43</f>
        <v>500000</v>
      </c>
      <c r="AP43" s="135">
        <v>1</v>
      </c>
      <c r="AQ43" s="547">
        <f t="shared" si="19"/>
        <v>500000</v>
      </c>
      <c r="AR43" s="135">
        <v>1</v>
      </c>
      <c r="AS43" s="547">
        <f t="shared" si="20"/>
        <v>500000</v>
      </c>
      <c r="AT43" s="629">
        <v>1</v>
      </c>
      <c r="AU43" s="547">
        <f>AT43*E43</f>
        <v>500000</v>
      </c>
      <c r="AV43" s="629">
        <v>3</v>
      </c>
      <c r="AW43" s="689">
        <f>AV43*E43+200000</f>
        <v>1700000</v>
      </c>
      <c r="AX43" s="135">
        <v>1</v>
      </c>
      <c r="AY43" s="547">
        <f>AX43*E43</f>
        <v>500000</v>
      </c>
      <c r="AZ43" s="135">
        <v>2</v>
      </c>
      <c r="BA43" s="547">
        <f>AZ43*E43</f>
        <v>1000000</v>
      </c>
      <c r="BB43" s="135">
        <v>2</v>
      </c>
      <c r="BC43" s="547">
        <f>BB43*E43+250000</f>
        <v>1250000</v>
      </c>
      <c r="BD43" s="135">
        <v>2</v>
      </c>
      <c r="BE43" s="547">
        <f t="shared" si="23"/>
        <v>1000000</v>
      </c>
      <c r="BF43" s="629">
        <v>1</v>
      </c>
      <c r="BG43" s="689">
        <f t="shared" si="24"/>
        <v>500000</v>
      </c>
      <c r="BH43" s="135"/>
      <c r="BI43" s="547">
        <f t="shared" si="25"/>
        <v>0</v>
      </c>
      <c r="BJ43" s="135">
        <f t="shared" si="52"/>
        <v>34</v>
      </c>
      <c r="BK43" s="322">
        <f t="shared" si="39"/>
        <v>17450000</v>
      </c>
      <c r="BL43" s="332" t="s">
        <v>472</v>
      </c>
      <c r="BN43" s="176">
        <f t="shared" si="58"/>
        <v>17450000</v>
      </c>
      <c r="BO43" s="176"/>
      <c r="BP43" s="176"/>
      <c r="BQ43" s="176"/>
      <c r="BR43" s="176">
        <f t="shared" si="53"/>
        <v>17450000</v>
      </c>
      <c r="BS43" s="176"/>
      <c r="BT43" s="176"/>
      <c r="BU43" s="176"/>
      <c r="BV43" s="189">
        <f t="shared" si="2"/>
        <v>17450000</v>
      </c>
    </row>
    <row r="44" spans="1:74" x14ac:dyDescent="0.25">
      <c r="A44" s="974"/>
      <c r="B44" s="56"/>
      <c r="C44" s="38" t="s">
        <v>233</v>
      </c>
      <c r="D44" s="38" t="s">
        <v>35</v>
      </c>
      <c r="E44" s="365">
        <f>0.05*100000</f>
        <v>5000</v>
      </c>
      <c r="F44" s="443">
        <f t="shared" si="43"/>
        <v>318</v>
      </c>
      <c r="G44" s="79">
        <f t="shared" si="44"/>
        <v>1590000</v>
      </c>
      <c r="H44" s="79">
        <f>G44*0</f>
        <v>0</v>
      </c>
      <c r="I44" s="79">
        <f>G44*0.8</f>
        <v>1272000</v>
      </c>
      <c r="J44" s="79">
        <f>G44*0</f>
        <v>0</v>
      </c>
      <c r="K44" s="79">
        <f>G44*0</f>
        <v>0</v>
      </c>
      <c r="L44" s="79">
        <f>G44*0.2</f>
        <v>318000</v>
      </c>
      <c r="M44" s="79">
        <f>G44*0</f>
        <v>0</v>
      </c>
      <c r="N44" s="79">
        <f>G44*0</f>
        <v>0</v>
      </c>
      <c r="O44" s="80">
        <f>G44*0</f>
        <v>0</v>
      </c>
      <c r="P44" s="80">
        <f>G44*0</f>
        <v>0</v>
      </c>
      <c r="Q44" s="76">
        <f>G44*0</f>
        <v>0</v>
      </c>
      <c r="R44" s="57">
        <f t="shared" si="54"/>
        <v>63.6</v>
      </c>
      <c r="S44" s="54">
        <f t="shared" si="55"/>
        <v>63.6</v>
      </c>
      <c r="T44" s="54">
        <f t="shared" si="56"/>
        <v>95.399999999999991</v>
      </c>
      <c r="U44" s="54">
        <f t="shared" si="57"/>
        <v>95.399999999999991</v>
      </c>
      <c r="V44" s="53">
        <f t="shared" si="47"/>
        <v>318000</v>
      </c>
      <c r="W44" s="53">
        <f t="shared" si="48"/>
        <v>318000</v>
      </c>
      <c r="X44" s="53">
        <f t="shared" si="49"/>
        <v>476999.99999999994</v>
      </c>
      <c r="Y44" s="53">
        <f t="shared" si="50"/>
        <v>476999.99999999994</v>
      </c>
      <c r="Z44" s="47">
        <v>45</v>
      </c>
      <c r="AA44" s="53">
        <f t="shared" si="11"/>
        <v>225000</v>
      </c>
      <c r="AB44" s="47">
        <v>2</v>
      </c>
      <c r="AC44" s="53">
        <f t="shared" si="12"/>
        <v>10000</v>
      </c>
      <c r="AD44" s="47">
        <v>0</v>
      </c>
      <c r="AE44" s="53">
        <f t="shared" si="13"/>
        <v>0</v>
      </c>
      <c r="AF44" s="47">
        <v>50</v>
      </c>
      <c r="AG44" s="53">
        <f t="shared" si="14"/>
        <v>250000</v>
      </c>
      <c r="AH44" s="47">
        <v>25</v>
      </c>
      <c r="AI44" s="53">
        <f t="shared" si="15"/>
        <v>125000</v>
      </c>
      <c r="AJ44" s="47">
        <v>20</v>
      </c>
      <c r="AK44" s="53">
        <f t="shared" si="51"/>
        <v>100000</v>
      </c>
      <c r="AL44" s="47">
        <v>0</v>
      </c>
      <c r="AM44" s="53">
        <f t="shared" si="17"/>
        <v>0</v>
      </c>
      <c r="AN44" s="47">
        <v>0</v>
      </c>
      <c r="AO44" s="53">
        <f>AN44*E44</f>
        <v>0</v>
      </c>
      <c r="AP44" s="47">
        <v>0</v>
      </c>
      <c r="AQ44" s="53">
        <f t="shared" si="19"/>
        <v>0</v>
      </c>
      <c r="AR44" s="47">
        <v>32</v>
      </c>
      <c r="AS44" s="53">
        <f t="shared" si="20"/>
        <v>160000</v>
      </c>
      <c r="AT44" s="624">
        <v>40</v>
      </c>
      <c r="AU44" s="53">
        <f>AT44*E44</f>
        <v>200000</v>
      </c>
      <c r="AV44" s="47">
        <v>10</v>
      </c>
      <c r="AW44" s="53">
        <f>AV44*E44</f>
        <v>50000</v>
      </c>
      <c r="AX44" s="47">
        <v>0</v>
      </c>
      <c r="AY44" s="53">
        <f>AX44*E44</f>
        <v>0</v>
      </c>
      <c r="AZ44" s="47">
        <v>50</v>
      </c>
      <c r="BA44" s="53">
        <f t="shared" si="21"/>
        <v>250000</v>
      </c>
      <c r="BB44" s="47">
        <v>10</v>
      </c>
      <c r="BC44" s="53">
        <f t="shared" si="22"/>
        <v>50000</v>
      </c>
      <c r="BD44" s="47">
        <v>0</v>
      </c>
      <c r="BE44" s="53">
        <f t="shared" si="23"/>
        <v>0</v>
      </c>
      <c r="BF44" s="47">
        <v>34</v>
      </c>
      <c r="BG44" s="53">
        <f t="shared" si="24"/>
        <v>170000</v>
      </c>
      <c r="BH44" s="47">
        <v>0</v>
      </c>
      <c r="BI44" s="53">
        <f t="shared" si="25"/>
        <v>0</v>
      </c>
      <c r="BJ44" s="47">
        <f t="shared" si="52"/>
        <v>318</v>
      </c>
      <c r="BK44" s="117">
        <f t="shared" si="39"/>
        <v>1590000</v>
      </c>
      <c r="BL44" s="331" t="s">
        <v>472</v>
      </c>
      <c r="BN44" s="113">
        <f t="shared" si="58"/>
        <v>1590000</v>
      </c>
      <c r="BO44" s="113"/>
      <c r="BP44" s="113"/>
      <c r="BQ44" s="113"/>
      <c r="BR44" s="113">
        <f t="shared" si="53"/>
        <v>1590000</v>
      </c>
      <c r="BS44" s="113"/>
      <c r="BT44" s="113"/>
      <c r="BU44" s="113">
        <f>BS44+BT44</f>
        <v>0</v>
      </c>
      <c r="BV44" s="179">
        <f t="shared" si="2"/>
        <v>1590000</v>
      </c>
    </row>
    <row r="45" spans="1:74" x14ac:dyDescent="0.25">
      <c r="A45" s="974"/>
      <c r="B45" s="56"/>
      <c r="C45" s="343" t="s">
        <v>837</v>
      </c>
      <c r="D45" s="343"/>
      <c r="E45" s="445">
        <v>10000000</v>
      </c>
      <c r="F45" s="443">
        <f t="shared" si="43"/>
        <v>4</v>
      </c>
      <c r="G45" s="79">
        <f t="shared" si="44"/>
        <v>40000000</v>
      </c>
      <c r="H45" s="120"/>
      <c r="I45" s="120"/>
      <c r="J45" s="120"/>
      <c r="K45" s="120"/>
      <c r="L45" s="120">
        <f>G45</f>
        <v>40000000</v>
      </c>
      <c r="M45" s="120"/>
      <c r="N45" s="120"/>
      <c r="O45" s="121"/>
      <c r="P45" s="121"/>
      <c r="Q45" s="122"/>
      <c r="R45" s="57">
        <f t="shared" si="54"/>
        <v>0.8</v>
      </c>
      <c r="S45" s="54">
        <f t="shared" si="55"/>
        <v>0.8</v>
      </c>
      <c r="T45" s="54">
        <f t="shared" si="56"/>
        <v>1.2</v>
      </c>
      <c r="U45" s="54">
        <f t="shared" si="57"/>
        <v>1.2</v>
      </c>
      <c r="V45" s="53">
        <f t="shared" si="47"/>
        <v>8000000</v>
      </c>
      <c r="W45" s="53">
        <f t="shared" si="48"/>
        <v>8000000</v>
      </c>
      <c r="X45" s="53">
        <f t="shared" si="49"/>
        <v>12000000</v>
      </c>
      <c r="Y45" s="53">
        <f t="shared" si="50"/>
        <v>12000000</v>
      </c>
      <c r="Z45" s="123"/>
      <c r="AA45" s="53">
        <f t="shared" si="11"/>
        <v>0</v>
      </c>
      <c r="AB45" s="123"/>
      <c r="AC45" s="212"/>
      <c r="AD45" s="123"/>
      <c r="AE45" s="212"/>
      <c r="AF45" s="123">
        <v>1</v>
      </c>
      <c r="AG45" s="53">
        <f t="shared" si="14"/>
        <v>10000000</v>
      </c>
      <c r="AH45" s="123"/>
      <c r="AI45" s="53">
        <f t="shared" si="15"/>
        <v>0</v>
      </c>
      <c r="AJ45" s="123">
        <v>1</v>
      </c>
      <c r="AK45" s="53">
        <f t="shared" si="51"/>
        <v>10000000</v>
      </c>
      <c r="AL45" s="123"/>
      <c r="AM45" s="212"/>
      <c r="AN45" s="123"/>
      <c r="AO45" s="212"/>
      <c r="AP45" s="123"/>
      <c r="AQ45" s="53">
        <f t="shared" si="19"/>
        <v>0</v>
      </c>
      <c r="AR45" s="123"/>
      <c r="AS45" s="212"/>
      <c r="AT45" s="123"/>
      <c r="AU45" s="212"/>
      <c r="AV45" s="123"/>
      <c r="AW45" s="212"/>
      <c r="AX45" s="123"/>
      <c r="AY45" s="212"/>
      <c r="AZ45" s="123">
        <v>1</v>
      </c>
      <c r="BA45" s="53">
        <f t="shared" si="21"/>
        <v>10000000</v>
      </c>
      <c r="BB45" s="123"/>
      <c r="BC45" s="53">
        <f t="shared" si="22"/>
        <v>0</v>
      </c>
      <c r="BD45" s="123">
        <v>1</v>
      </c>
      <c r="BE45" s="53">
        <f t="shared" si="23"/>
        <v>10000000</v>
      </c>
      <c r="BF45" s="123"/>
      <c r="BG45" s="212"/>
      <c r="BH45" s="123"/>
      <c r="BI45" s="212"/>
      <c r="BJ45" s="47">
        <f t="shared" si="52"/>
        <v>4</v>
      </c>
      <c r="BK45" s="117">
        <f>AA45+AC45+AE45+AG45+AI45+AK45+AM45+AO45+AQ45+AS45+AU45+AW45+AY45+BA45+BC45+BE45+BG45+BI45</f>
        <v>40000000</v>
      </c>
      <c r="BL45" s="331" t="s">
        <v>838</v>
      </c>
      <c r="BN45" s="113">
        <f t="shared" si="58"/>
        <v>40000000</v>
      </c>
      <c r="BO45" s="124"/>
      <c r="BP45" s="124"/>
      <c r="BQ45" s="124"/>
      <c r="BR45" s="113">
        <f t="shared" si="53"/>
        <v>40000000</v>
      </c>
      <c r="BS45" s="124"/>
      <c r="BT45" s="124"/>
      <c r="BU45" s="124"/>
      <c r="BV45" s="179">
        <f t="shared" si="2"/>
        <v>40000000</v>
      </c>
    </row>
    <row r="46" spans="1:74" x14ac:dyDescent="0.25">
      <c r="A46" s="974"/>
      <c r="B46" s="56"/>
      <c r="C46" s="343" t="s">
        <v>844</v>
      </c>
      <c r="D46" s="343"/>
      <c r="E46" s="445">
        <v>2000000</v>
      </c>
      <c r="F46" s="443">
        <f>BJ46</f>
        <v>6</v>
      </c>
      <c r="G46" s="79">
        <f>E46*F46</f>
        <v>12000000</v>
      </c>
      <c r="H46" s="120"/>
      <c r="I46" s="120"/>
      <c r="J46" s="120"/>
      <c r="K46" s="120"/>
      <c r="L46" s="120">
        <f>G46</f>
        <v>12000000</v>
      </c>
      <c r="M46" s="120"/>
      <c r="N46" s="120"/>
      <c r="O46" s="121"/>
      <c r="P46" s="121"/>
      <c r="Q46" s="122"/>
      <c r="R46" s="57">
        <f t="shared" si="54"/>
        <v>1.2000000000000002</v>
      </c>
      <c r="S46" s="54">
        <f t="shared" si="55"/>
        <v>1.2000000000000002</v>
      </c>
      <c r="T46" s="54">
        <f t="shared" si="56"/>
        <v>1.7999999999999998</v>
      </c>
      <c r="U46" s="54">
        <f t="shared" si="57"/>
        <v>1.7999999999999998</v>
      </c>
      <c r="V46" s="53">
        <f t="shared" ref="V46" si="59">R46*E46</f>
        <v>2400000.0000000005</v>
      </c>
      <c r="W46" s="53">
        <f t="shared" ref="W46" si="60">S46*E46</f>
        <v>2400000.0000000005</v>
      </c>
      <c r="X46" s="53">
        <f t="shared" ref="X46" si="61">T46*E46</f>
        <v>3599999.9999999995</v>
      </c>
      <c r="Y46" s="53">
        <f t="shared" ref="Y46" si="62">U46*E46</f>
        <v>3599999.9999999995</v>
      </c>
      <c r="Z46" s="123"/>
      <c r="AA46" s="53">
        <f t="shared" si="11"/>
        <v>0</v>
      </c>
      <c r="AB46" s="123"/>
      <c r="AC46" s="212"/>
      <c r="AD46" s="123"/>
      <c r="AE46" s="212"/>
      <c r="AF46" s="123">
        <v>1</v>
      </c>
      <c r="AG46" s="212">
        <f t="shared" si="14"/>
        <v>2000000</v>
      </c>
      <c r="AH46" s="123">
        <v>1</v>
      </c>
      <c r="AI46" s="53">
        <f t="shared" si="15"/>
        <v>2000000</v>
      </c>
      <c r="AJ46" s="123">
        <v>1</v>
      </c>
      <c r="AK46" s="212">
        <f t="shared" si="51"/>
        <v>2000000</v>
      </c>
      <c r="AL46" s="123"/>
      <c r="AM46" s="212"/>
      <c r="AN46" s="123"/>
      <c r="AO46" s="212"/>
      <c r="AP46" s="123">
        <v>1</v>
      </c>
      <c r="AQ46" s="53">
        <f t="shared" si="19"/>
        <v>2000000</v>
      </c>
      <c r="AR46" s="123"/>
      <c r="AS46" s="212"/>
      <c r="AT46" s="123"/>
      <c r="AU46" s="212"/>
      <c r="AV46" s="123"/>
      <c r="AW46" s="212"/>
      <c r="AX46" s="123"/>
      <c r="AY46" s="212"/>
      <c r="AZ46" s="123">
        <v>1</v>
      </c>
      <c r="BA46" s="212">
        <f t="shared" si="21"/>
        <v>2000000</v>
      </c>
      <c r="BB46" s="123">
        <v>1</v>
      </c>
      <c r="BC46" s="53">
        <f t="shared" si="22"/>
        <v>2000000</v>
      </c>
      <c r="BD46" s="123"/>
      <c r="BE46" s="212"/>
      <c r="BF46" s="123"/>
      <c r="BG46" s="212"/>
      <c r="BH46" s="123"/>
      <c r="BI46" s="212"/>
      <c r="BJ46" s="47">
        <f t="shared" si="52"/>
        <v>6</v>
      </c>
      <c r="BK46" s="117">
        <f>AA46+AC46+AE46+AG46+AI46+AK46+AM46+AO46+AQ46+AS46+AU46+AW46+AY46+BA46+BC46+BE46+BG46+BI46</f>
        <v>12000000</v>
      </c>
      <c r="BL46" s="331" t="s">
        <v>838</v>
      </c>
      <c r="BN46" s="113">
        <f t="shared" si="58"/>
        <v>12000000</v>
      </c>
      <c r="BO46" s="124"/>
      <c r="BP46" s="124"/>
      <c r="BQ46" s="124"/>
      <c r="BR46" s="113">
        <f t="shared" si="53"/>
        <v>12000000</v>
      </c>
      <c r="BS46" s="124"/>
      <c r="BT46" s="124"/>
      <c r="BU46" s="124"/>
      <c r="BV46" s="179">
        <f t="shared" si="2"/>
        <v>12000000</v>
      </c>
    </row>
    <row r="47" spans="1:74" x14ac:dyDescent="0.25">
      <c r="A47" s="974"/>
      <c r="B47" s="58"/>
      <c r="C47" s="203"/>
      <c r="D47" s="58"/>
      <c r="E47" s="58"/>
      <c r="F47" s="59">
        <f>SUM(F40:F46)</f>
        <v>471</v>
      </c>
      <c r="G47" s="59">
        <f t="shared" ref="G47:BK47" si="63">SUM(G40:G46)</f>
        <v>85990000</v>
      </c>
      <c r="H47" s="59">
        <f t="shared" si="63"/>
        <v>0</v>
      </c>
      <c r="I47" s="59">
        <f t="shared" si="63"/>
        <v>27192000</v>
      </c>
      <c r="J47" s="59">
        <f t="shared" si="63"/>
        <v>0</v>
      </c>
      <c r="K47" s="59">
        <f t="shared" si="63"/>
        <v>0</v>
      </c>
      <c r="L47" s="59">
        <f t="shared" si="63"/>
        <v>58798000</v>
      </c>
      <c r="M47" s="59">
        <f t="shared" si="63"/>
        <v>0</v>
      </c>
      <c r="N47" s="59">
        <f t="shared" si="63"/>
        <v>0</v>
      </c>
      <c r="O47" s="59">
        <f t="shared" si="63"/>
        <v>0</v>
      </c>
      <c r="P47" s="59">
        <f t="shared" si="63"/>
        <v>0</v>
      </c>
      <c r="Q47" s="59">
        <f t="shared" si="63"/>
        <v>0</v>
      </c>
      <c r="R47" s="59">
        <f t="shared" si="63"/>
        <v>94.2</v>
      </c>
      <c r="S47" s="59">
        <f t="shared" si="63"/>
        <v>94.2</v>
      </c>
      <c r="T47" s="59">
        <f t="shared" si="63"/>
        <v>141.30000000000001</v>
      </c>
      <c r="U47" s="59">
        <f t="shared" si="63"/>
        <v>141.30000000000001</v>
      </c>
      <c r="V47" s="59">
        <f t="shared" si="63"/>
        <v>17008000</v>
      </c>
      <c r="W47" s="59">
        <f t="shared" si="63"/>
        <v>17008000</v>
      </c>
      <c r="X47" s="59">
        <f t="shared" si="63"/>
        <v>25512000</v>
      </c>
      <c r="Y47" s="59">
        <f t="shared" si="63"/>
        <v>25512000</v>
      </c>
      <c r="Z47" s="59">
        <f t="shared" si="63"/>
        <v>54</v>
      </c>
      <c r="AA47" s="59">
        <f t="shared" si="63"/>
        <v>2925000</v>
      </c>
      <c r="AB47" s="59">
        <f t="shared" si="63"/>
        <v>9</v>
      </c>
      <c r="AC47" s="59">
        <f t="shared" si="63"/>
        <v>1260000</v>
      </c>
      <c r="AD47" s="59">
        <f t="shared" si="63"/>
        <v>1</v>
      </c>
      <c r="AE47" s="59">
        <f t="shared" si="63"/>
        <v>500000</v>
      </c>
      <c r="AF47" s="59">
        <f t="shared" si="63"/>
        <v>62</v>
      </c>
      <c r="AG47" s="59">
        <f t="shared" si="63"/>
        <v>14550000</v>
      </c>
      <c r="AH47" s="59">
        <f t="shared" si="63"/>
        <v>34</v>
      </c>
      <c r="AI47" s="59">
        <f t="shared" si="63"/>
        <v>4775000</v>
      </c>
      <c r="AJ47" s="59">
        <f t="shared" si="63"/>
        <v>29</v>
      </c>
      <c r="AK47" s="59">
        <f t="shared" si="63"/>
        <v>13350000</v>
      </c>
      <c r="AL47" s="59">
        <f t="shared" si="63"/>
        <v>12</v>
      </c>
      <c r="AM47" s="59">
        <f t="shared" si="63"/>
        <v>3300000</v>
      </c>
      <c r="AN47" s="59">
        <f t="shared" si="63"/>
        <v>10</v>
      </c>
      <c r="AO47" s="59">
        <f t="shared" si="63"/>
        <v>1400000</v>
      </c>
      <c r="AP47" s="59">
        <f t="shared" si="63"/>
        <v>6</v>
      </c>
      <c r="AQ47" s="59">
        <f t="shared" si="63"/>
        <v>3600000</v>
      </c>
      <c r="AR47" s="59">
        <f t="shared" si="63"/>
        <v>38</v>
      </c>
      <c r="AS47" s="59">
        <f t="shared" si="63"/>
        <v>1810000</v>
      </c>
      <c r="AT47" s="59">
        <f t="shared" si="63"/>
        <v>48</v>
      </c>
      <c r="AU47" s="59">
        <f t="shared" si="63"/>
        <v>1500000</v>
      </c>
      <c r="AV47" s="59">
        <f t="shared" si="63"/>
        <v>20</v>
      </c>
      <c r="AW47" s="59">
        <f t="shared" si="63"/>
        <v>3200000</v>
      </c>
      <c r="AX47" s="59">
        <f t="shared" si="63"/>
        <v>12</v>
      </c>
      <c r="AY47" s="59">
        <f t="shared" si="63"/>
        <v>1500000</v>
      </c>
      <c r="AZ47" s="59">
        <f t="shared" si="63"/>
        <v>64</v>
      </c>
      <c r="BA47" s="59">
        <f t="shared" si="63"/>
        <v>14350000</v>
      </c>
      <c r="BB47" s="59">
        <f t="shared" si="63"/>
        <v>17</v>
      </c>
      <c r="BC47" s="59">
        <f t="shared" si="63"/>
        <v>4200000</v>
      </c>
      <c r="BD47" s="59">
        <f t="shared" si="63"/>
        <v>10</v>
      </c>
      <c r="BE47" s="59">
        <f t="shared" si="63"/>
        <v>12000000</v>
      </c>
      <c r="BF47" s="59">
        <f t="shared" si="63"/>
        <v>45</v>
      </c>
      <c r="BG47" s="59">
        <f t="shared" si="63"/>
        <v>1770000</v>
      </c>
      <c r="BH47" s="59">
        <f t="shared" si="63"/>
        <v>0</v>
      </c>
      <c r="BI47" s="59">
        <f t="shared" si="63"/>
        <v>0</v>
      </c>
      <c r="BJ47" s="59">
        <f t="shared" si="63"/>
        <v>471</v>
      </c>
      <c r="BK47" s="59">
        <f t="shared" si="63"/>
        <v>85990000</v>
      </c>
      <c r="BL47" s="138">
        <f>SUM(BL40:BL44)</f>
        <v>0</v>
      </c>
      <c r="BM47" s="213"/>
      <c r="BN47" s="138">
        <f>SUM(BN40:BN46)</f>
        <v>81540000</v>
      </c>
      <c r="BO47" s="138">
        <f t="shared" ref="BO47:BV47" si="64">SUM(BO40:BO46)</f>
        <v>0</v>
      </c>
      <c r="BP47" s="138">
        <f t="shared" si="64"/>
        <v>4450000</v>
      </c>
      <c r="BQ47" s="138">
        <f t="shared" si="64"/>
        <v>0</v>
      </c>
      <c r="BR47" s="138">
        <f t="shared" si="64"/>
        <v>85990000</v>
      </c>
      <c r="BS47" s="138">
        <f t="shared" si="64"/>
        <v>0</v>
      </c>
      <c r="BT47" s="138">
        <f t="shared" si="64"/>
        <v>0</v>
      </c>
      <c r="BU47" s="138">
        <f t="shared" si="64"/>
        <v>0</v>
      </c>
      <c r="BV47" s="138">
        <f t="shared" si="64"/>
        <v>85990000</v>
      </c>
    </row>
    <row r="48" spans="1:74" x14ac:dyDescent="0.25">
      <c r="A48" s="974"/>
      <c r="B48" s="56">
        <v>32300</v>
      </c>
      <c r="C48" s="211" t="s">
        <v>234</v>
      </c>
      <c r="D48" s="38"/>
      <c r="E48" s="365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53"/>
      <c r="R48" s="54"/>
      <c r="S48" s="54">
        <f t="shared" si="42"/>
        <v>0</v>
      </c>
      <c r="T48" s="54">
        <f t="shared" si="5"/>
        <v>0</v>
      </c>
      <c r="U48" s="54">
        <f t="shared" si="6"/>
        <v>0</v>
      </c>
      <c r="V48" s="53"/>
      <c r="W48" s="53"/>
      <c r="X48" s="53"/>
      <c r="Y48" s="53"/>
      <c r="Z48" s="47"/>
      <c r="AA48" s="53">
        <f t="shared" si="11"/>
        <v>0</v>
      </c>
      <c r="AB48" s="47"/>
      <c r="AC48" s="53">
        <f t="shared" si="12"/>
        <v>0</v>
      </c>
      <c r="AD48" s="47"/>
      <c r="AE48" s="53">
        <f t="shared" si="13"/>
        <v>0</v>
      </c>
      <c r="AF48" s="47"/>
      <c r="AG48" s="53">
        <f t="shared" si="14"/>
        <v>0</v>
      </c>
      <c r="AH48" s="47"/>
      <c r="AI48" s="53">
        <f t="shared" si="15"/>
        <v>0</v>
      </c>
      <c r="AJ48" s="47"/>
      <c r="AK48" s="53"/>
      <c r="AL48" s="47"/>
      <c r="AM48" s="53">
        <f t="shared" si="17"/>
        <v>0</v>
      </c>
      <c r="AN48" s="47"/>
      <c r="AO48" s="53"/>
      <c r="AP48" s="47"/>
      <c r="AQ48" s="53">
        <f t="shared" si="19"/>
        <v>0</v>
      </c>
      <c r="AR48" s="47"/>
      <c r="AS48" s="53">
        <f t="shared" si="20"/>
        <v>0</v>
      </c>
      <c r="AT48" s="47"/>
      <c r="AU48" s="53"/>
      <c r="AV48" s="47"/>
      <c r="AW48" s="53"/>
      <c r="AX48" s="47"/>
      <c r="AY48" s="53"/>
      <c r="AZ48" s="47"/>
      <c r="BA48" s="53">
        <f t="shared" si="21"/>
        <v>0</v>
      </c>
      <c r="BB48" s="47"/>
      <c r="BC48" s="53">
        <f t="shared" si="22"/>
        <v>0</v>
      </c>
      <c r="BD48" s="47"/>
      <c r="BE48" s="53"/>
      <c r="BF48" s="47"/>
      <c r="BG48" s="53">
        <f t="shared" si="24"/>
        <v>0</v>
      </c>
      <c r="BH48" s="47"/>
      <c r="BI48" s="53">
        <f t="shared" si="25"/>
        <v>0</v>
      </c>
      <c r="BJ48" s="47"/>
      <c r="BK48" s="117">
        <f t="shared" si="39"/>
        <v>0</v>
      </c>
      <c r="BL48" s="47"/>
      <c r="BN48" s="113"/>
      <c r="BO48" s="113"/>
      <c r="BP48" s="113"/>
      <c r="BQ48" s="113"/>
      <c r="BR48" s="113"/>
      <c r="BS48" s="113"/>
      <c r="BT48" s="113"/>
      <c r="BU48" s="113"/>
      <c r="BV48" s="179">
        <f t="shared" si="2"/>
        <v>0</v>
      </c>
    </row>
    <row r="49" spans="1:160" x14ac:dyDescent="0.25">
      <c r="A49" s="974"/>
      <c r="B49" s="56"/>
      <c r="C49" s="38" t="s">
        <v>235</v>
      </c>
      <c r="D49" s="38" t="s">
        <v>72</v>
      </c>
      <c r="E49" s="365">
        <f>1*100000</f>
        <v>100000</v>
      </c>
      <c r="F49" s="60">
        <f>BJ49</f>
        <v>1</v>
      </c>
      <c r="G49" s="79">
        <f>E49*F49</f>
        <v>100000</v>
      </c>
      <c r="H49" s="79">
        <f>G49*0.2</f>
        <v>20000</v>
      </c>
      <c r="I49" s="79">
        <f>G49*0.8</f>
        <v>80000</v>
      </c>
      <c r="J49" s="79">
        <f>G49*0</f>
        <v>0</v>
      </c>
      <c r="K49" s="79">
        <f>G49*0</f>
        <v>0</v>
      </c>
      <c r="L49" s="79">
        <f>G49*0</f>
        <v>0</v>
      </c>
      <c r="M49" s="79">
        <f>G49*0</f>
        <v>0</v>
      </c>
      <c r="N49" s="79">
        <f>G49*0</f>
        <v>0</v>
      </c>
      <c r="O49" s="80">
        <f>G49*0</f>
        <v>0</v>
      </c>
      <c r="P49" s="80">
        <f>G49*0</f>
        <v>0</v>
      </c>
      <c r="Q49" s="76">
        <f>G49*0</f>
        <v>0</v>
      </c>
      <c r="R49" s="54"/>
      <c r="S49" s="804">
        <f>F49*0</f>
        <v>0</v>
      </c>
      <c r="T49" s="804">
        <f>F49*0</f>
        <v>0</v>
      </c>
      <c r="U49" s="804">
        <f>F49*1</f>
        <v>1</v>
      </c>
      <c r="V49" s="53">
        <f>R49*E49</f>
        <v>0</v>
      </c>
      <c r="W49" s="53">
        <f>S49*E49</f>
        <v>0</v>
      </c>
      <c r="X49" s="53">
        <f>T49*E49</f>
        <v>0</v>
      </c>
      <c r="Y49" s="53">
        <f>U49*E49</f>
        <v>100000</v>
      </c>
      <c r="Z49" s="47">
        <v>0</v>
      </c>
      <c r="AA49" s="53">
        <f t="shared" si="11"/>
        <v>0</v>
      </c>
      <c r="AB49" s="47">
        <v>0</v>
      </c>
      <c r="AC49" s="53">
        <f t="shared" si="12"/>
        <v>0</v>
      </c>
      <c r="AD49" s="47">
        <v>0</v>
      </c>
      <c r="AE49" s="53">
        <f t="shared" si="13"/>
        <v>0</v>
      </c>
      <c r="AF49" s="47">
        <v>0</v>
      </c>
      <c r="AG49" s="53">
        <f t="shared" si="14"/>
        <v>0</v>
      </c>
      <c r="AH49" s="47">
        <v>0</v>
      </c>
      <c r="AI49" s="53">
        <f t="shared" si="15"/>
        <v>0</v>
      </c>
      <c r="AJ49" s="47">
        <v>0</v>
      </c>
      <c r="AK49" s="53">
        <f>AJ49*E49</f>
        <v>0</v>
      </c>
      <c r="AL49" s="47">
        <v>0</v>
      </c>
      <c r="AM49" s="53">
        <f t="shared" si="17"/>
        <v>0</v>
      </c>
      <c r="AN49" s="47">
        <v>0</v>
      </c>
      <c r="AO49" s="53">
        <f>AN49*E49</f>
        <v>0</v>
      </c>
      <c r="AP49" s="47">
        <v>0</v>
      </c>
      <c r="AQ49" s="53">
        <f t="shared" si="19"/>
        <v>0</v>
      </c>
      <c r="AR49" s="47">
        <v>0</v>
      </c>
      <c r="AS49" s="53">
        <f t="shared" si="20"/>
        <v>0</v>
      </c>
      <c r="AT49" s="47">
        <v>0</v>
      </c>
      <c r="AU49" s="53">
        <f>AT49*E49</f>
        <v>0</v>
      </c>
      <c r="AV49" s="47">
        <v>0</v>
      </c>
      <c r="AW49" s="53">
        <f>AV49*E49</f>
        <v>0</v>
      </c>
      <c r="AX49" s="47">
        <v>0</v>
      </c>
      <c r="AY49" s="53">
        <f>AX49*E49</f>
        <v>0</v>
      </c>
      <c r="AZ49" s="47">
        <v>0</v>
      </c>
      <c r="BA49" s="53">
        <f t="shared" si="21"/>
        <v>0</v>
      </c>
      <c r="BB49" s="47">
        <v>0</v>
      </c>
      <c r="BC49" s="53">
        <f t="shared" si="22"/>
        <v>0</v>
      </c>
      <c r="BD49" s="47">
        <v>0</v>
      </c>
      <c r="BE49" s="53">
        <f>BD49*100000</f>
        <v>0</v>
      </c>
      <c r="BF49" s="47">
        <v>0</v>
      </c>
      <c r="BG49" s="53">
        <f t="shared" si="24"/>
        <v>0</v>
      </c>
      <c r="BH49" s="47">
        <v>1</v>
      </c>
      <c r="BI49" s="53">
        <f t="shared" si="25"/>
        <v>100000</v>
      </c>
      <c r="BJ49" s="47">
        <f>Z49+AB49+AD49+AF49+AH49+AJ49+AL49+AN49+AP49+AR49+AT49+AV49+AX49+AZ49+BB49+BD49+BF49+BH49</f>
        <v>1</v>
      </c>
      <c r="BK49" s="117">
        <f t="shared" si="39"/>
        <v>100000</v>
      </c>
      <c r="BL49" s="331" t="s">
        <v>467</v>
      </c>
      <c r="BN49" s="113"/>
      <c r="BO49" s="113"/>
      <c r="BP49" s="113">
        <f>G49</f>
        <v>100000</v>
      </c>
      <c r="BQ49" s="113"/>
      <c r="BR49" s="113">
        <f>BN49+BO49+BP49+BQ49</f>
        <v>100000</v>
      </c>
      <c r="BS49" s="113"/>
      <c r="BT49" s="113"/>
      <c r="BU49" s="113">
        <f>BS49+BT49</f>
        <v>0</v>
      </c>
      <c r="BV49" s="179">
        <f t="shared" si="2"/>
        <v>100000</v>
      </c>
    </row>
    <row r="50" spans="1:160" x14ac:dyDescent="0.25">
      <c r="A50" s="974"/>
      <c r="B50" s="55"/>
      <c r="C50" s="38" t="s">
        <v>236</v>
      </c>
      <c r="D50" s="38" t="s">
        <v>17</v>
      </c>
      <c r="E50" s="365">
        <f>2*100000</f>
        <v>200000</v>
      </c>
      <c r="F50" s="60">
        <f>BJ50</f>
        <v>1</v>
      </c>
      <c r="G50" s="79">
        <f>E50*F50</f>
        <v>200000</v>
      </c>
      <c r="H50" s="79">
        <f>G50*0.2</f>
        <v>40000</v>
      </c>
      <c r="I50" s="79">
        <f>G50*0.8</f>
        <v>160000</v>
      </c>
      <c r="J50" s="79">
        <f>G50*0</f>
        <v>0</v>
      </c>
      <c r="K50" s="79">
        <f>G50*0</f>
        <v>0</v>
      </c>
      <c r="L50" s="79">
        <f>G50*0</f>
        <v>0</v>
      </c>
      <c r="M50" s="79">
        <f>G50*0</f>
        <v>0</v>
      </c>
      <c r="N50" s="79">
        <f>G50*0</f>
        <v>0</v>
      </c>
      <c r="O50" s="80">
        <f>G50*0</f>
        <v>0</v>
      </c>
      <c r="P50" s="80">
        <f>G50*0</f>
        <v>0</v>
      </c>
      <c r="Q50" s="76">
        <f>G50*0</f>
        <v>0</v>
      </c>
      <c r="R50" s="54"/>
      <c r="S50" s="804">
        <f>F50*0</f>
        <v>0</v>
      </c>
      <c r="T50" s="804">
        <f>F50*0</f>
        <v>0</v>
      </c>
      <c r="U50" s="804">
        <f>F50*1</f>
        <v>1</v>
      </c>
      <c r="V50" s="53">
        <f>R50*E50</f>
        <v>0</v>
      </c>
      <c r="W50" s="53">
        <f>S50*E50</f>
        <v>0</v>
      </c>
      <c r="X50" s="53">
        <f>T50*E50</f>
        <v>0</v>
      </c>
      <c r="Y50" s="53">
        <f>U50*E50</f>
        <v>200000</v>
      </c>
      <c r="Z50" s="47">
        <v>0</v>
      </c>
      <c r="AA50" s="53">
        <f t="shared" si="11"/>
        <v>0</v>
      </c>
      <c r="AB50" s="47">
        <v>0</v>
      </c>
      <c r="AC50" s="53">
        <f t="shared" si="12"/>
        <v>0</v>
      </c>
      <c r="AD50" s="47">
        <v>0</v>
      </c>
      <c r="AE50" s="53">
        <f t="shared" si="13"/>
        <v>0</v>
      </c>
      <c r="AF50" s="47">
        <v>0</v>
      </c>
      <c r="AG50" s="53">
        <f t="shared" si="14"/>
        <v>0</v>
      </c>
      <c r="AH50" s="47">
        <v>0</v>
      </c>
      <c r="AI50" s="53">
        <f t="shared" si="15"/>
        <v>0</v>
      </c>
      <c r="AJ50" s="47">
        <v>0</v>
      </c>
      <c r="AK50" s="53">
        <f>AJ50*E50</f>
        <v>0</v>
      </c>
      <c r="AL50" s="47">
        <v>0</v>
      </c>
      <c r="AM50" s="53">
        <f t="shared" si="17"/>
        <v>0</v>
      </c>
      <c r="AN50" s="47">
        <v>0</v>
      </c>
      <c r="AO50" s="53">
        <f>AN50*E50</f>
        <v>0</v>
      </c>
      <c r="AP50" s="47">
        <v>0</v>
      </c>
      <c r="AQ50" s="53">
        <f t="shared" si="19"/>
        <v>0</v>
      </c>
      <c r="AR50" s="47">
        <v>0</v>
      </c>
      <c r="AS50" s="53">
        <f t="shared" si="20"/>
        <v>0</v>
      </c>
      <c r="AT50" s="47">
        <v>0</v>
      </c>
      <c r="AU50" s="53">
        <f>AT50*E50</f>
        <v>0</v>
      </c>
      <c r="AV50" s="47">
        <v>0</v>
      </c>
      <c r="AW50" s="53">
        <f>AV50*E50</f>
        <v>0</v>
      </c>
      <c r="AX50" s="47">
        <v>0</v>
      </c>
      <c r="AY50" s="53">
        <f>AX50*E50</f>
        <v>0</v>
      </c>
      <c r="AZ50" s="47">
        <v>0</v>
      </c>
      <c r="BA50" s="53">
        <f t="shared" si="21"/>
        <v>0</v>
      </c>
      <c r="BB50" s="47">
        <v>0</v>
      </c>
      <c r="BC50" s="53">
        <f t="shared" si="22"/>
        <v>0</v>
      </c>
      <c r="BD50" s="47">
        <v>0</v>
      </c>
      <c r="BE50" s="53">
        <f>BD50*200000</f>
        <v>0</v>
      </c>
      <c r="BF50" s="47">
        <v>0</v>
      </c>
      <c r="BG50" s="53">
        <f t="shared" si="24"/>
        <v>0</v>
      </c>
      <c r="BH50" s="47">
        <v>1</v>
      </c>
      <c r="BI50" s="53">
        <f t="shared" si="25"/>
        <v>200000</v>
      </c>
      <c r="BJ50" s="47">
        <f>Z50+AB50+AD50+AF50+AH50+AJ50+AL50+AN50+AP50+AR50+AT50+AV50+AX50+AZ50+BB50+BD50+BF50+BH50</f>
        <v>1</v>
      </c>
      <c r="BK50" s="117">
        <f t="shared" si="39"/>
        <v>200000</v>
      </c>
      <c r="BL50" s="331" t="s">
        <v>467</v>
      </c>
      <c r="BN50" s="113"/>
      <c r="BO50" s="113"/>
      <c r="BP50" s="113">
        <f>G50</f>
        <v>200000</v>
      </c>
      <c r="BQ50" s="113"/>
      <c r="BR50" s="113">
        <f>BN50+BO50+BP50+BQ50</f>
        <v>200000</v>
      </c>
      <c r="BS50" s="113"/>
      <c r="BT50" s="113"/>
      <c r="BU50" s="113">
        <f>BS50+BT50</f>
        <v>0</v>
      </c>
      <c r="BV50" s="179">
        <f t="shared" si="2"/>
        <v>200000</v>
      </c>
    </row>
    <row r="51" spans="1:160" x14ac:dyDescent="0.25">
      <c r="A51" s="974"/>
      <c r="B51" s="58"/>
      <c r="C51" s="204"/>
      <c r="D51" s="61"/>
      <c r="E51" s="61"/>
      <c r="F51" s="62">
        <f>SUM(F49:F50)</f>
        <v>2</v>
      </c>
      <c r="G51" s="62">
        <f t="shared" ref="G51:V51" si="65">SUM(G49:G50)</f>
        <v>300000</v>
      </c>
      <c r="H51" s="62">
        <f t="shared" si="65"/>
        <v>60000</v>
      </c>
      <c r="I51" s="62">
        <f t="shared" si="65"/>
        <v>240000</v>
      </c>
      <c r="J51" s="62">
        <f t="shared" si="65"/>
        <v>0</v>
      </c>
      <c r="K51" s="62">
        <f t="shared" si="65"/>
        <v>0</v>
      </c>
      <c r="L51" s="62">
        <f t="shared" si="65"/>
        <v>0</v>
      </c>
      <c r="M51" s="62">
        <f t="shared" si="65"/>
        <v>0</v>
      </c>
      <c r="N51" s="62">
        <f t="shared" si="65"/>
        <v>0</v>
      </c>
      <c r="O51" s="62">
        <f t="shared" si="65"/>
        <v>0</v>
      </c>
      <c r="P51" s="62">
        <f t="shared" si="65"/>
        <v>0</v>
      </c>
      <c r="Q51" s="62">
        <f t="shared" si="65"/>
        <v>0</v>
      </c>
      <c r="R51" s="62">
        <f t="shared" si="65"/>
        <v>0</v>
      </c>
      <c r="S51" s="62">
        <f t="shared" si="65"/>
        <v>0</v>
      </c>
      <c r="T51" s="62">
        <f t="shared" si="65"/>
        <v>0</v>
      </c>
      <c r="U51" s="62">
        <f t="shared" si="65"/>
        <v>2</v>
      </c>
      <c r="V51" s="62">
        <f t="shared" si="65"/>
        <v>0</v>
      </c>
      <c r="W51" s="158">
        <f>SUM(W49:W50)</f>
        <v>0</v>
      </c>
      <c r="X51" s="158">
        <f>SUM(X49:X50)</f>
        <v>0</v>
      </c>
      <c r="Y51" s="158">
        <f>SUM(Y49:Y50)</f>
        <v>300000</v>
      </c>
      <c r="Z51" s="62">
        <f>SUM(Z49:Z50)</f>
        <v>0</v>
      </c>
      <c r="AA51" s="62">
        <f t="shared" ref="AA51:BK51" si="66">SUM(AA49:AA50)</f>
        <v>0</v>
      </c>
      <c r="AB51" s="62">
        <f t="shared" si="66"/>
        <v>0</v>
      </c>
      <c r="AC51" s="62">
        <f t="shared" si="66"/>
        <v>0</v>
      </c>
      <c r="AD51" s="62">
        <f t="shared" si="66"/>
        <v>0</v>
      </c>
      <c r="AE51" s="62">
        <f t="shared" si="66"/>
        <v>0</v>
      </c>
      <c r="AF51" s="62">
        <f t="shared" si="66"/>
        <v>0</v>
      </c>
      <c r="AG51" s="62">
        <f t="shared" si="66"/>
        <v>0</v>
      </c>
      <c r="AH51" s="62">
        <f t="shared" si="66"/>
        <v>0</v>
      </c>
      <c r="AI51" s="62">
        <f t="shared" si="66"/>
        <v>0</v>
      </c>
      <c r="AJ51" s="62">
        <f t="shared" si="66"/>
        <v>0</v>
      </c>
      <c r="AK51" s="62">
        <f t="shared" si="66"/>
        <v>0</v>
      </c>
      <c r="AL51" s="62">
        <f t="shared" si="66"/>
        <v>0</v>
      </c>
      <c r="AM51" s="62">
        <f t="shared" si="66"/>
        <v>0</v>
      </c>
      <c r="AN51" s="62">
        <f t="shared" si="66"/>
        <v>0</v>
      </c>
      <c r="AO51" s="62">
        <f t="shared" si="66"/>
        <v>0</v>
      </c>
      <c r="AP51" s="62">
        <f t="shared" si="66"/>
        <v>0</v>
      </c>
      <c r="AQ51" s="62">
        <f t="shared" si="66"/>
        <v>0</v>
      </c>
      <c r="AR51" s="62">
        <f t="shared" si="66"/>
        <v>0</v>
      </c>
      <c r="AS51" s="62">
        <f t="shared" si="66"/>
        <v>0</v>
      </c>
      <c r="AT51" s="62">
        <f t="shared" si="66"/>
        <v>0</v>
      </c>
      <c r="AU51" s="62">
        <f t="shared" si="66"/>
        <v>0</v>
      </c>
      <c r="AV51" s="62">
        <f t="shared" si="66"/>
        <v>0</v>
      </c>
      <c r="AW51" s="62">
        <f t="shared" si="66"/>
        <v>0</v>
      </c>
      <c r="AX51" s="62">
        <f t="shared" si="66"/>
        <v>0</v>
      </c>
      <c r="AY51" s="62">
        <f t="shared" si="66"/>
        <v>0</v>
      </c>
      <c r="AZ51" s="62">
        <f t="shared" si="66"/>
        <v>0</v>
      </c>
      <c r="BA51" s="62">
        <f t="shared" si="66"/>
        <v>0</v>
      </c>
      <c r="BB51" s="62">
        <f t="shared" si="66"/>
        <v>0</v>
      </c>
      <c r="BC51" s="62">
        <f t="shared" si="66"/>
        <v>0</v>
      </c>
      <c r="BD51" s="62">
        <f t="shared" si="66"/>
        <v>0</v>
      </c>
      <c r="BE51" s="62">
        <f t="shared" si="66"/>
        <v>0</v>
      </c>
      <c r="BF51" s="62">
        <f t="shared" si="66"/>
        <v>0</v>
      </c>
      <c r="BG51" s="62">
        <f t="shared" si="66"/>
        <v>0</v>
      </c>
      <c r="BH51" s="62">
        <f t="shared" si="66"/>
        <v>2</v>
      </c>
      <c r="BI51" s="62">
        <f t="shared" si="66"/>
        <v>300000</v>
      </c>
      <c r="BJ51" s="62">
        <f t="shared" si="66"/>
        <v>2</v>
      </c>
      <c r="BK51" s="62">
        <f t="shared" si="66"/>
        <v>300000</v>
      </c>
      <c r="BL51" s="47"/>
      <c r="BN51" s="190">
        <f t="shared" ref="BN51:BU51" si="67">SUM(BN49:BN50)</f>
        <v>0</v>
      </c>
      <c r="BO51" s="81">
        <f t="shared" si="67"/>
        <v>0</v>
      </c>
      <c r="BP51" s="81">
        <f t="shared" si="67"/>
        <v>300000</v>
      </c>
      <c r="BQ51" s="81">
        <f t="shared" si="67"/>
        <v>0</v>
      </c>
      <c r="BR51" s="81">
        <f t="shared" si="67"/>
        <v>300000</v>
      </c>
      <c r="BS51" s="190">
        <f t="shared" si="67"/>
        <v>0</v>
      </c>
      <c r="BT51" s="190">
        <f t="shared" si="67"/>
        <v>0</v>
      </c>
      <c r="BU51" s="190">
        <f t="shared" si="67"/>
        <v>0</v>
      </c>
      <c r="BV51" s="179">
        <f t="shared" si="2"/>
        <v>300000</v>
      </c>
    </row>
    <row r="52" spans="1:160" s="67" customFormat="1" x14ac:dyDescent="0.25">
      <c r="A52" s="976"/>
      <c r="B52" s="997"/>
      <c r="C52" s="998"/>
      <c r="D52" s="63"/>
      <c r="E52" s="64"/>
      <c r="F52" s="65">
        <f>F51+F47+F38</f>
        <v>5528</v>
      </c>
      <c r="G52" s="65">
        <f t="shared" ref="G52:Y52" si="68">G51+G47+G38</f>
        <v>231140000</v>
      </c>
      <c r="H52" s="65">
        <f t="shared" si="68"/>
        <v>14545000</v>
      </c>
      <c r="I52" s="65">
        <f t="shared" si="68"/>
        <v>143312000</v>
      </c>
      <c r="J52" s="65">
        <f t="shared" si="68"/>
        <v>0</v>
      </c>
      <c r="K52" s="65">
        <f t="shared" si="68"/>
        <v>0</v>
      </c>
      <c r="L52" s="65">
        <f t="shared" si="68"/>
        <v>58798000</v>
      </c>
      <c r="M52" s="65">
        <f t="shared" si="68"/>
        <v>0</v>
      </c>
      <c r="N52" s="65">
        <f t="shared" si="68"/>
        <v>0</v>
      </c>
      <c r="O52" s="65">
        <f t="shared" si="68"/>
        <v>0</v>
      </c>
      <c r="P52" s="65">
        <f t="shared" si="68"/>
        <v>14485000</v>
      </c>
      <c r="Q52" s="65">
        <f t="shared" si="68"/>
        <v>0</v>
      </c>
      <c r="R52" s="65">
        <f t="shared" si="68"/>
        <v>175.8</v>
      </c>
      <c r="S52" s="65">
        <f t="shared" si="68"/>
        <v>2034.6000000000004</v>
      </c>
      <c r="T52" s="65">
        <f t="shared" si="68"/>
        <v>1657.7999999999997</v>
      </c>
      <c r="U52" s="65">
        <f t="shared" si="68"/>
        <v>1659.7999999999997</v>
      </c>
      <c r="V52" s="65">
        <f t="shared" si="68"/>
        <v>45978000</v>
      </c>
      <c r="W52" s="65">
        <f t="shared" si="68"/>
        <v>45978000</v>
      </c>
      <c r="X52" s="65">
        <f t="shared" si="68"/>
        <v>68967000</v>
      </c>
      <c r="Y52" s="65">
        <f t="shared" si="68"/>
        <v>69267000</v>
      </c>
      <c r="Z52" s="65">
        <f>Z51+Z47+Z38</f>
        <v>544</v>
      </c>
      <c r="AA52" s="65">
        <f t="shared" ref="AA52:BK52" si="69">AA51+AA47+AA38</f>
        <v>17525000</v>
      </c>
      <c r="AB52" s="65">
        <f t="shared" si="69"/>
        <v>323</v>
      </c>
      <c r="AC52" s="65">
        <f t="shared" si="69"/>
        <v>2170000</v>
      </c>
      <c r="AD52" s="65">
        <f t="shared" si="69"/>
        <v>262</v>
      </c>
      <c r="AE52" s="65">
        <f t="shared" si="69"/>
        <v>5600000</v>
      </c>
      <c r="AF52" s="65">
        <f t="shared" si="69"/>
        <v>372</v>
      </c>
      <c r="AG52" s="65">
        <f t="shared" si="69"/>
        <v>20550000</v>
      </c>
      <c r="AH52" s="65">
        <f t="shared" si="69"/>
        <v>201</v>
      </c>
      <c r="AI52" s="65">
        <f t="shared" si="69"/>
        <v>12315000</v>
      </c>
      <c r="AJ52" s="65">
        <f t="shared" si="69"/>
        <v>96</v>
      </c>
      <c r="AK52" s="65">
        <f t="shared" si="69"/>
        <v>21050000</v>
      </c>
      <c r="AL52" s="65">
        <f t="shared" si="69"/>
        <v>1026</v>
      </c>
      <c r="AM52" s="65">
        <f t="shared" si="69"/>
        <v>8600000</v>
      </c>
      <c r="AN52" s="65">
        <f t="shared" si="69"/>
        <v>243</v>
      </c>
      <c r="AO52" s="65">
        <f t="shared" si="69"/>
        <v>12350000</v>
      </c>
      <c r="AP52" s="65">
        <f t="shared" si="69"/>
        <v>62</v>
      </c>
      <c r="AQ52" s="65">
        <f t="shared" si="69"/>
        <v>6900000</v>
      </c>
      <c r="AR52" s="65">
        <f t="shared" si="69"/>
        <v>233</v>
      </c>
      <c r="AS52" s="65">
        <f t="shared" si="69"/>
        <v>14900000</v>
      </c>
      <c r="AT52" s="65">
        <f t="shared" si="69"/>
        <v>66</v>
      </c>
      <c r="AU52" s="65">
        <f t="shared" si="69"/>
        <v>9850000</v>
      </c>
      <c r="AV52" s="65">
        <f t="shared" si="69"/>
        <v>38</v>
      </c>
      <c r="AW52" s="65">
        <f t="shared" si="69"/>
        <v>11500000</v>
      </c>
      <c r="AX52" s="65">
        <f t="shared" si="69"/>
        <v>35</v>
      </c>
      <c r="AY52" s="65">
        <f t="shared" si="69"/>
        <v>10400000</v>
      </c>
      <c r="AZ52" s="65">
        <f t="shared" si="69"/>
        <v>342</v>
      </c>
      <c r="BA52" s="65">
        <f t="shared" si="69"/>
        <v>28360000</v>
      </c>
      <c r="BB52" s="65">
        <f t="shared" si="69"/>
        <v>637</v>
      </c>
      <c r="BC52" s="65">
        <f t="shared" si="69"/>
        <v>14550000</v>
      </c>
      <c r="BD52" s="65">
        <f t="shared" si="69"/>
        <v>788</v>
      </c>
      <c r="BE52" s="65">
        <f t="shared" si="69"/>
        <v>25600000</v>
      </c>
      <c r="BF52" s="65">
        <f t="shared" si="69"/>
        <v>258</v>
      </c>
      <c r="BG52" s="65">
        <f t="shared" si="69"/>
        <v>8620000</v>
      </c>
      <c r="BH52" s="65">
        <f t="shared" si="69"/>
        <v>2</v>
      </c>
      <c r="BI52" s="65">
        <f t="shared" si="69"/>
        <v>300000</v>
      </c>
      <c r="BJ52" s="65">
        <f t="shared" si="69"/>
        <v>5528</v>
      </c>
      <c r="BK52" s="65">
        <f t="shared" si="69"/>
        <v>231140000</v>
      </c>
      <c r="BL52" s="118"/>
      <c r="BN52" s="66">
        <f t="shared" ref="BN52:BU52" si="70">BN51+BN47+BN38</f>
        <v>226390000</v>
      </c>
      <c r="BO52" s="66">
        <f t="shared" si="70"/>
        <v>0</v>
      </c>
      <c r="BP52" s="66">
        <f t="shared" si="70"/>
        <v>4750000</v>
      </c>
      <c r="BQ52" s="66">
        <f t="shared" si="70"/>
        <v>0</v>
      </c>
      <c r="BR52" s="66">
        <f t="shared" si="70"/>
        <v>231140000</v>
      </c>
      <c r="BS52" s="66">
        <f t="shared" si="70"/>
        <v>0</v>
      </c>
      <c r="BT52" s="66">
        <f t="shared" si="70"/>
        <v>0</v>
      </c>
      <c r="BU52" s="66">
        <f t="shared" si="70"/>
        <v>0</v>
      </c>
      <c r="BV52" s="179">
        <f t="shared" si="2"/>
        <v>231140000</v>
      </c>
    </row>
    <row r="53" spans="1:160" s="448" customFormat="1" x14ac:dyDescent="0.25">
      <c r="C53" s="39" t="s">
        <v>505</v>
      </c>
      <c r="D53" s="39" t="s">
        <v>559</v>
      </c>
      <c r="F53" s="449"/>
      <c r="G53" s="449"/>
      <c r="H53" s="450"/>
      <c r="I53" s="450"/>
      <c r="J53" s="450"/>
      <c r="K53" s="450"/>
      <c r="L53" s="450"/>
      <c r="M53" s="450"/>
      <c r="N53" s="450"/>
      <c r="O53" s="450"/>
      <c r="P53" s="449"/>
      <c r="Q53" s="449"/>
      <c r="R53" s="449"/>
      <c r="S53" s="425"/>
      <c r="T53" s="425"/>
      <c r="U53" s="425"/>
      <c r="V53" s="425"/>
      <c r="W53" s="424"/>
      <c r="X53" s="424"/>
      <c r="Y53" s="424"/>
      <c r="Z53" s="424"/>
      <c r="AA53" s="449"/>
      <c r="BG53" s="106"/>
      <c r="BH53" s="106"/>
      <c r="BI53" s="106"/>
      <c r="BJ53" s="106"/>
      <c r="BK53" s="106"/>
      <c r="BL53" s="106"/>
      <c r="BM53" s="337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</row>
    <row r="54" spans="1:160" s="448" customFormat="1" x14ac:dyDescent="0.25">
      <c r="C54" s="39" t="s">
        <v>563</v>
      </c>
      <c r="D54" s="39" t="s">
        <v>564</v>
      </c>
      <c r="F54" s="449"/>
      <c r="G54" s="449"/>
      <c r="H54" s="450"/>
      <c r="I54" s="450"/>
      <c r="J54" s="450"/>
      <c r="K54" s="450"/>
      <c r="L54" s="450"/>
      <c r="M54" s="450"/>
      <c r="N54" s="450"/>
      <c r="O54" s="450"/>
      <c r="P54" s="449"/>
      <c r="Q54" s="449"/>
      <c r="R54" s="449"/>
      <c r="S54" s="425"/>
      <c r="T54" s="425"/>
      <c r="U54" s="425"/>
      <c r="V54" s="425"/>
      <c r="W54" s="424"/>
      <c r="X54" s="424"/>
      <c r="Y54" s="424"/>
      <c r="Z54" s="424"/>
      <c r="AA54" s="449"/>
      <c r="BG54" s="106"/>
      <c r="BH54" s="106"/>
      <c r="BI54" s="106"/>
      <c r="BJ54" s="106"/>
      <c r="BK54" s="106"/>
      <c r="BL54" s="106"/>
      <c r="BM54" s="337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</row>
    <row r="55" spans="1:160" s="448" customFormat="1" x14ac:dyDescent="0.25">
      <c r="C55" s="39" t="s">
        <v>565</v>
      </c>
      <c r="D55" s="39" t="s">
        <v>566</v>
      </c>
      <c r="F55" s="449"/>
      <c r="G55" s="449"/>
      <c r="H55" s="450"/>
      <c r="I55" s="450"/>
      <c r="J55" s="450"/>
      <c r="K55" s="450"/>
      <c r="L55" s="450"/>
      <c r="M55" s="450"/>
      <c r="N55" s="450"/>
      <c r="O55" s="450"/>
      <c r="P55" s="449"/>
      <c r="Q55" s="449"/>
      <c r="R55" s="449"/>
      <c r="S55" s="425"/>
      <c r="T55" s="425"/>
      <c r="U55" s="425"/>
      <c r="V55" s="425"/>
      <c r="W55" s="424"/>
      <c r="X55" s="424"/>
      <c r="Y55" s="424"/>
      <c r="Z55" s="424"/>
      <c r="AA55" s="449"/>
      <c r="BG55" s="106"/>
      <c r="BH55" s="106"/>
      <c r="BI55" s="106"/>
      <c r="BJ55" s="106"/>
      <c r="BK55" s="106"/>
      <c r="BL55" s="106"/>
      <c r="BM55" s="337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</row>
    <row r="56" spans="1:160" s="448" customFormat="1" x14ac:dyDescent="0.25">
      <c r="C56" s="39" t="s">
        <v>566</v>
      </c>
      <c r="D56" s="39" t="s">
        <v>567</v>
      </c>
      <c r="F56" s="449"/>
      <c r="G56" s="449"/>
      <c r="H56" s="450"/>
      <c r="I56" s="450"/>
      <c r="J56" s="450"/>
      <c r="K56" s="450"/>
      <c r="L56" s="450"/>
      <c r="M56" s="450"/>
      <c r="N56" s="450"/>
      <c r="O56" s="450"/>
      <c r="P56" s="449"/>
      <c r="Q56" s="449"/>
      <c r="R56" s="449"/>
      <c r="S56" s="425"/>
      <c r="T56" s="425"/>
      <c r="U56" s="425"/>
      <c r="V56" s="425"/>
      <c r="W56" s="424"/>
      <c r="X56" s="424"/>
      <c r="Y56" s="424"/>
      <c r="Z56" s="424"/>
      <c r="AA56" s="449"/>
      <c r="BG56" s="106"/>
      <c r="BH56" s="106"/>
      <c r="BI56" s="106"/>
      <c r="BJ56" s="106"/>
      <c r="BK56" s="106"/>
      <c r="BL56" s="106"/>
      <c r="BM56" s="337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</row>
    <row r="57" spans="1:160" s="448" customFormat="1" x14ac:dyDescent="0.25">
      <c r="C57" s="39" t="s">
        <v>567</v>
      </c>
      <c r="D57" s="39" t="s">
        <v>568</v>
      </c>
      <c r="F57" s="449"/>
      <c r="G57" s="449"/>
      <c r="H57" s="450"/>
      <c r="I57" s="450"/>
      <c r="J57" s="450"/>
      <c r="K57" s="450"/>
      <c r="L57" s="450"/>
      <c r="M57" s="450"/>
      <c r="N57" s="450"/>
      <c r="O57" s="450"/>
      <c r="P57" s="449"/>
      <c r="Q57" s="449"/>
      <c r="R57" s="449"/>
      <c r="S57" s="425"/>
      <c r="T57" s="425"/>
      <c r="U57" s="425"/>
      <c r="V57" s="425"/>
      <c r="W57" s="424"/>
      <c r="X57" s="424"/>
      <c r="Y57" s="424"/>
      <c r="Z57" s="424"/>
      <c r="AA57" s="449"/>
      <c r="BG57" s="106"/>
      <c r="BH57" s="106"/>
      <c r="BI57" s="106"/>
      <c r="BJ57" s="106"/>
      <c r="BK57" s="106"/>
      <c r="BL57" s="106"/>
      <c r="BM57" s="337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</row>
    <row r="58" spans="1:160" s="448" customFormat="1" x14ac:dyDescent="0.25">
      <c r="C58" s="39" t="s">
        <v>568</v>
      </c>
      <c r="D58" s="39" t="s">
        <v>569</v>
      </c>
      <c r="F58" s="449"/>
      <c r="G58" s="449"/>
      <c r="H58" s="450"/>
      <c r="I58" s="450"/>
      <c r="J58" s="450"/>
      <c r="K58" s="450"/>
      <c r="L58" s="450"/>
      <c r="M58" s="450"/>
      <c r="N58" s="450"/>
      <c r="O58" s="450"/>
      <c r="P58" s="449"/>
      <c r="Q58" s="449"/>
      <c r="R58" s="449"/>
      <c r="S58" s="425"/>
      <c r="T58" s="425"/>
      <c r="U58" s="425"/>
      <c r="V58" s="425"/>
      <c r="W58" s="424"/>
      <c r="X58" s="424"/>
      <c r="Y58" s="424"/>
      <c r="Z58" s="424"/>
      <c r="AA58" s="449"/>
      <c r="BG58" s="106"/>
      <c r="BH58" s="106"/>
      <c r="BI58" s="106"/>
      <c r="BJ58" s="106"/>
      <c r="BK58" s="106"/>
      <c r="BL58" s="106"/>
      <c r="BM58" s="337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</row>
    <row r="59" spans="1:160" s="448" customFormat="1" x14ac:dyDescent="0.25">
      <c r="F59" s="449"/>
      <c r="G59" s="449"/>
      <c r="H59" s="450"/>
      <c r="I59" s="450"/>
      <c r="J59" s="450"/>
      <c r="K59" s="450"/>
      <c r="L59" s="450"/>
      <c r="M59" s="450"/>
      <c r="N59" s="450"/>
      <c r="O59" s="450"/>
      <c r="P59" s="449"/>
      <c r="Q59" s="449"/>
      <c r="R59" s="449"/>
      <c r="S59" s="425"/>
      <c r="T59" s="425"/>
      <c r="U59" s="425"/>
      <c r="V59" s="425"/>
      <c r="W59" s="424"/>
      <c r="X59" s="424"/>
      <c r="Y59" s="424"/>
      <c r="Z59" s="424"/>
      <c r="AA59" s="449"/>
      <c r="BG59" s="106"/>
      <c r="BH59" s="106"/>
      <c r="BI59" s="106"/>
      <c r="BJ59" s="106"/>
      <c r="BK59" s="106"/>
      <c r="BL59" s="106"/>
      <c r="BM59" s="337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</row>
    <row r="60" spans="1:160" s="448" customFormat="1" x14ac:dyDescent="0.25">
      <c r="F60" s="449"/>
      <c r="G60" s="449"/>
      <c r="H60" s="450"/>
      <c r="I60" s="450"/>
      <c r="J60" s="450"/>
      <c r="K60" s="450"/>
      <c r="L60" s="450"/>
      <c r="M60" s="450"/>
      <c r="N60" s="450"/>
      <c r="O60" s="450"/>
      <c r="P60" s="449"/>
      <c r="Q60" s="449"/>
      <c r="R60" s="449"/>
      <c r="S60" s="425"/>
      <c r="T60" s="425"/>
      <c r="U60" s="425"/>
      <c r="V60" s="425"/>
      <c r="W60" s="424"/>
      <c r="X60" s="424"/>
      <c r="Y60" s="424"/>
      <c r="Z60" s="424"/>
      <c r="AA60" s="449"/>
      <c r="BG60" s="106"/>
      <c r="BH60" s="106"/>
      <c r="BI60" s="106"/>
      <c r="BJ60" s="106"/>
      <c r="BK60" s="106"/>
      <c r="BL60" s="106"/>
      <c r="BM60" s="337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</row>
  </sheetData>
  <mergeCells count="45">
    <mergeCell ref="R7:U8"/>
    <mergeCell ref="Z7:AA8"/>
    <mergeCell ref="A1:B1"/>
    <mergeCell ref="C1:Q1"/>
    <mergeCell ref="A2:B2"/>
    <mergeCell ref="C2:Q2"/>
    <mergeCell ref="A3:B3"/>
    <mergeCell ref="C3:Q3"/>
    <mergeCell ref="A4:B4"/>
    <mergeCell ref="C4:Q4"/>
    <mergeCell ref="G8:G9"/>
    <mergeCell ref="A5:B5"/>
    <mergeCell ref="C5:Q5"/>
    <mergeCell ref="A7:D7"/>
    <mergeCell ref="E7:G7"/>
    <mergeCell ref="H7:Q7"/>
    <mergeCell ref="BL7:BL9"/>
    <mergeCell ref="AJ7:AK8"/>
    <mergeCell ref="V7:Y8"/>
    <mergeCell ref="AX7:AY8"/>
    <mergeCell ref="AZ7:BA8"/>
    <mergeCell ref="BB7:BC8"/>
    <mergeCell ref="AP7:AQ8"/>
    <mergeCell ref="AF7:AG8"/>
    <mergeCell ref="AH7:AI8"/>
    <mergeCell ref="AT7:AU8"/>
    <mergeCell ref="AV7:AW8"/>
    <mergeCell ref="AL7:AM8"/>
    <mergeCell ref="AN7:AO8"/>
    <mergeCell ref="BV8:BV9"/>
    <mergeCell ref="A10:A52"/>
    <mergeCell ref="B52:C52"/>
    <mergeCell ref="BF7:BG8"/>
    <mergeCell ref="BH7:BI8"/>
    <mergeCell ref="BJ7:BK8"/>
    <mergeCell ref="A8:A9"/>
    <mergeCell ref="B8:B9"/>
    <mergeCell ref="C8:C9"/>
    <mergeCell ref="D8:D9"/>
    <mergeCell ref="BN8:BR8"/>
    <mergeCell ref="BS8:BU8"/>
    <mergeCell ref="AB7:AC8"/>
    <mergeCell ref="AD7:AE8"/>
    <mergeCell ref="BD7:BE8"/>
    <mergeCell ref="AR7:AS8"/>
  </mergeCells>
  <pageMargins left="0.67" right="0" top="0.17" bottom="0.25" header="0.2" footer="0.05"/>
  <pageSetup paperSize="9" scale="2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BV125"/>
  <sheetViews>
    <sheetView zoomScale="90" zoomScaleNormal="90" workbookViewId="0">
      <pane xSplit="7" ySplit="9" topLeftCell="R55" activePane="bottomRight" state="frozen"/>
      <selection activeCell="A4" sqref="A4"/>
      <selection pane="topRight" activeCell="H4" sqref="H4"/>
      <selection pane="bottomLeft" activeCell="A10" sqref="A10"/>
      <selection pane="bottomRight" activeCell="C62" sqref="C62"/>
    </sheetView>
  </sheetViews>
  <sheetFormatPr defaultColWidth="15.28515625" defaultRowHeight="15.75" x14ac:dyDescent="0.25"/>
  <cols>
    <col min="1" max="1" width="11.28515625" style="39" hidden="1" customWidth="1"/>
    <col min="2" max="2" width="15.28515625" style="39" customWidth="1"/>
    <col min="3" max="3" width="27.42578125" style="39" customWidth="1"/>
    <col min="4" max="4" width="15.28515625" style="39" customWidth="1"/>
    <col min="5" max="5" width="16.28515625" style="351" customWidth="1"/>
    <col min="6" max="6" width="8.5703125" style="39" customWidth="1"/>
    <col min="7" max="7" width="17.140625" style="39" customWidth="1"/>
    <col min="8" max="9" width="15.5703125" style="39" bestFit="1" customWidth="1"/>
    <col min="10" max="10" width="8" style="39" customWidth="1"/>
    <col min="11" max="11" width="6.42578125" style="39" customWidth="1"/>
    <col min="12" max="12" width="7.28515625" style="39" bestFit="1" customWidth="1"/>
    <col min="13" max="13" width="6.28515625" style="39" customWidth="1"/>
    <col min="14" max="14" width="6" style="39" bestFit="1" customWidth="1"/>
    <col min="15" max="15" width="7.85546875" style="39" bestFit="1" customWidth="1"/>
    <col min="16" max="16" width="7.7109375" style="39" customWidth="1"/>
    <col min="17" max="17" width="9.28515625" style="39" bestFit="1" customWidth="1"/>
    <col min="18" max="21" width="4.42578125" style="39" bestFit="1" customWidth="1"/>
    <col min="22" max="22" width="15.7109375" style="39" bestFit="1" customWidth="1"/>
    <col min="23" max="25" width="14.5703125" style="39" bestFit="1" customWidth="1"/>
    <col min="26" max="62" width="15.28515625" style="39" customWidth="1"/>
    <col min="63" max="63" width="15.42578125" style="39" customWidth="1"/>
    <col min="64" max="64" width="21.42578125" style="39" customWidth="1"/>
    <col min="65" max="65" width="15.28515625" style="39" customWidth="1"/>
    <col min="66" max="66" width="7.42578125" style="39" bestFit="1" customWidth="1"/>
    <col min="67" max="67" width="13.28515625" style="39" customWidth="1"/>
    <col min="68" max="68" width="17" style="39" bestFit="1" customWidth="1"/>
    <col min="69" max="69" width="9.7109375" style="39" customWidth="1"/>
    <col min="70" max="70" width="17.42578125" style="39" bestFit="1" customWidth="1"/>
    <col min="71" max="73" width="15.28515625" style="39"/>
    <col min="74" max="74" width="16.7109375" style="39" customWidth="1"/>
    <col min="75" max="16384" width="15.28515625" style="39"/>
  </cols>
  <sheetData>
    <row r="1" spans="1:74" ht="20.25" hidden="1" customHeight="1" x14ac:dyDescent="0.25"/>
    <row r="2" spans="1:74" ht="24.75" hidden="1" customHeight="1" x14ac:dyDescent="0.25">
      <c r="A2" s="872" t="s">
        <v>407</v>
      </c>
      <c r="B2" s="872"/>
      <c r="C2" s="874" t="s">
        <v>401</v>
      </c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67"/>
      <c r="S2" s="67"/>
      <c r="T2" s="67"/>
      <c r="U2" s="67"/>
      <c r="V2" s="67"/>
      <c r="W2" s="67"/>
      <c r="X2" s="67"/>
      <c r="Y2" s="67"/>
    </row>
    <row r="3" spans="1:74" ht="15.75" hidden="1" customHeight="1" x14ac:dyDescent="0.25">
      <c r="A3" s="872" t="s">
        <v>403</v>
      </c>
      <c r="B3" s="872"/>
      <c r="C3" s="874" t="s">
        <v>402</v>
      </c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67"/>
      <c r="S3" s="67"/>
      <c r="T3" s="67"/>
      <c r="U3" s="67"/>
      <c r="V3" s="67"/>
      <c r="W3" s="67"/>
      <c r="X3" s="67"/>
      <c r="Y3" s="67"/>
    </row>
    <row r="4" spans="1:74" ht="13.5" hidden="1" customHeight="1" x14ac:dyDescent="0.25">
      <c r="A4" s="872" t="s">
        <v>404</v>
      </c>
      <c r="B4" s="872"/>
      <c r="C4" s="874" t="s">
        <v>746</v>
      </c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67"/>
      <c r="S4" s="67"/>
      <c r="T4" s="67"/>
      <c r="U4" s="67"/>
      <c r="V4" s="67"/>
      <c r="W4" s="67"/>
      <c r="X4" s="67"/>
      <c r="Y4" s="67"/>
    </row>
    <row r="5" spans="1:74" ht="13.5" hidden="1" customHeight="1" x14ac:dyDescent="0.25">
      <c r="A5" s="872" t="s">
        <v>410</v>
      </c>
      <c r="B5" s="872"/>
      <c r="C5" s="874" t="s">
        <v>408</v>
      </c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67"/>
      <c r="S5" s="67"/>
      <c r="T5" s="67"/>
      <c r="U5" s="67"/>
      <c r="V5" s="67"/>
      <c r="W5" s="67"/>
      <c r="X5" s="67"/>
      <c r="Y5" s="67"/>
    </row>
    <row r="6" spans="1:74" ht="13.5" hidden="1" customHeight="1" x14ac:dyDescent="0.25">
      <c r="A6" s="872" t="s">
        <v>414</v>
      </c>
      <c r="B6" s="872"/>
      <c r="C6" s="874" t="s">
        <v>413</v>
      </c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4"/>
      <c r="O6" s="874"/>
      <c r="P6" s="874"/>
      <c r="Q6" s="874"/>
      <c r="R6" s="67"/>
      <c r="S6" s="67"/>
      <c r="T6" s="67"/>
      <c r="U6" s="67"/>
      <c r="V6" s="67"/>
      <c r="W6" s="67"/>
      <c r="X6" s="67"/>
      <c r="Y6" s="67"/>
    </row>
    <row r="7" spans="1:74" ht="32.25" hidden="1" customHeight="1" x14ac:dyDescent="0.25">
      <c r="A7" s="1022"/>
      <c r="B7" s="1022"/>
      <c r="C7" s="1022"/>
      <c r="D7" s="1022"/>
      <c r="E7" s="950" t="s">
        <v>450</v>
      </c>
      <c r="F7" s="951"/>
      <c r="G7" s="952"/>
      <c r="H7" s="932" t="s">
        <v>400</v>
      </c>
      <c r="I7" s="933"/>
      <c r="J7" s="933"/>
      <c r="K7" s="933"/>
      <c r="L7" s="933"/>
      <c r="M7" s="933"/>
      <c r="N7" s="933"/>
      <c r="O7" s="933"/>
      <c r="P7" s="933"/>
      <c r="Q7" s="934"/>
      <c r="R7" s="1031" t="s">
        <v>68</v>
      </c>
      <c r="S7" s="1032"/>
      <c r="T7" s="1032"/>
      <c r="U7" s="1033"/>
      <c r="V7" s="1025" t="s">
        <v>6</v>
      </c>
      <c r="W7" s="1026"/>
      <c r="X7" s="1026"/>
      <c r="Y7" s="1027"/>
      <c r="Z7" s="956" t="s">
        <v>432</v>
      </c>
      <c r="AA7" s="956"/>
      <c r="AB7" s="956" t="s">
        <v>433</v>
      </c>
      <c r="AC7" s="956"/>
      <c r="AD7" s="956" t="s">
        <v>434</v>
      </c>
      <c r="AE7" s="956"/>
      <c r="AF7" s="956" t="s">
        <v>435</v>
      </c>
      <c r="AG7" s="956"/>
      <c r="AH7" s="956" t="s">
        <v>436</v>
      </c>
      <c r="AI7" s="956"/>
      <c r="AJ7" s="956" t="s">
        <v>437</v>
      </c>
      <c r="AK7" s="956"/>
      <c r="AL7" s="956" t="s">
        <v>438</v>
      </c>
      <c r="AM7" s="956"/>
      <c r="AN7" s="956" t="s">
        <v>439</v>
      </c>
      <c r="AO7" s="956"/>
      <c r="AP7" s="956" t="s">
        <v>440</v>
      </c>
      <c r="AQ7" s="956"/>
      <c r="AR7" s="956" t="s">
        <v>441</v>
      </c>
      <c r="AS7" s="956"/>
      <c r="AT7" s="956" t="s">
        <v>442</v>
      </c>
      <c r="AU7" s="956"/>
      <c r="AV7" s="956" t="s">
        <v>443</v>
      </c>
      <c r="AW7" s="956"/>
      <c r="AX7" s="956" t="s">
        <v>444</v>
      </c>
      <c r="AY7" s="956"/>
      <c r="AZ7" s="956" t="s">
        <v>445</v>
      </c>
      <c r="BA7" s="956"/>
      <c r="BB7" s="956" t="s">
        <v>446</v>
      </c>
      <c r="BC7" s="956"/>
      <c r="BD7" s="956" t="s">
        <v>447</v>
      </c>
      <c r="BE7" s="956"/>
      <c r="BF7" s="956" t="s">
        <v>448</v>
      </c>
      <c r="BG7" s="956"/>
      <c r="BH7" s="956" t="s">
        <v>449</v>
      </c>
      <c r="BI7" s="956"/>
      <c r="BJ7" s="956" t="s">
        <v>18</v>
      </c>
      <c r="BK7" s="999"/>
      <c r="BL7" s="864" t="s">
        <v>496</v>
      </c>
    </row>
    <row r="8" spans="1:74" ht="39" customHeight="1" x14ac:dyDescent="0.25">
      <c r="A8" s="953" t="s">
        <v>14</v>
      </c>
      <c r="B8" s="352" t="s">
        <v>1</v>
      </c>
      <c r="C8" s="969" t="s">
        <v>12</v>
      </c>
      <c r="D8" s="969" t="s">
        <v>15</v>
      </c>
      <c r="E8" s="973" t="s">
        <v>31</v>
      </c>
      <c r="F8" s="971" t="s">
        <v>29</v>
      </c>
      <c r="G8" s="1024" t="s">
        <v>30</v>
      </c>
      <c r="H8" s="118" t="s">
        <v>455</v>
      </c>
      <c r="I8" s="118" t="s">
        <v>456</v>
      </c>
      <c r="J8" s="118" t="s">
        <v>457</v>
      </c>
      <c r="K8" s="118" t="s">
        <v>458</v>
      </c>
      <c r="L8" s="118" t="s">
        <v>459</v>
      </c>
      <c r="M8" s="118" t="s">
        <v>460</v>
      </c>
      <c r="N8" s="118" t="s">
        <v>461</v>
      </c>
      <c r="O8" s="118" t="s">
        <v>462</v>
      </c>
      <c r="P8" s="118" t="s">
        <v>463</v>
      </c>
      <c r="Q8" s="118" t="s">
        <v>464</v>
      </c>
      <c r="R8" s="1034"/>
      <c r="S8" s="1035"/>
      <c r="T8" s="1035"/>
      <c r="U8" s="1036"/>
      <c r="V8" s="1028"/>
      <c r="W8" s="1029"/>
      <c r="X8" s="1029"/>
      <c r="Y8" s="1030"/>
      <c r="Z8" s="956"/>
      <c r="AA8" s="956"/>
      <c r="AB8" s="956" t="s">
        <v>49</v>
      </c>
      <c r="AC8" s="956"/>
      <c r="AD8" s="956" t="s">
        <v>50</v>
      </c>
      <c r="AE8" s="956"/>
      <c r="AF8" s="956" t="s">
        <v>51</v>
      </c>
      <c r="AG8" s="956"/>
      <c r="AH8" s="956" t="s">
        <v>52</v>
      </c>
      <c r="AI8" s="956"/>
      <c r="AJ8" s="956" t="s">
        <v>53</v>
      </c>
      <c r="AK8" s="956"/>
      <c r="AL8" s="956" t="s">
        <v>54</v>
      </c>
      <c r="AM8" s="956"/>
      <c r="AN8" s="956" t="s">
        <v>55</v>
      </c>
      <c r="AO8" s="956"/>
      <c r="AP8" s="956" t="s">
        <v>56</v>
      </c>
      <c r="AQ8" s="956"/>
      <c r="AR8" s="956" t="s">
        <v>57</v>
      </c>
      <c r="AS8" s="956"/>
      <c r="AT8" s="956" t="s">
        <v>58</v>
      </c>
      <c r="AU8" s="956"/>
      <c r="AV8" s="956" t="s">
        <v>59</v>
      </c>
      <c r="AW8" s="956"/>
      <c r="AX8" s="956" t="s">
        <v>60</v>
      </c>
      <c r="AY8" s="956"/>
      <c r="AZ8" s="956" t="s">
        <v>61</v>
      </c>
      <c r="BA8" s="956"/>
      <c r="BB8" s="956" t="s">
        <v>45</v>
      </c>
      <c r="BC8" s="956"/>
      <c r="BD8" s="956" t="s">
        <v>42</v>
      </c>
      <c r="BE8" s="956"/>
      <c r="BF8" s="956"/>
      <c r="BG8" s="956"/>
      <c r="BH8" s="956"/>
      <c r="BI8" s="956"/>
      <c r="BJ8" s="956"/>
      <c r="BK8" s="999"/>
      <c r="BL8" s="864"/>
      <c r="BN8" s="863" t="s">
        <v>494</v>
      </c>
      <c r="BO8" s="863"/>
      <c r="BP8" s="863"/>
      <c r="BQ8" s="863"/>
      <c r="BR8" s="863"/>
      <c r="BS8" s="863" t="s">
        <v>495</v>
      </c>
      <c r="BT8" s="863"/>
      <c r="BU8" s="883"/>
      <c r="BV8" s="864" t="s">
        <v>18</v>
      </c>
    </row>
    <row r="9" spans="1:74" ht="51" customHeight="1" x14ac:dyDescent="0.25">
      <c r="A9" s="955"/>
      <c r="B9" s="352" t="s">
        <v>2</v>
      </c>
      <c r="C9" s="970"/>
      <c r="D9" s="970"/>
      <c r="E9" s="976"/>
      <c r="F9" s="972"/>
      <c r="G9" s="1024"/>
      <c r="H9" s="333"/>
      <c r="I9" s="333"/>
      <c r="J9" s="333">
        <v>0</v>
      </c>
      <c r="K9" s="333">
        <v>0</v>
      </c>
      <c r="L9" s="333">
        <v>0</v>
      </c>
      <c r="M9" s="333">
        <v>0</v>
      </c>
      <c r="N9" s="333">
        <v>0</v>
      </c>
      <c r="O9" s="333">
        <v>0</v>
      </c>
      <c r="P9" s="333">
        <v>0</v>
      </c>
      <c r="Q9" s="333">
        <v>0</v>
      </c>
      <c r="R9" s="352" t="s">
        <v>7</v>
      </c>
      <c r="S9" s="352" t="s">
        <v>8</v>
      </c>
      <c r="T9" s="352" t="s">
        <v>9</v>
      </c>
      <c r="U9" s="352" t="s">
        <v>10</v>
      </c>
      <c r="V9" s="352" t="s">
        <v>7</v>
      </c>
      <c r="W9" s="352" t="s">
        <v>8</v>
      </c>
      <c r="X9" s="352" t="s">
        <v>9</v>
      </c>
      <c r="Y9" s="352" t="s">
        <v>10</v>
      </c>
      <c r="Z9" s="353" t="s">
        <v>15</v>
      </c>
      <c r="AA9" s="354" t="s">
        <v>16</v>
      </c>
      <c r="AB9" s="355" t="s">
        <v>15</v>
      </c>
      <c r="AC9" s="355" t="s">
        <v>16</v>
      </c>
      <c r="AD9" s="355" t="s">
        <v>15</v>
      </c>
      <c r="AE9" s="355" t="s">
        <v>16</v>
      </c>
      <c r="AF9" s="355" t="s">
        <v>15</v>
      </c>
      <c r="AG9" s="355" t="s">
        <v>16</v>
      </c>
      <c r="AH9" s="355" t="s">
        <v>15</v>
      </c>
      <c r="AI9" s="355" t="s">
        <v>16</v>
      </c>
      <c r="AJ9" s="355" t="s">
        <v>15</v>
      </c>
      <c r="AK9" s="355" t="s">
        <v>16</v>
      </c>
      <c r="AL9" s="355" t="s">
        <v>15</v>
      </c>
      <c r="AM9" s="355" t="s">
        <v>16</v>
      </c>
      <c r="AN9" s="355" t="s">
        <v>15</v>
      </c>
      <c r="AO9" s="355" t="s">
        <v>16</v>
      </c>
      <c r="AP9" s="355" t="s">
        <v>15</v>
      </c>
      <c r="AQ9" s="355" t="s">
        <v>16</v>
      </c>
      <c r="AR9" s="355" t="s">
        <v>15</v>
      </c>
      <c r="AS9" s="355" t="s">
        <v>16</v>
      </c>
      <c r="AT9" s="355" t="s">
        <v>15</v>
      </c>
      <c r="AU9" s="355" t="s">
        <v>16</v>
      </c>
      <c r="AV9" s="355" t="s">
        <v>15</v>
      </c>
      <c r="AW9" s="355" t="s">
        <v>16</v>
      </c>
      <c r="AX9" s="355" t="s">
        <v>15</v>
      </c>
      <c r="AY9" s="355" t="s">
        <v>16</v>
      </c>
      <c r="AZ9" s="355" t="s">
        <v>15</v>
      </c>
      <c r="BA9" s="355" t="s">
        <v>16</v>
      </c>
      <c r="BB9" s="355" t="s">
        <v>15</v>
      </c>
      <c r="BC9" s="355" t="s">
        <v>16</v>
      </c>
      <c r="BD9" s="355" t="s">
        <v>15</v>
      </c>
      <c r="BE9" s="355" t="s">
        <v>16</v>
      </c>
      <c r="BF9" s="355" t="s">
        <v>15</v>
      </c>
      <c r="BG9" s="355" t="s">
        <v>16</v>
      </c>
      <c r="BH9" s="355" t="s">
        <v>15</v>
      </c>
      <c r="BI9" s="355" t="s">
        <v>16</v>
      </c>
      <c r="BJ9" s="355" t="s">
        <v>15</v>
      </c>
      <c r="BK9" s="356" t="s">
        <v>16</v>
      </c>
      <c r="BL9" s="864"/>
      <c r="BN9" s="118" t="s">
        <v>485</v>
      </c>
      <c r="BO9" s="357" t="s">
        <v>486</v>
      </c>
      <c r="BP9" s="357" t="s">
        <v>487</v>
      </c>
      <c r="BQ9" s="358" t="s">
        <v>488</v>
      </c>
      <c r="BR9" s="359" t="s">
        <v>489</v>
      </c>
      <c r="BS9" s="357" t="s">
        <v>490</v>
      </c>
      <c r="BT9" s="357" t="s">
        <v>491</v>
      </c>
      <c r="BU9" s="360" t="s">
        <v>492</v>
      </c>
      <c r="BV9" s="864"/>
    </row>
    <row r="10" spans="1:74" x14ac:dyDescent="0.25">
      <c r="A10" s="1023"/>
      <c r="B10" s="38">
        <v>41000</v>
      </c>
      <c r="C10" s="352" t="s">
        <v>237</v>
      </c>
      <c r="D10" s="43"/>
      <c r="E10" s="361"/>
      <c r="F10" s="361"/>
      <c r="G10" s="43"/>
      <c r="H10" s="43"/>
      <c r="I10" s="43"/>
      <c r="J10" s="43"/>
      <c r="K10" s="43"/>
      <c r="L10" s="43"/>
      <c r="M10" s="43"/>
      <c r="N10" s="43"/>
      <c r="O10" s="363"/>
      <c r="P10" s="363"/>
      <c r="Q10" s="363"/>
      <c r="R10" s="364"/>
      <c r="S10" s="60"/>
      <c r="T10" s="364"/>
      <c r="U10" s="364"/>
      <c r="V10" s="364"/>
      <c r="W10" s="47"/>
      <c r="X10" s="352"/>
      <c r="Y10" s="352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123"/>
      <c r="BL10" s="47"/>
      <c r="BN10" s="113"/>
      <c r="BO10" s="113"/>
      <c r="BP10" s="113"/>
      <c r="BQ10" s="113"/>
      <c r="BR10" s="113"/>
      <c r="BS10" s="113"/>
      <c r="BT10" s="113"/>
      <c r="BU10" s="124"/>
      <c r="BV10" s="179">
        <f>BR10+BU10</f>
        <v>0</v>
      </c>
    </row>
    <row r="11" spans="1:74" x14ac:dyDescent="0.25">
      <c r="A11" s="1023"/>
      <c r="B11" s="211">
        <v>41100</v>
      </c>
      <c r="C11" s="211" t="s">
        <v>238</v>
      </c>
      <c r="D11" s="38"/>
      <c r="E11" s="365"/>
      <c r="F11" s="365"/>
      <c r="G11" s="123"/>
      <c r="H11" s="123"/>
      <c r="I11" s="123"/>
      <c r="J11" s="123"/>
      <c r="K11" s="123"/>
      <c r="L11" s="123"/>
      <c r="M11" s="123"/>
      <c r="N11" s="123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123"/>
      <c r="BL11" s="47"/>
      <c r="BN11" s="113"/>
      <c r="BO11" s="113"/>
      <c r="BP11" s="113"/>
      <c r="BQ11" s="113"/>
      <c r="BR11" s="113"/>
      <c r="BS11" s="113"/>
      <c r="BT11" s="113"/>
      <c r="BU11" s="124"/>
      <c r="BV11" s="179">
        <f t="shared" ref="BV11:BV76" si="0">BR11+BU11</f>
        <v>0</v>
      </c>
    </row>
    <row r="12" spans="1:74" x14ac:dyDescent="0.25">
      <c r="A12" s="1023"/>
      <c r="B12" s="38">
        <v>41101</v>
      </c>
      <c r="C12" s="38" t="s">
        <v>239</v>
      </c>
      <c r="D12" s="38" t="s">
        <v>240</v>
      </c>
      <c r="E12" s="365">
        <f>7*100000</f>
        <v>700000</v>
      </c>
      <c r="F12" s="38">
        <f>BJ12</f>
        <v>0</v>
      </c>
      <c r="G12" s="427">
        <f>E12*F12</f>
        <v>0</v>
      </c>
      <c r="H12" s="427">
        <f>G12*0.5</f>
        <v>0</v>
      </c>
      <c r="I12" s="427">
        <f>G12*0.5</f>
        <v>0</v>
      </c>
      <c r="J12" s="427">
        <f>G12*0</f>
        <v>0</v>
      </c>
      <c r="K12" s="427">
        <f>G12*0</f>
        <v>0</v>
      </c>
      <c r="L12" s="427">
        <f>G12*0</f>
        <v>0</v>
      </c>
      <c r="M12" s="427">
        <f>G12*0</f>
        <v>0</v>
      </c>
      <c r="N12" s="427">
        <f>G12*0</f>
        <v>0</v>
      </c>
      <c r="O12" s="85">
        <f>G12*0</f>
        <v>0</v>
      </c>
      <c r="P12" s="85">
        <f>G12*0</f>
        <v>0</v>
      </c>
      <c r="Q12" s="85">
        <f>G12*0</f>
        <v>0</v>
      </c>
      <c r="R12" s="47"/>
      <c r="S12" s="47"/>
      <c r="T12" s="47"/>
      <c r="U12" s="47"/>
      <c r="V12" s="179">
        <f>R12*E12</f>
        <v>0</v>
      </c>
      <c r="W12" s="179">
        <f>S12*E12</f>
        <v>0</v>
      </c>
      <c r="X12" s="179">
        <f>T12*E12</f>
        <v>0</v>
      </c>
      <c r="Y12" s="179">
        <f>U12*E12</f>
        <v>0</v>
      </c>
      <c r="Z12" s="47">
        <v>0</v>
      </c>
      <c r="AA12" s="179">
        <f>Z12*E12</f>
        <v>0</v>
      </c>
      <c r="AB12" s="47">
        <v>0</v>
      </c>
      <c r="AC12" s="179">
        <f>AB12*E12</f>
        <v>0</v>
      </c>
      <c r="AD12" s="47">
        <v>0</v>
      </c>
      <c r="AE12" s="179">
        <f>AD12*E12</f>
        <v>0</v>
      </c>
      <c r="AF12" s="47">
        <v>0</v>
      </c>
      <c r="AG12" s="179">
        <f>AF12*E12</f>
        <v>0</v>
      </c>
      <c r="AH12" s="47">
        <v>0</v>
      </c>
      <c r="AI12" s="179">
        <f>AH12*E12</f>
        <v>0</v>
      </c>
      <c r="AJ12" s="47">
        <v>0</v>
      </c>
      <c r="AK12" s="179">
        <f>AJ12*E12</f>
        <v>0</v>
      </c>
      <c r="AL12" s="47">
        <v>0</v>
      </c>
      <c r="AM12" s="179">
        <f>AL12*E12</f>
        <v>0</v>
      </c>
      <c r="AN12" s="47">
        <v>0</v>
      </c>
      <c r="AO12" s="179">
        <f>AN12*E12</f>
        <v>0</v>
      </c>
      <c r="AP12" s="47">
        <v>0</v>
      </c>
      <c r="AQ12" s="179">
        <f>AP12*E12</f>
        <v>0</v>
      </c>
      <c r="AR12" s="47">
        <v>0</v>
      </c>
      <c r="AS12" s="179">
        <f>AR12*E12</f>
        <v>0</v>
      </c>
      <c r="AT12" s="47">
        <v>0</v>
      </c>
      <c r="AU12" s="179">
        <f>AT12*E12</f>
        <v>0</v>
      </c>
      <c r="AV12" s="47">
        <v>0</v>
      </c>
      <c r="AW12" s="179">
        <f>AV12*E12</f>
        <v>0</v>
      </c>
      <c r="AX12" s="47">
        <v>0</v>
      </c>
      <c r="AY12" s="179">
        <f>AX12*E12</f>
        <v>0</v>
      </c>
      <c r="AZ12" s="47">
        <v>0</v>
      </c>
      <c r="BA12" s="179">
        <f>AZ12*E12</f>
        <v>0</v>
      </c>
      <c r="BB12" s="47">
        <v>0</v>
      </c>
      <c r="BC12" s="179">
        <f>BB12*E12</f>
        <v>0</v>
      </c>
      <c r="BD12" s="47">
        <v>0</v>
      </c>
      <c r="BE12" s="179">
        <f>BD12*E12</f>
        <v>0</v>
      </c>
      <c r="BF12" s="47">
        <v>0</v>
      </c>
      <c r="BG12" s="179">
        <f>BF12*E12</f>
        <v>0</v>
      </c>
      <c r="BH12" s="47">
        <v>0</v>
      </c>
      <c r="BI12" s="179">
        <f>BH12*E12</f>
        <v>0</v>
      </c>
      <c r="BJ12" s="47">
        <f t="shared" ref="BJ12:BK16" si="1">Z12+AB12+AD12+AF12+AH12+AJ12+AL12+AN12+AP12+AR12+AT12+AV12+AX12+AZ12+BB12+BD12+BF12+BH12</f>
        <v>0</v>
      </c>
      <c r="BK12" s="117">
        <f t="shared" si="1"/>
        <v>0</v>
      </c>
      <c r="BL12" s="334" t="s">
        <v>467</v>
      </c>
      <c r="BN12" s="113"/>
      <c r="BO12" s="113"/>
      <c r="BP12" s="113"/>
      <c r="BQ12" s="113"/>
      <c r="BR12" s="113">
        <f>BN12+BO12+BP12+BQ12</f>
        <v>0</v>
      </c>
      <c r="BS12" s="113"/>
      <c r="BT12" s="113"/>
      <c r="BU12" s="124">
        <f>BS12+BT12</f>
        <v>0</v>
      </c>
      <c r="BV12" s="179">
        <f t="shared" si="0"/>
        <v>0</v>
      </c>
    </row>
    <row r="13" spans="1:74" ht="31.5" x14ac:dyDescent="0.25">
      <c r="A13" s="1023"/>
      <c r="B13" s="38">
        <v>41102</v>
      </c>
      <c r="C13" s="38" t="s">
        <v>241</v>
      </c>
      <c r="D13" s="38" t="s">
        <v>73</v>
      </c>
      <c r="E13" s="365">
        <v>100000</v>
      </c>
      <c r="F13" s="38">
        <f>BJ13</f>
        <v>12</v>
      </c>
      <c r="G13" s="427">
        <f>E13*F13</f>
        <v>1200000</v>
      </c>
      <c r="H13" s="427">
        <f>G13*0.5</f>
        <v>600000</v>
      </c>
      <c r="I13" s="427">
        <f>G13*0.5</f>
        <v>600000</v>
      </c>
      <c r="J13" s="427">
        <f>G13*0</f>
        <v>0</v>
      </c>
      <c r="K13" s="427">
        <f>G13*0</f>
        <v>0</v>
      </c>
      <c r="L13" s="427">
        <f>G13*0</f>
        <v>0</v>
      </c>
      <c r="M13" s="427">
        <f>G13*0</f>
        <v>0</v>
      </c>
      <c r="N13" s="427">
        <f>G13*0</f>
        <v>0</v>
      </c>
      <c r="O13" s="85">
        <f>G13*0</f>
        <v>0</v>
      </c>
      <c r="P13" s="85">
        <f>G13*0</f>
        <v>0</v>
      </c>
      <c r="Q13" s="85">
        <f>G13*0</f>
        <v>0</v>
      </c>
      <c r="R13" s="47">
        <f>F13*0.25</f>
        <v>3</v>
      </c>
      <c r="S13" s="47">
        <f>F13*0.25</f>
        <v>3</v>
      </c>
      <c r="T13" s="47">
        <f>F13*0.25</f>
        <v>3</v>
      </c>
      <c r="U13" s="47">
        <f>F13*0.25</f>
        <v>3</v>
      </c>
      <c r="V13" s="179">
        <f>R13*E13</f>
        <v>300000</v>
      </c>
      <c r="W13" s="179">
        <f>S13*E13</f>
        <v>300000</v>
      </c>
      <c r="X13" s="179">
        <f>T13*E13</f>
        <v>300000</v>
      </c>
      <c r="Y13" s="179">
        <f>U13*E13</f>
        <v>300000</v>
      </c>
      <c r="Z13" s="47">
        <v>0</v>
      </c>
      <c r="AA13" s="179">
        <f>Z13*E13</f>
        <v>0</v>
      </c>
      <c r="AB13" s="47">
        <v>0</v>
      </c>
      <c r="AC13" s="179">
        <f t="shared" ref="AC13:AC77" si="2">AB13*E13</f>
        <v>0</v>
      </c>
      <c r="AD13" s="47">
        <v>0</v>
      </c>
      <c r="AE13" s="179">
        <f t="shared" ref="AE13:AE77" si="3">AD13*E13</f>
        <v>0</v>
      </c>
      <c r="AF13" s="47">
        <v>0</v>
      </c>
      <c r="AG13" s="179">
        <f t="shared" ref="AG13:AG77" si="4">AF13*E13</f>
        <v>0</v>
      </c>
      <c r="AH13" s="47">
        <v>0</v>
      </c>
      <c r="AI13" s="179">
        <f t="shared" ref="AI13:AI77" si="5">AH13*E13</f>
        <v>0</v>
      </c>
      <c r="AJ13" s="47">
        <v>0</v>
      </c>
      <c r="AK13" s="179">
        <f t="shared" ref="AK13:AK77" si="6">AJ13*E13</f>
        <v>0</v>
      </c>
      <c r="AL13" s="47">
        <v>0</v>
      </c>
      <c r="AM13" s="179">
        <f t="shared" ref="AM13:AM77" si="7">AL13*E13</f>
        <v>0</v>
      </c>
      <c r="AN13" s="47">
        <v>0</v>
      </c>
      <c r="AO13" s="179">
        <f t="shared" ref="AO13:AO77" si="8">AN13*E13</f>
        <v>0</v>
      </c>
      <c r="AP13" s="47">
        <v>0</v>
      </c>
      <c r="AQ13" s="179">
        <f t="shared" ref="AQ13:AQ77" si="9">AP13*E13</f>
        <v>0</v>
      </c>
      <c r="AR13" s="47">
        <v>0</v>
      </c>
      <c r="AS13" s="179">
        <f t="shared" ref="AS13:AS77" si="10">AR13*E13</f>
        <v>0</v>
      </c>
      <c r="AT13" s="47">
        <v>0</v>
      </c>
      <c r="AU13" s="179">
        <f t="shared" ref="AU13:AU77" si="11">AT13*E13</f>
        <v>0</v>
      </c>
      <c r="AV13" s="47">
        <v>0</v>
      </c>
      <c r="AW13" s="179">
        <f t="shared" ref="AW13:AW77" si="12">AV13*E13</f>
        <v>0</v>
      </c>
      <c r="AX13" s="47">
        <v>0</v>
      </c>
      <c r="AY13" s="179">
        <f t="shared" ref="AY13:AY77" si="13">AX13*E13</f>
        <v>0</v>
      </c>
      <c r="AZ13" s="47">
        <v>0</v>
      </c>
      <c r="BA13" s="179">
        <f t="shared" ref="BA13:BA77" si="14">AZ13*E13</f>
        <v>0</v>
      </c>
      <c r="BB13" s="47">
        <v>0</v>
      </c>
      <c r="BC13" s="179">
        <f t="shared" ref="BC13:BC77" si="15">BB13*E13</f>
        <v>0</v>
      </c>
      <c r="BD13" s="47">
        <v>0</v>
      </c>
      <c r="BE13" s="179">
        <f t="shared" ref="BE13:BE77" si="16">BD13*E13</f>
        <v>0</v>
      </c>
      <c r="BF13" s="47">
        <v>0</v>
      </c>
      <c r="BG13" s="179">
        <f t="shared" ref="BG13:BG77" si="17">BF13*E13</f>
        <v>0</v>
      </c>
      <c r="BH13" s="47">
        <v>12</v>
      </c>
      <c r="BI13" s="179">
        <f>BH13*E13</f>
        <v>1200000</v>
      </c>
      <c r="BJ13" s="47">
        <f t="shared" si="1"/>
        <v>12</v>
      </c>
      <c r="BK13" s="117">
        <f t="shared" si="1"/>
        <v>1200000</v>
      </c>
      <c r="BL13" s="334" t="s">
        <v>470</v>
      </c>
      <c r="BN13" s="113"/>
      <c r="BO13" s="113"/>
      <c r="BP13" s="113"/>
      <c r="BQ13" s="113"/>
      <c r="BR13" s="113">
        <f>BN13+BO13+BP13+BQ13</f>
        <v>0</v>
      </c>
      <c r="BS13" s="113"/>
      <c r="BT13" s="113">
        <f>G13</f>
        <v>1200000</v>
      </c>
      <c r="BU13" s="124">
        <f>BS13+BT13</f>
        <v>1200000</v>
      </c>
      <c r="BV13" s="179">
        <f t="shared" si="0"/>
        <v>1200000</v>
      </c>
    </row>
    <row r="14" spans="1:74" x14ac:dyDescent="0.25">
      <c r="A14" s="1023"/>
      <c r="B14" s="38">
        <v>41103</v>
      </c>
      <c r="C14" s="38" t="s">
        <v>242</v>
      </c>
      <c r="D14" s="38" t="s">
        <v>208</v>
      </c>
      <c r="E14" s="365">
        <f>0.5*100000</f>
        <v>50000</v>
      </c>
      <c r="F14" s="38">
        <f>BJ14</f>
        <v>0</v>
      </c>
      <c r="G14" s="427">
        <f>E14*F14</f>
        <v>0</v>
      </c>
      <c r="H14" s="427">
        <f>G14*0.5</f>
        <v>0</v>
      </c>
      <c r="I14" s="427">
        <f>G14*0.5</f>
        <v>0</v>
      </c>
      <c r="J14" s="427">
        <f>G14*0</f>
        <v>0</v>
      </c>
      <c r="K14" s="427">
        <f>G14*0</f>
        <v>0</v>
      </c>
      <c r="L14" s="427">
        <f>G14*0</f>
        <v>0</v>
      </c>
      <c r="M14" s="427">
        <f>G14*0</f>
        <v>0</v>
      </c>
      <c r="N14" s="427">
        <f>G14*0</f>
        <v>0</v>
      </c>
      <c r="O14" s="85">
        <f>G14*0</f>
        <v>0</v>
      </c>
      <c r="P14" s="85">
        <f>G14*0</f>
        <v>0</v>
      </c>
      <c r="Q14" s="85">
        <f>G14*0</f>
        <v>0</v>
      </c>
      <c r="R14" s="47">
        <f>F14*0.25</f>
        <v>0</v>
      </c>
      <c r="S14" s="47">
        <f>F14*0.25</f>
        <v>0</v>
      </c>
      <c r="T14" s="47">
        <f>F14*0.25</f>
        <v>0</v>
      </c>
      <c r="U14" s="47">
        <f>F14*0.25</f>
        <v>0</v>
      </c>
      <c r="V14" s="179">
        <f>R14*E14</f>
        <v>0</v>
      </c>
      <c r="W14" s="179">
        <f>S14*E14</f>
        <v>0</v>
      </c>
      <c r="X14" s="179">
        <f>T14*E14</f>
        <v>0</v>
      </c>
      <c r="Y14" s="179">
        <f>U14*E14</f>
        <v>0</v>
      </c>
      <c r="Z14" s="47">
        <v>0</v>
      </c>
      <c r="AA14" s="179">
        <f>Z14*E14</f>
        <v>0</v>
      </c>
      <c r="AB14" s="47">
        <v>0</v>
      </c>
      <c r="AC14" s="179">
        <f t="shared" si="2"/>
        <v>0</v>
      </c>
      <c r="AD14" s="47">
        <v>0</v>
      </c>
      <c r="AE14" s="179">
        <f t="shared" si="3"/>
        <v>0</v>
      </c>
      <c r="AF14" s="47">
        <v>0</v>
      </c>
      <c r="AG14" s="179">
        <f t="shared" si="4"/>
        <v>0</v>
      </c>
      <c r="AH14" s="47">
        <v>0</v>
      </c>
      <c r="AI14" s="179">
        <f t="shared" si="5"/>
        <v>0</v>
      </c>
      <c r="AJ14" s="47">
        <v>0</v>
      </c>
      <c r="AK14" s="179">
        <f t="shared" si="6"/>
        <v>0</v>
      </c>
      <c r="AL14" s="47">
        <v>0</v>
      </c>
      <c r="AM14" s="179">
        <f t="shared" si="7"/>
        <v>0</v>
      </c>
      <c r="AN14" s="47">
        <v>0</v>
      </c>
      <c r="AO14" s="179">
        <f t="shared" si="8"/>
        <v>0</v>
      </c>
      <c r="AP14" s="47">
        <v>0</v>
      </c>
      <c r="AQ14" s="179">
        <f t="shared" si="9"/>
        <v>0</v>
      </c>
      <c r="AR14" s="47">
        <v>0</v>
      </c>
      <c r="AS14" s="179">
        <f t="shared" si="10"/>
        <v>0</v>
      </c>
      <c r="AT14" s="47">
        <v>0</v>
      </c>
      <c r="AU14" s="179">
        <f t="shared" si="11"/>
        <v>0</v>
      </c>
      <c r="AV14" s="47">
        <v>0</v>
      </c>
      <c r="AW14" s="179">
        <f t="shared" si="12"/>
        <v>0</v>
      </c>
      <c r="AX14" s="47">
        <v>0</v>
      </c>
      <c r="AY14" s="179">
        <f t="shared" si="13"/>
        <v>0</v>
      </c>
      <c r="AZ14" s="47">
        <v>0</v>
      </c>
      <c r="BA14" s="179">
        <f t="shared" si="14"/>
        <v>0</v>
      </c>
      <c r="BB14" s="47">
        <v>0</v>
      </c>
      <c r="BC14" s="179">
        <f t="shared" si="15"/>
        <v>0</v>
      </c>
      <c r="BD14" s="47">
        <v>0</v>
      </c>
      <c r="BE14" s="179">
        <f t="shared" si="16"/>
        <v>0</v>
      </c>
      <c r="BF14" s="47">
        <v>0</v>
      </c>
      <c r="BG14" s="179">
        <f t="shared" si="17"/>
        <v>0</v>
      </c>
      <c r="BH14" s="47">
        <v>0</v>
      </c>
      <c r="BI14" s="179">
        <f>BH14*E14</f>
        <v>0</v>
      </c>
      <c r="BJ14" s="47">
        <f t="shared" si="1"/>
        <v>0</v>
      </c>
      <c r="BK14" s="117">
        <f t="shared" si="1"/>
        <v>0</v>
      </c>
      <c r="BL14" s="334" t="s">
        <v>470</v>
      </c>
      <c r="BN14" s="113"/>
      <c r="BO14" s="113"/>
      <c r="BP14" s="113"/>
      <c r="BQ14" s="113"/>
      <c r="BR14" s="113">
        <f>BN14+BO14+BP14+BQ14</f>
        <v>0</v>
      </c>
      <c r="BS14" s="113"/>
      <c r="BT14" s="113"/>
      <c r="BU14" s="124">
        <f>BS14+BT14</f>
        <v>0</v>
      </c>
      <c r="BV14" s="179">
        <f t="shared" si="0"/>
        <v>0</v>
      </c>
    </row>
    <row r="15" spans="1:74" ht="31.5" x14ac:dyDescent="0.25">
      <c r="A15" s="1023"/>
      <c r="B15" s="38">
        <v>41104</v>
      </c>
      <c r="C15" s="38" t="s">
        <v>243</v>
      </c>
      <c r="D15" s="38" t="s">
        <v>73</v>
      </c>
      <c r="E15" s="365">
        <f>0.03*100000</f>
        <v>3000</v>
      </c>
      <c r="F15" s="38">
        <f>BJ15</f>
        <v>0</v>
      </c>
      <c r="G15" s="427">
        <f>E15*F15</f>
        <v>0</v>
      </c>
      <c r="H15" s="427">
        <f>G15*0.5</f>
        <v>0</v>
      </c>
      <c r="I15" s="427">
        <f>G15*0.5</f>
        <v>0</v>
      </c>
      <c r="J15" s="427">
        <f>G15*0</f>
        <v>0</v>
      </c>
      <c r="K15" s="427">
        <f>G15*0</f>
        <v>0</v>
      </c>
      <c r="L15" s="427">
        <f>G15*0</f>
        <v>0</v>
      </c>
      <c r="M15" s="427">
        <f>G15*0</f>
        <v>0</v>
      </c>
      <c r="N15" s="427">
        <f>G15*0</f>
        <v>0</v>
      </c>
      <c r="O15" s="85">
        <f>G15*0</f>
        <v>0</v>
      </c>
      <c r="P15" s="85">
        <f>G15*0</f>
        <v>0</v>
      </c>
      <c r="Q15" s="85">
        <f>G15*0</f>
        <v>0</v>
      </c>
      <c r="R15" s="47">
        <f>F15*0.25</f>
        <v>0</v>
      </c>
      <c r="S15" s="47">
        <f>F15*0.25</f>
        <v>0</v>
      </c>
      <c r="T15" s="47">
        <f>F15*0.25</f>
        <v>0</v>
      </c>
      <c r="U15" s="47">
        <f>F15*0.25</f>
        <v>0</v>
      </c>
      <c r="V15" s="179">
        <f>R15*E15</f>
        <v>0</v>
      </c>
      <c r="W15" s="179">
        <f>S15*E15</f>
        <v>0</v>
      </c>
      <c r="X15" s="179">
        <f>T15*E15</f>
        <v>0</v>
      </c>
      <c r="Y15" s="179">
        <f>U15*E15</f>
        <v>0</v>
      </c>
      <c r="Z15" s="47">
        <v>0</v>
      </c>
      <c r="AA15" s="179">
        <f>Z15*E15</f>
        <v>0</v>
      </c>
      <c r="AB15" s="47">
        <v>0</v>
      </c>
      <c r="AC15" s="179">
        <f t="shared" si="2"/>
        <v>0</v>
      </c>
      <c r="AD15" s="47">
        <v>0</v>
      </c>
      <c r="AE15" s="179">
        <f t="shared" si="3"/>
        <v>0</v>
      </c>
      <c r="AF15" s="47">
        <v>0</v>
      </c>
      <c r="AG15" s="179">
        <f t="shared" si="4"/>
        <v>0</v>
      </c>
      <c r="AH15" s="47">
        <v>0</v>
      </c>
      <c r="AI15" s="179">
        <f t="shared" si="5"/>
        <v>0</v>
      </c>
      <c r="AJ15" s="47">
        <v>0</v>
      </c>
      <c r="AK15" s="179">
        <f t="shared" si="6"/>
        <v>0</v>
      </c>
      <c r="AL15" s="47">
        <v>0</v>
      </c>
      <c r="AM15" s="179">
        <f t="shared" si="7"/>
        <v>0</v>
      </c>
      <c r="AN15" s="47">
        <v>0</v>
      </c>
      <c r="AO15" s="179">
        <f t="shared" si="8"/>
        <v>0</v>
      </c>
      <c r="AP15" s="47">
        <v>0</v>
      </c>
      <c r="AQ15" s="179">
        <f t="shared" si="9"/>
        <v>0</v>
      </c>
      <c r="AR15" s="47">
        <v>0</v>
      </c>
      <c r="AS15" s="179">
        <f t="shared" si="10"/>
        <v>0</v>
      </c>
      <c r="AT15" s="47">
        <v>0</v>
      </c>
      <c r="AU15" s="179">
        <f t="shared" si="11"/>
        <v>0</v>
      </c>
      <c r="AV15" s="47">
        <v>0</v>
      </c>
      <c r="AW15" s="179">
        <f t="shared" si="12"/>
        <v>0</v>
      </c>
      <c r="AX15" s="47">
        <v>0</v>
      </c>
      <c r="AY15" s="179">
        <f t="shared" si="13"/>
        <v>0</v>
      </c>
      <c r="AZ15" s="47">
        <v>0</v>
      </c>
      <c r="BA15" s="179">
        <f t="shared" si="14"/>
        <v>0</v>
      </c>
      <c r="BB15" s="47">
        <v>0</v>
      </c>
      <c r="BC15" s="179">
        <f t="shared" si="15"/>
        <v>0</v>
      </c>
      <c r="BD15" s="47">
        <v>0</v>
      </c>
      <c r="BE15" s="179">
        <f t="shared" si="16"/>
        <v>0</v>
      </c>
      <c r="BF15" s="47">
        <v>0</v>
      </c>
      <c r="BG15" s="179">
        <f t="shared" si="17"/>
        <v>0</v>
      </c>
      <c r="BH15" s="47">
        <v>0</v>
      </c>
      <c r="BI15" s="179">
        <f>BH15*E15</f>
        <v>0</v>
      </c>
      <c r="BJ15" s="47">
        <f t="shared" si="1"/>
        <v>0</v>
      </c>
      <c r="BK15" s="117">
        <f t="shared" si="1"/>
        <v>0</v>
      </c>
      <c r="BL15" s="334" t="s">
        <v>470</v>
      </c>
      <c r="BN15" s="113"/>
      <c r="BO15" s="113"/>
      <c r="BP15" s="113"/>
      <c r="BQ15" s="113"/>
      <c r="BR15" s="113">
        <f>BN15+BO15+BP15+BQ15</f>
        <v>0</v>
      </c>
      <c r="BS15" s="113"/>
      <c r="BT15" s="113"/>
      <c r="BU15" s="124">
        <f>BS15+BT15</f>
        <v>0</v>
      </c>
      <c r="BV15" s="179">
        <f t="shared" si="0"/>
        <v>0</v>
      </c>
    </row>
    <row r="16" spans="1:74" ht="31.5" x14ac:dyDescent="0.25">
      <c r="A16" s="1023"/>
      <c r="B16" s="38">
        <v>41105</v>
      </c>
      <c r="C16" s="38" t="s">
        <v>244</v>
      </c>
      <c r="D16" s="38" t="s">
        <v>27</v>
      </c>
      <c r="E16" s="365">
        <f>0.005*100000</f>
        <v>500</v>
      </c>
      <c r="F16" s="38">
        <f>BJ16</f>
        <v>0</v>
      </c>
      <c r="G16" s="427">
        <f>E16*F16</f>
        <v>0</v>
      </c>
      <c r="H16" s="427">
        <f>G16*0.5</f>
        <v>0</v>
      </c>
      <c r="I16" s="427">
        <f>G16*0.5</f>
        <v>0</v>
      </c>
      <c r="J16" s="427">
        <f>G16*0</f>
        <v>0</v>
      </c>
      <c r="K16" s="427">
        <f>G16*0</f>
        <v>0</v>
      </c>
      <c r="L16" s="427">
        <f>G16*0</f>
        <v>0</v>
      </c>
      <c r="M16" s="427">
        <f>G16*0</f>
        <v>0</v>
      </c>
      <c r="N16" s="427">
        <f>G16*0</f>
        <v>0</v>
      </c>
      <c r="O16" s="85">
        <f>G16*0</f>
        <v>0</v>
      </c>
      <c r="P16" s="85">
        <f>G16*0</f>
        <v>0</v>
      </c>
      <c r="Q16" s="85">
        <f>G16*0</f>
        <v>0</v>
      </c>
      <c r="R16" s="47">
        <f>F16*0.25</f>
        <v>0</v>
      </c>
      <c r="S16" s="47">
        <f>F16*0.25</f>
        <v>0</v>
      </c>
      <c r="T16" s="47">
        <f>F16*0.25</f>
        <v>0</v>
      </c>
      <c r="U16" s="47">
        <f>F16*0.25</f>
        <v>0</v>
      </c>
      <c r="V16" s="179">
        <f>R16*E16</f>
        <v>0</v>
      </c>
      <c r="W16" s="179">
        <f>S16*E16</f>
        <v>0</v>
      </c>
      <c r="X16" s="179">
        <f>T16*E16</f>
        <v>0</v>
      </c>
      <c r="Y16" s="179">
        <f>U16*E16</f>
        <v>0</v>
      </c>
      <c r="Z16" s="47">
        <v>0</v>
      </c>
      <c r="AA16" s="179">
        <f>Z16*E16</f>
        <v>0</v>
      </c>
      <c r="AB16" s="47">
        <v>0</v>
      </c>
      <c r="AC16" s="179">
        <f t="shared" si="2"/>
        <v>0</v>
      </c>
      <c r="AD16" s="47">
        <v>0</v>
      </c>
      <c r="AE16" s="179">
        <f t="shared" si="3"/>
        <v>0</v>
      </c>
      <c r="AF16" s="47">
        <v>0</v>
      </c>
      <c r="AG16" s="179">
        <f t="shared" si="4"/>
        <v>0</v>
      </c>
      <c r="AH16" s="47">
        <v>0</v>
      </c>
      <c r="AI16" s="179">
        <f t="shared" si="5"/>
        <v>0</v>
      </c>
      <c r="AJ16" s="47">
        <v>0</v>
      </c>
      <c r="AK16" s="179">
        <f t="shared" si="6"/>
        <v>0</v>
      </c>
      <c r="AL16" s="47">
        <v>0</v>
      </c>
      <c r="AM16" s="179">
        <f t="shared" si="7"/>
        <v>0</v>
      </c>
      <c r="AN16" s="47">
        <v>0</v>
      </c>
      <c r="AO16" s="179">
        <f t="shared" si="8"/>
        <v>0</v>
      </c>
      <c r="AP16" s="47">
        <v>0</v>
      </c>
      <c r="AQ16" s="179">
        <f t="shared" si="9"/>
        <v>0</v>
      </c>
      <c r="AR16" s="47">
        <v>0</v>
      </c>
      <c r="AS16" s="179">
        <f t="shared" si="10"/>
        <v>0</v>
      </c>
      <c r="AT16" s="47">
        <v>0</v>
      </c>
      <c r="AU16" s="179">
        <f t="shared" si="11"/>
        <v>0</v>
      </c>
      <c r="AV16" s="47">
        <v>0</v>
      </c>
      <c r="AW16" s="179">
        <f t="shared" si="12"/>
        <v>0</v>
      </c>
      <c r="AX16" s="47">
        <v>0</v>
      </c>
      <c r="AY16" s="179">
        <f t="shared" si="13"/>
        <v>0</v>
      </c>
      <c r="AZ16" s="47">
        <v>0</v>
      </c>
      <c r="BA16" s="179">
        <f t="shared" si="14"/>
        <v>0</v>
      </c>
      <c r="BB16" s="47">
        <v>0</v>
      </c>
      <c r="BC16" s="179">
        <f t="shared" si="15"/>
        <v>0</v>
      </c>
      <c r="BD16" s="47">
        <v>0</v>
      </c>
      <c r="BE16" s="179">
        <f t="shared" si="16"/>
        <v>0</v>
      </c>
      <c r="BF16" s="47">
        <v>0</v>
      </c>
      <c r="BG16" s="179">
        <f t="shared" si="17"/>
        <v>0</v>
      </c>
      <c r="BH16" s="47">
        <v>0</v>
      </c>
      <c r="BI16" s="179">
        <f>BH16*E16</f>
        <v>0</v>
      </c>
      <c r="BJ16" s="47">
        <f t="shared" si="1"/>
        <v>0</v>
      </c>
      <c r="BK16" s="117">
        <f t="shared" si="1"/>
        <v>0</v>
      </c>
      <c r="BL16" s="334" t="s">
        <v>470</v>
      </c>
      <c r="BN16" s="113"/>
      <c r="BO16" s="113"/>
      <c r="BP16" s="113"/>
      <c r="BQ16" s="113"/>
      <c r="BR16" s="113">
        <f>BN16+BO16+BP16+BQ16</f>
        <v>0</v>
      </c>
      <c r="BS16" s="113"/>
      <c r="BT16" s="113"/>
      <c r="BU16" s="124">
        <f>BS16+BT16</f>
        <v>0</v>
      </c>
      <c r="BV16" s="179">
        <f t="shared" si="0"/>
        <v>0</v>
      </c>
    </row>
    <row r="17" spans="1:74" x14ac:dyDescent="0.25">
      <c r="A17" s="1023"/>
      <c r="B17" s="428"/>
      <c r="C17" s="428"/>
      <c r="D17" s="428"/>
      <c r="E17" s="428"/>
      <c r="F17" s="428">
        <f>SUM(F12:F16)</f>
        <v>12</v>
      </c>
      <c r="G17" s="429">
        <f>SUM(G12:G16)</f>
        <v>1200000</v>
      </c>
      <c r="H17" s="429">
        <f t="shared" ref="H17:Q17" si="18">SUM(H12:H16)</f>
        <v>600000</v>
      </c>
      <c r="I17" s="429">
        <f t="shared" si="18"/>
        <v>600000</v>
      </c>
      <c r="J17" s="429">
        <f t="shared" si="18"/>
        <v>0</v>
      </c>
      <c r="K17" s="429">
        <f t="shared" si="18"/>
        <v>0</v>
      </c>
      <c r="L17" s="429">
        <f t="shared" si="18"/>
        <v>0</v>
      </c>
      <c r="M17" s="429">
        <f t="shared" si="18"/>
        <v>0</v>
      </c>
      <c r="N17" s="429">
        <f t="shared" si="18"/>
        <v>0</v>
      </c>
      <c r="O17" s="429">
        <f t="shared" si="18"/>
        <v>0</v>
      </c>
      <c r="P17" s="429">
        <f t="shared" si="18"/>
        <v>0</v>
      </c>
      <c r="Q17" s="429">
        <f t="shared" si="18"/>
        <v>0</v>
      </c>
      <c r="R17" s="428">
        <f t="shared" ref="R17:BK17" si="19">SUM(R12:R16)</f>
        <v>3</v>
      </c>
      <c r="S17" s="428">
        <f t="shared" si="19"/>
        <v>3</v>
      </c>
      <c r="T17" s="428">
        <f t="shared" si="19"/>
        <v>3</v>
      </c>
      <c r="U17" s="428">
        <f t="shared" si="19"/>
        <v>3</v>
      </c>
      <c r="V17" s="429">
        <f t="shared" si="19"/>
        <v>300000</v>
      </c>
      <c r="W17" s="429">
        <f t="shared" si="19"/>
        <v>300000</v>
      </c>
      <c r="X17" s="429">
        <f t="shared" si="19"/>
        <v>300000</v>
      </c>
      <c r="Y17" s="429">
        <f t="shared" si="19"/>
        <v>300000</v>
      </c>
      <c r="Z17" s="428">
        <f t="shared" si="19"/>
        <v>0</v>
      </c>
      <c r="AA17" s="429">
        <f t="shared" si="19"/>
        <v>0</v>
      </c>
      <c r="AB17" s="428">
        <f t="shared" si="19"/>
        <v>0</v>
      </c>
      <c r="AC17" s="428">
        <f t="shared" si="19"/>
        <v>0</v>
      </c>
      <c r="AD17" s="428">
        <f t="shared" si="19"/>
        <v>0</v>
      </c>
      <c r="AE17" s="428">
        <f t="shared" si="19"/>
        <v>0</v>
      </c>
      <c r="AF17" s="428">
        <f t="shared" si="19"/>
        <v>0</v>
      </c>
      <c r="AG17" s="428">
        <f t="shared" si="19"/>
        <v>0</v>
      </c>
      <c r="AH17" s="428">
        <f t="shared" si="19"/>
        <v>0</v>
      </c>
      <c r="AI17" s="428">
        <f t="shared" si="19"/>
        <v>0</v>
      </c>
      <c r="AJ17" s="428">
        <f t="shared" si="19"/>
        <v>0</v>
      </c>
      <c r="AK17" s="428">
        <f t="shared" si="19"/>
        <v>0</v>
      </c>
      <c r="AL17" s="428">
        <f t="shared" si="19"/>
        <v>0</v>
      </c>
      <c r="AM17" s="428">
        <f t="shared" si="19"/>
        <v>0</v>
      </c>
      <c r="AN17" s="428">
        <f t="shared" si="19"/>
        <v>0</v>
      </c>
      <c r="AO17" s="428">
        <f t="shared" si="19"/>
        <v>0</v>
      </c>
      <c r="AP17" s="428">
        <f t="shared" si="19"/>
        <v>0</v>
      </c>
      <c r="AQ17" s="428">
        <f t="shared" si="19"/>
        <v>0</v>
      </c>
      <c r="AR17" s="428">
        <f t="shared" si="19"/>
        <v>0</v>
      </c>
      <c r="AS17" s="428">
        <f t="shared" si="19"/>
        <v>0</v>
      </c>
      <c r="AT17" s="428">
        <f t="shared" si="19"/>
        <v>0</v>
      </c>
      <c r="AU17" s="428">
        <f t="shared" si="19"/>
        <v>0</v>
      </c>
      <c r="AV17" s="428">
        <f t="shared" si="19"/>
        <v>0</v>
      </c>
      <c r="AW17" s="428">
        <f t="shared" si="19"/>
        <v>0</v>
      </c>
      <c r="AX17" s="428">
        <f t="shared" si="19"/>
        <v>0</v>
      </c>
      <c r="AY17" s="428">
        <f t="shared" si="19"/>
        <v>0</v>
      </c>
      <c r="AZ17" s="428">
        <f t="shared" si="19"/>
        <v>0</v>
      </c>
      <c r="BA17" s="428">
        <f t="shared" si="19"/>
        <v>0</v>
      </c>
      <c r="BB17" s="428">
        <f t="shared" si="19"/>
        <v>0</v>
      </c>
      <c r="BC17" s="428">
        <f t="shared" si="19"/>
        <v>0</v>
      </c>
      <c r="BD17" s="428">
        <f t="shared" si="19"/>
        <v>0</v>
      </c>
      <c r="BE17" s="428">
        <f t="shared" si="19"/>
        <v>0</v>
      </c>
      <c r="BF17" s="428">
        <f t="shared" si="19"/>
        <v>0</v>
      </c>
      <c r="BG17" s="428">
        <f t="shared" si="19"/>
        <v>0</v>
      </c>
      <c r="BH17" s="428">
        <f t="shared" si="19"/>
        <v>12</v>
      </c>
      <c r="BI17" s="429">
        <f t="shared" si="19"/>
        <v>1200000</v>
      </c>
      <c r="BJ17" s="428">
        <f t="shared" si="19"/>
        <v>12</v>
      </c>
      <c r="BK17" s="430">
        <f t="shared" si="19"/>
        <v>1200000</v>
      </c>
      <c r="BL17" s="334" t="s">
        <v>470</v>
      </c>
      <c r="BN17" s="430">
        <f t="shared" ref="BN17:BU17" si="20">SUM(BN12:BN16)</f>
        <v>0</v>
      </c>
      <c r="BO17" s="430">
        <f t="shared" si="20"/>
        <v>0</v>
      </c>
      <c r="BP17" s="430">
        <f t="shared" si="20"/>
        <v>0</v>
      </c>
      <c r="BQ17" s="430">
        <f t="shared" si="20"/>
        <v>0</v>
      </c>
      <c r="BR17" s="430">
        <f t="shared" si="20"/>
        <v>0</v>
      </c>
      <c r="BS17" s="430">
        <f t="shared" si="20"/>
        <v>0</v>
      </c>
      <c r="BT17" s="430">
        <f t="shared" si="20"/>
        <v>1200000</v>
      </c>
      <c r="BU17" s="430">
        <f t="shared" si="20"/>
        <v>1200000</v>
      </c>
      <c r="BV17" s="380">
        <f t="shared" si="0"/>
        <v>1200000</v>
      </c>
    </row>
    <row r="18" spans="1:74" x14ac:dyDescent="0.25">
      <c r="A18" s="1023"/>
      <c r="B18" s="211">
        <v>41200</v>
      </c>
      <c r="C18" s="211" t="s">
        <v>246</v>
      </c>
      <c r="D18" s="38"/>
      <c r="E18" s="365"/>
      <c r="F18" s="38"/>
      <c r="G18" s="123"/>
      <c r="H18" s="123"/>
      <c r="I18" s="123"/>
      <c r="J18" s="123"/>
      <c r="K18" s="123"/>
      <c r="L18" s="123"/>
      <c r="M18" s="123"/>
      <c r="N18" s="123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179">
        <f t="shared" si="2"/>
        <v>0</v>
      </c>
      <c r="AD18" s="47"/>
      <c r="AE18" s="179">
        <f t="shared" si="3"/>
        <v>0</v>
      </c>
      <c r="AF18" s="47"/>
      <c r="AG18" s="179">
        <f t="shared" si="4"/>
        <v>0</v>
      </c>
      <c r="AH18" s="47"/>
      <c r="AI18" s="179">
        <f t="shared" si="5"/>
        <v>0</v>
      </c>
      <c r="AJ18" s="47"/>
      <c r="AK18" s="179">
        <f t="shared" si="6"/>
        <v>0</v>
      </c>
      <c r="AL18" s="47"/>
      <c r="AM18" s="179">
        <f t="shared" si="7"/>
        <v>0</v>
      </c>
      <c r="AN18" s="47"/>
      <c r="AO18" s="179">
        <f t="shared" si="8"/>
        <v>0</v>
      </c>
      <c r="AP18" s="47"/>
      <c r="AQ18" s="179">
        <f t="shared" si="9"/>
        <v>0</v>
      </c>
      <c r="AR18" s="47"/>
      <c r="AS18" s="179">
        <f t="shared" si="10"/>
        <v>0</v>
      </c>
      <c r="AT18" s="47"/>
      <c r="AU18" s="179">
        <f t="shared" si="11"/>
        <v>0</v>
      </c>
      <c r="AV18" s="47"/>
      <c r="AW18" s="179">
        <f t="shared" si="12"/>
        <v>0</v>
      </c>
      <c r="AX18" s="47"/>
      <c r="AY18" s="179">
        <f t="shared" si="13"/>
        <v>0</v>
      </c>
      <c r="AZ18" s="47"/>
      <c r="BA18" s="179">
        <f t="shared" si="14"/>
        <v>0</v>
      </c>
      <c r="BB18" s="47"/>
      <c r="BC18" s="179">
        <f t="shared" si="15"/>
        <v>0</v>
      </c>
      <c r="BD18" s="47"/>
      <c r="BE18" s="179">
        <f t="shared" si="16"/>
        <v>0</v>
      </c>
      <c r="BF18" s="47"/>
      <c r="BG18" s="179">
        <f t="shared" si="17"/>
        <v>0</v>
      </c>
      <c r="BH18" s="47"/>
      <c r="BI18" s="47"/>
      <c r="BJ18" s="47"/>
      <c r="BK18" s="123"/>
      <c r="BL18" s="47"/>
      <c r="BN18" s="113"/>
      <c r="BO18" s="113"/>
      <c r="BP18" s="113"/>
      <c r="BQ18" s="113"/>
      <c r="BR18" s="113"/>
      <c r="BS18" s="113"/>
      <c r="BT18" s="113"/>
      <c r="BU18" s="124"/>
      <c r="BV18" s="179">
        <f t="shared" si="0"/>
        <v>0</v>
      </c>
    </row>
    <row r="19" spans="1:74" x14ac:dyDescent="0.25">
      <c r="A19" s="1023"/>
      <c r="B19" s="38">
        <v>41201</v>
      </c>
      <c r="C19" s="38" t="s">
        <v>720</v>
      </c>
      <c r="D19" s="38" t="s">
        <v>240</v>
      </c>
      <c r="E19" s="365">
        <f>0.75*100000</f>
        <v>75000</v>
      </c>
      <c r="F19" s="38">
        <f t="shared" ref="F19:F43" si="21">BJ19</f>
        <v>0</v>
      </c>
      <c r="G19" s="427">
        <f t="shared" ref="G19:G43" si="22">E19*F19</f>
        <v>0</v>
      </c>
      <c r="H19" s="427">
        <f>G19*0.2</f>
        <v>0</v>
      </c>
      <c r="I19" s="427">
        <f>G19*0.8</f>
        <v>0</v>
      </c>
      <c r="J19" s="427">
        <f t="shared" ref="J19:J43" si="23">G19*0</f>
        <v>0</v>
      </c>
      <c r="K19" s="427">
        <f t="shared" ref="K19:K43" si="24">G19*0</f>
        <v>0</v>
      </c>
      <c r="L19" s="427">
        <f t="shared" ref="L19:L43" si="25">G19*0</f>
        <v>0</v>
      </c>
      <c r="M19" s="427">
        <f t="shared" ref="M19:M43" si="26">G19*0</f>
        <v>0</v>
      </c>
      <c r="N19" s="427">
        <f t="shared" ref="N19:N43" si="27">G19*0</f>
        <v>0</v>
      </c>
      <c r="O19" s="85">
        <f t="shared" ref="O19:O43" si="28">G19*0</f>
        <v>0</v>
      </c>
      <c r="P19" s="85">
        <f t="shared" ref="P19:P43" si="29">G19*0</f>
        <v>0</v>
      </c>
      <c r="Q19" s="85">
        <f t="shared" ref="Q19:Q43" si="30">G19*0</f>
        <v>0</v>
      </c>
      <c r="R19" s="47"/>
      <c r="S19" s="47">
        <f>F19</f>
        <v>0</v>
      </c>
      <c r="T19" s="47"/>
      <c r="U19" s="47"/>
      <c r="V19" s="179">
        <f>R19*E19</f>
        <v>0</v>
      </c>
      <c r="W19" s="179">
        <f>S19*E19</f>
        <v>0</v>
      </c>
      <c r="X19" s="179">
        <f>T19*E19</f>
        <v>0</v>
      </c>
      <c r="Y19" s="179">
        <f>U19*E19</f>
        <v>0</v>
      </c>
      <c r="Z19" s="47">
        <v>0</v>
      </c>
      <c r="AA19" s="179">
        <f t="shared" ref="AA19:AA43" si="31">Z19*E19</f>
        <v>0</v>
      </c>
      <c r="AB19" s="47">
        <v>0</v>
      </c>
      <c r="AC19" s="179">
        <f t="shared" si="2"/>
        <v>0</v>
      </c>
      <c r="AD19" s="47">
        <v>0</v>
      </c>
      <c r="AE19" s="179">
        <f t="shared" si="3"/>
        <v>0</v>
      </c>
      <c r="AF19" s="47">
        <v>0</v>
      </c>
      <c r="AG19" s="179">
        <f t="shared" si="4"/>
        <v>0</v>
      </c>
      <c r="AH19" s="47">
        <v>0</v>
      </c>
      <c r="AI19" s="179">
        <f t="shared" si="5"/>
        <v>0</v>
      </c>
      <c r="AJ19" s="47">
        <v>0</v>
      </c>
      <c r="AK19" s="179">
        <f t="shared" si="6"/>
        <v>0</v>
      </c>
      <c r="AL19" s="47">
        <v>0</v>
      </c>
      <c r="AM19" s="179">
        <f t="shared" si="7"/>
        <v>0</v>
      </c>
      <c r="AN19" s="47">
        <v>0</v>
      </c>
      <c r="AO19" s="179">
        <f t="shared" si="8"/>
        <v>0</v>
      </c>
      <c r="AP19" s="47">
        <v>0</v>
      </c>
      <c r="AQ19" s="179">
        <f t="shared" si="9"/>
        <v>0</v>
      </c>
      <c r="AR19" s="47">
        <v>0</v>
      </c>
      <c r="AS19" s="179">
        <f t="shared" si="10"/>
        <v>0</v>
      </c>
      <c r="AT19" s="47">
        <v>0</v>
      </c>
      <c r="AU19" s="179">
        <f t="shared" si="11"/>
        <v>0</v>
      </c>
      <c r="AV19" s="47">
        <v>0</v>
      </c>
      <c r="AW19" s="179">
        <f t="shared" si="12"/>
        <v>0</v>
      </c>
      <c r="AX19" s="47">
        <v>0</v>
      </c>
      <c r="AY19" s="179">
        <f t="shared" si="13"/>
        <v>0</v>
      </c>
      <c r="AZ19" s="47">
        <v>0</v>
      </c>
      <c r="BA19" s="179">
        <f t="shared" si="14"/>
        <v>0</v>
      </c>
      <c r="BB19" s="47">
        <v>0</v>
      </c>
      <c r="BC19" s="179">
        <f t="shared" si="15"/>
        <v>0</v>
      </c>
      <c r="BD19" s="47">
        <v>0</v>
      </c>
      <c r="BE19" s="179">
        <f t="shared" si="16"/>
        <v>0</v>
      </c>
      <c r="BF19" s="47">
        <v>0</v>
      </c>
      <c r="BG19" s="179">
        <f t="shared" si="17"/>
        <v>0</v>
      </c>
      <c r="BH19" s="47">
        <v>0</v>
      </c>
      <c r="BI19" s="179">
        <f t="shared" ref="BI19:BI43" si="32">BH19*E19</f>
        <v>0</v>
      </c>
      <c r="BJ19" s="47">
        <f t="shared" ref="BJ19:BK43" si="33">Z19+AB19+AD19+AF19+AH19+AJ19+AL19+AN19+AP19+AR19+AT19+AV19+AX19+AZ19+BB19+BD19+BF19+BH19</f>
        <v>0</v>
      </c>
      <c r="BK19" s="117">
        <f t="shared" si="33"/>
        <v>0</v>
      </c>
      <c r="BL19" s="335" t="s">
        <v>467</v>
      </c>
      <c r="BN19" s="113"/>
      <c r="BO19" s="113"/>
      <c r="BP19" s="113">
        <f t="shared" ref="BP19:BP27" si="34">G19</f>
        <v>0</v>
      </c>
      <c r="BQ19" s="113"/>
      <c r="BR19" s="113">
        <f>BN19+BO19+BP19+BQ19</f>
        <v>0</v>
      </c>
      <c r="BS19" s="113"/>
      <c r="BT19" s="113"/>
      <c r="BU19" s="124">
        <f>BS19+BT19</f>
        <v>0</v>
      </c>
      <c r="BV19" s="179">
        <f t="shared" si="0"/>
        <v>0</v>
      </c>
    </row>
    <row r="20" spans="1:74" ht="31.5" x14ac:dyDescent="0.25">
      <c r="A20" s="1023"/>
      <c r="B20" s="38">
        <v>41202</v>
      </c>
      <c r="C20" s="38" t="s">
        <v>766</v>
      </c>
      <c r="D20" s="38" t="s">
        <v>240</v>
      </c>
      <c r="E20" s="365">
        <v>210000</v>
      </c>
      <c r="F20" s="38">
        <f t="shared" si="21"/>
        <v>1</v>
      </c>
      <c r="G20" s="427">
        <f t="shared" si="22"/>
        <v>210000</v>
      </c>
      <c r="H20" s="427">
        <f t="shared" ref="H20:H43" si="35">G20*0.2</f>
        <v>42000</v>
      </c>
      <c r="I20" s="427">
        <f t="shared" ref="I20:I43" si="36">G20*0.8</f>
        <v>168000</v>
      </c>
      <c r="J20" s="427">
        <f t="shared" si="23"/>
        <v>0</v>
      </c>
      <c r="K20" s="427">
        <f t="shared" si="24"/>
        <v>0</v>
      </c>
      <c r="L20" s="427">
        <f t="shared" si="25"/>
        <v>0</v>
      </c>
      <c r="M20" s="427">
        <f t="shared" si="26"/>
        <v>0</v>
      </c>
      <c r="N20" s="427">
        <f t="shared" si="27"/>
        <v>0</v>
      </c>
      <c r="O20" s="85">
        <f t="shared" si="28"/>
        <v>0</v>
      </c>
      <c r="P20" s="85">
        <f t="shared" si="29"/>
        <v>0</v>
      </c>
      <c r="Q20" s="85">
        <f t="shared" si="30"/>
        <v>0</v>
      </c>
      <c r="R20" s="47">
        <v>1</v>
      </c>
      <c r="S20" s="47"/>
      <c r="T20" s="47"/>
      <c r="U20" s="47"/>
      <c r="V20" s="179">
        <f t="shared" ref="V20:V43" si="37">R20*E20</f>
        <v>210000</v>
      </c>
      <c r="W20" s="179">
        <f t="shared" ref="W20:W43" si="38">S20*E20</f>
        <v>0</v>
      </c>
      <c r="X20" s="179">
        <f t="shared" ref="X20:X43" si="39">T20*E20</f>
        <v>0</v>
      </c>
      <c r="Y20" s="179">
        <f t="shared" ref="Y20:Y43" si="40">U20*E20</f>
        <v>0</v>
      </c>
      <c r="Z20" s="47">
        <v>0</v>
      </c>
      <c r="AA20" s="179">
        <f t="shared" si="31"/>
        <v>0</v>
      </c>
      <c r="AB20" s="47">
        <v>0</v>
      </c>
      <c r="AC20" s="179">
        <f t="shared" si="2"/>
        <v>0</v>
      </c>
      <c r="AD20" s="47">
        <v>0</v>
      </c>
      <c r="AE20" s="179">
        <f t="shared" si="3"/>
        <v>0</v>
      </c>
      <c r="AF20" s="47">
        <v>0</v>
      </c>
      <c r="AG20" s="179">
        <f t="shared" si="4"/>
        <v>0</v>
      </c>
      <c r="AH20" s="47">
        <v>0</v>
      </c>
      <c r="AI20" s="179">
        <f t="shared" si="5"/>
        <v>0</v>
      </c>
      <c r="AJ20" s="47">
        <v>0</v>
      </c>
      <c r="AK20" s="179">
        <f t="shared" si="6"/>
        <v>0</v>
      </c>
      <c r="AL20" s="47">
        <v>0</v>
      </c>
      <c r="AM20" s="179">
        <f t="shared" si="7"/>
        <v>0</v>
      </c>
      <c r="AN20" s="47">
        <v>0</v>
      </c>
      <c r="AO20" s="179">
        <f t="shared" si="8"/>
        <v>0</v>
      </c>
      <c r="AP20" s="47">
        <v>0</v>
      </c>
      <c r="AQ20" s="179">
        <f t="shared" si="9"/>
        <v>0</v>
      </c>
      <c r="AR20" s="47">
        <v>0</v>
      </c>
      <c r="AS20" s="179">
        <f t="shared" si="10"/>
        <v>0</v>
      </c>
      <c r="AT20" s="47">
        <v>0</v>
      </c>
      <c r="AU20" s="179">
        <f t="shared" si="11"/>
        <v>0</v>
      </c>
      <c r="AV20" s="47">
        <v>0</v>
      </c>
      <c r="AW20" s="179">
        <f t="shared" si="12"/>
        <v>0</v>
      </c>
      <c r="AX20" s="47">
        <v>0</v>
      </c>
      <c r="AY20" s="179">
        <f t="shared" si="13"/>
        <v>0</v>
      </c>
      <c r="AZ20" s="47">
        <v>0</v>
      </c>
      <c r="BA20" s="179">
        <f t="shared" si="14"/>
        <v>0</v>
      </c>
      <c r="BB20" s="47">
        <v>0</v>
      </c>
      <c r="BC20" s="179">
        <f t="shared" si="15"/>
        <v>0</v>
      </c>
      <c r="BD20" s="47">
        <v>0</v>
      </c>
      <c r="BE20" s="179">
        <f t="shared" si="16"/>
        <v>0</v>
      </c>
      <c r="BF20" s="47">
        <v>0</v>
      </c>
      <c r="BG20" s="179">
        <f t="shared" si="17"/>
        <v>0</v>
      </c>
      <c r="BH20" s="47">
        <v>1</v>
      </c>
      <c r="BI20" s="179">
        <f t="shared" si="32"/>
        <v>210000</v>
      </c>
      <c r="BJ20" s="47">
        <f t="shared" si="33"/>
        <v>1</v>
      </c>
      <c r="BK20" s="117">
        <f t="shared" si="33"/>
        <v>210000</v>
      </c>
      <c r="BL20" s="335" t="s">
        <v>467</v>
      </c>
      <c r="BN20" s="113"/>
      <c r="BO20" s="113"/>
      <c r="BP20" s="113">
        <f t="shared" si="34"/>
        <v>210000</v>
      </c>
      <c r="BQ20" s="113"/>
      <c r="BR20" s="113">
        <f t="shared" ref="BR20:BR43" si="41">BN20+BO20+BP20+BQ20</f>
        <v>210000</v>
      </c>
      <c r="BS20" s="113"/>
      <c r="BT20" s="113"/>
      <c r="BU20" s="124">
        <f t="shared" ref="BU20:BU43" si="42">BS20+BT20</f>
        <v>0</v>
      </c>
      <c r="BV20" s="179">
        <f t="shared" si="0"/>
        <v>210000</v>
      </c>
    </row>
    <row r="21" spans="1:74" ht="31.5" x14ac:dyDescent="0.25">
      <c r="A21" s="1023"/>
      <c r="B21" s="38"/>
      <c r="C21" s="38" t="s">
        <v>767</v>
      </c>
      <c r="D21" s="38" t="s">
        <v>240</v>
      </c>
      <c r="E21" s="365">
        <v>300000</v>
      </c>
      <c r="F21" s="38">
        <f t="shared" si="21"/>
        <v>0</v>
      </c>
      <c r="G21" s="427">
        <f t="shared" si="22"/>
        <v>0</v>
      </c>
      <c r="H21" s="427">
        <f>G21*0.2</f>
        <v>0</v>
      </c>
      <c r="I21" s="427">
        <f>G21*0.8</f>
        <v>0</v>
      </c>
      <c r="J21" s="427">
        <f>G21*0</f>
        <v>0</v>
      </c>
      <c r="K21" s="427">
        <f>G21*0</f>
        <v>0</v>
      </c>
      <c r="L21" s="427">
        <f>G21*0</f>
        <v>0</v>
      </c>
      <c r="M21" s="427">
        <f>G21*0</f>
        <v>0</v>
      </c>
      <c r="N21" s="427">
        <f>G21*0</f>
        <v>0</v>
      </c>
      <c r="O21" s="85">
        <f>G21*0</f>
        <v>0</v>
      </c>
      <c r="P21" s="85">
        <f>G21*0</f>
        <v>0</v>
      </c>
      <c r="Q21" s="85">
        <f>G21*0</f>
        <v>0</v>
      </c>
      <c r="R21" s="47">
        <v>0</v>
      </c>
      <c r="S21" s="47"/>
      <c r="T21" s="47"/>
      <c r="U21" s="47"/>
      <c r="V21" s="179">
        <f t="shared" si="37"/>
        <v>0</v>
      </c>
      <c r="W21" s="179">
        <f t="shared" si="38"/>
        <v>0</v>
      </c>
      <c r="X21" s="179">
        <f t="shared" si="39"/>
        <v>0</v>
      </c>
      <c r="Y21" s="179">
        <f t="shared" si="40"/>
        <v>0</v>
      </c>
      <c r="Z21" s="47"/>
      <c r="AA21" s="179">
        <f t="shared" si="31"/>
        <v>0</v>
      </c>
      <c r="AB21" s="47"/>
      <c r="AC21" s="179">
        <f t="shared" si="2"/>
        <v>0</v>
      </c>
      <c r="AD21" s="47"/>
      <c r="AE21" s="179">
        <f t="shared" si="3"/>
        <v>0</v>
      </c>
      <c r="AF21" s="47"/>
      <c r="AG21" s="179">
        <f t="shared" si="4"/>
        <v>0</v>
      </c>
      <c r="AH21" s="47"/>
      <c r="AI21" s="179">
        <f t="shared" si="5"/>
        <v>0</v>
      </c>
      <c r="AJ21" s="47"/>
      <c r="AK21" s="179">
        <f t="shared" si="6"/>
        <v>0</v>
      </c>
      <c r="AL21" s="47"/>
      <c r="AM21" s="179">
        <f t="shared" si="7"/>
        <v>0</v>
      </c>
      <c r="AN21" s="47"/>
      <c r="AO21" s="179">
        <f t="shared" si="8"/>
        <v>0</v>
      </c>
      <c r="AP21" s="47"/>
      <c r="AQ21" s="179">
        <f t="shared" si="9"/>
        <v>0</v>
      </c>
      <c r="AR21" s="47"/>
      <c r="AS21" s="179">
        <f t="shared" si="10"/>
        <v>0</v>
      </c>
      <c r="AT21" s="47"/>
      <c r="AU21" s="179">
        <f t="shared" si="11"/>
        <v>0</v>
      </c>
      <c r="AV21" s="47"/>
      <c r="AW21" s="179">
        <f t="shared" si="12"/>
        <v>0</v>
      </c>
      <c r="AX21" s="47"/>
      <c r="AY21" s="179">
        <f t="shared" si="13"/>
        <v>0</v>
      </c>
      <c r="AZ21" s="47"/>
      <c r="BA21" s="179">
        <f t="shared" si="14"/>
        <v>0</v>
      </c>
      <c r="BB21" s="47"/>
      <c r="BC21" s="179">
        <f t="shared" si="15"/>
        <v>0</v>
      </c>
      <c r="BD21" s="47"/>
      <c r="BE21" s="179">
        <f t="shared" si="16"/>
        <v>0</v>
      </c>
      <c r="BF21" s="47"/>
      <c r="BG21" s="179">
        <f t="shared" si="17"/>
        <v>0</v>
      </c>
      <c r="BH21" s="47">
        <v>0</v>
      </c>
      <c r="BI21" s="179">
        <f t="shared" si="32"/>
        <v>0</v>
      </c>
      <c r="BJ21" s="47">
        <f>Z21+AB21+AD21+AF21+AH21+AJ21+AL21+AN21+AP21+AR21+AT21+AV21+AX21+AZ21+BB21+BD21+BF21+BH21</f>
        <v>0</v>
      </c>
      <c r="BK21" s="117">
        <f>AA21+AC21+AE21+AG21+AI21+AK21+AM21+AO21+AQ21+AS21+AU21+AW21+AY21+BA21+BC21+BE21+BG21+BI21</f>
        <v>0</v>
      </c>
      <c r="BL21" s="335" t="s">
        <v>467</v>
      </c>
      <c r="BN21" s="113"/>
      <c r="BO21" s="113"/>
      <c r="BP21" s="113">
        <f t="shared" si="34"/>
        <v>0</v>
      </c>
      <c r="BQ21" s="113"/>
      <c r="BR21" s="113">
        <f t="shared" si="41"/>
        <v>0</v>
      </c>
      <c r="BS21" s="113"/>
      <c r="BT21" s="113"/>
      <c r="BU21" s="124"/>
      <c r="BV21" s="179"/>
    </row>
    <row r="22" spans="1:74" ht="31.5" x14ac:dyDescent="0.25">
      <c r="A22" s="1023"/>
      <c r="B22" s="38">
        <v>41203</v>
      </c>
      <c r="C22" s="38" t="s">
        <v>248</v>
      </c>
      <c r="D22" s="38" t="s">
        <v>240</v>
      </c>
      <c r="E22" s="365">
        <f>1.5*100000</f>
        <v>150000</v>
      </c>
      <c r="F22" s="38">
        <f t="shared" si="21"/>
        <v>0</v>
      </c>
      <c r="G22" s="427">
        <f t="shared" si="22"/>
        <v>0</v>
      </c>
      <c r="H22" s="427">
        <f t="shared" si="35"/>
        <v>0</v>
      </c>
      <c r="I22" s="427">
        <f t="shared" si="36"/>
        <v>0</v>
      </c>
      <c r="J22" s="427">
        <f t="shared" si="23"/>
        <v>0</v>
      </c>
      <c r="K22" s="427">
        <f t="shared" si="24"/>
        <v>0</v>
      </c>
      <c r="L22" s="427">
        <f t="shared" si="25"/>
        <v>0</v>
      </c>
      <c r="M22" s="427">
        <f t="shared" si="26"/>
        <v>0</v>
      </c>
      <c r="N22" s="427">
        <f t="shared" si="27"/>
        <v>0</v>
      </c>
      <c r="O22" s="85">
        <f t="shared" si="28"/>
        <v>0</v>
      </c>
      <c r="P22" s="85">
        <f t="shared" si="29"/>
        <v>0</v>
      </c>
      <c r="Q22" s="85">
        <f t="shared" si="30"/>
        <v>0</v>
      </c>
      <c r="R22" s="47"/>
      <c r="S22" s="47">
        <f t="shared" ref="S22:S42" si="43">F22</f>
        <v>0</v>
      </c>
      <c r="T22" s="47"/>
      <c r="U22" s="47"/>
      <c r="V22" s="179">
        <f t="shared" si="37"/>
        <v>0</v>
      </c>
      <c r="W22" s="179">
        <f t="shared" si="38"/>
        <v>0</v>
      </c>
      <c r="X22" s="179">
        <f t="shared" si="39"/>
        <v>0</v>
      </c>
      <c r="Y22" s="179">
        <f t="shared" si="40"/>
        <v>0</v>
      </c>
      <c r="Z22" s="47">
        <v>0</v>
      </c>
      <c r="AA22" s="179">
        <f t="shared" si="31"/>
        <v>0</v>
      </c>
      <c r="AB22" s="47">
        <v>0</v>
      </c>
      <c r="AC22" s="179">
        <f t="shared" si="2"/>
        <v>0</v>
      </c>
      <c r="AD22" s="47">
        <v>0</v>
      </c>
      <c r="AE22" s="179">
        <f t="shared" si="3"/>
        <v>0</v>
      </c>
      <c r="AF22" s="47">
        <v>0</v>
      </c>
      <c r="AG22" s="179">
        <f t="shared" si="4"/>
        <v>0</v>
      </c>
      <c r="AH22" s="47">
        <v>0</v>
      </c>
      <c r="AI22" s="179">
        <f t="shared" si="5"/>
        <v>0</v>
      </c>
      <c r="AJ22" s="47">
        <v>0</v>
      </c>
      <c r="AK22" s="179">
        <f t="shared" si="6"/>
        <v>0</v>
      </c>
      <c r="AL22" s="47">
        <v>0</v>
      </c>
      <c r="AM22" s="179">
        <f t="shared" si="7"/>
        <v>0</v>
      </c>
      <c r="AN22" s="47">
        <v>0</v>
      </c>
      <c r="AO22" s="179">
        <f t="shared" si="8"/>
        <v>0</v>
      </c>
      <c r="AP22" s="47">
        <v>0</v>
      </c>
      <c r="AQ22" s="179">
        <f t="shared" si="9"/>
        <v>0</v>
      </c>
      <c r="AR22" s="47">
        <v>0</v>
      </c>
      <c r="AS22" s="179">
        <f t="shared" si="10"/>
        <v>0</v>
      </c>
      <c r="AT22" s="47">
        <v>0</v>
      </c>
      <c r="AU22" s="179">
        <f t="shared" si="11"/>
        <v>0</v>
      </c>
      <c r="AV22" s="47">
        <v>0</v>
      </c>
      <c r="AW22" s="179">
        <f t="shared" si="12"/>
        <v>0</v>
      </c>
      <c r="AX22" s="47">
        <v>0</v>
      </c>
      <c r="AY22" s="179">
        <f t="shared" si="13"/>
        <v>0</v>
      </c>
      <c r="AZ22" s="47">
        <v>0</v>
      </c>
      <c r="BA22" s="179">
        <f t="shared" si="14"/>
        <v>0</v>
      </c>
      <c r="BB22" s="47">
        <v>0</v>
      </c>
      <c r="BC22" s="179">
        <f t="shared" si="15"/>
        <v>0</v>
      </c>
      <c r="BD22" s="47">
        <v>0</v>
      </c>
      <c r="BE22" s="179">
        <f t="shared" si="16"/>
        <v>0</v>
      </c>
      <c r="BF22" s="47">
        <v>0</v>
      </c>
      <c r="BG22" s="179">
        <f t="shared" si="17"/>
        <v>0</v>
      </c>
      <c r="BH22" s="47">
        <v>0</v>
      </c>
      <c r="BI22" s="179">
        <f t="shared" si="32"/>
        <v>0</v>
      </c>
      <c r="BJ22" s="47">
        <f t="shared" si="33"/>
        <v>0</v>
      </c>
      <c r="BK22" s="117">
        <f t="shared" si="33"/>
        <v>0</v>
      </c>
      <c r="BL22" s="335" t="s">
        <v>467</v>
      </c>
      <c r="BN22" s="113"/>
      <c r="BO22" s="113"/>
      <c r="BP22" s="113">
        <f t="shared" si="34"/>
        <v>0</v>
      </c>
      <c r="BQ22" s="113"/>
      <c r="BR22" s="113">
        <f t="shared" si="41"/>
        <v>0</v>
      </c>
      <c r="BS22" s="113"/>
      <c r="BT22" s="113"/>
      <c r="BU22" s="124">
        <f t="shared" si="42"/>
        <v>0</v>
      </c>
      <c r="BV22" s="179">
        <f t="shared" si="0"/>
        <v>0</v>
      </c>
    </row>
    <row r="23" spans="1:74" ht="38.25" customHeight="1" x14ac:dyDescent="0.25">
      <c r="A23" s="1023"/>
      <c r="B23" s="38">
        <v>41204</v>
      </c>
      <c r="C23" s="38" t="s">
        <v>249</v>
      </c>
      <c r="D23" s="38" t="s">
        <v>208</v>
      </c>
      <c r="E23" s="365">
        <f>0.15*100000</f>
        <v>15000</v>
      </c>
      <c r="F23" s="38">
        <f t="shared" si="21"/>
        <v>0</v>
      </c>
      <c r="G23" s="427">
        <f t="shared" si="22"/>
        <v>0</v>
      </c>
      <c r="H23" s="427">
        <f t="shared" si="35"/>
        <v>0</v>
      </c>
      <c r="I23" s="427">
        <f t="shared" si="36"/>
        <v>0</v>
      </c>
      <c r="J23" s="427">
        <f t="shared" si="23"/>
        <v>0</v>
      </c>
      <c r="K23" s="427">
        <f t="shared" si="24"/>
        <v>0</v>
      </c>
      <c r="L23" s="427">
        <f t="shared" si="25"/>
        <v>0</v>
      </c>
      <c r="M23" s="427">
        <f t="shared" si="26"/>
        <v>0</v>
      </c>
      <c r="N23" s="427">
        <f t="shared" si="27"/>
        <v>0</v>
      </c>
      <c r="O23" s="85">
        <f t="shared" si="28"/>
        <v>0</v>
      </c>
      <c r="P23" s="85">
        <f t="shared" si="29"/>
        <v>0</v>
      </c>
      <c r="Q23" s="85">
        <f t="shared" si="30"/>
        <v>0</v>
      </c>
      <c r="R23" s="47"/>
      <c r="S23" s="47">
        <f t="shared" si="43"/>
        <v>0</v>
      </c>
      <c r="T23" s="47"/>
      <c r="U23" s="47"/>
      <c r="V23" s="179">
        <f t="shared" si="37"/>
        <v>0</v>
      </c>
      <c r="W23" s="179">
        <f t="shared" si="38"/>
        <v>0</v>
      </c>
      <c r="X23" s="179">
        <f t="shared" si="39"/>
        <v>0</v>
      </c>
      <c r="Y23" s="179">
        <f t="shared" si="40"/>
        <v>0</v>
      </c>
      <c r="Z23" s="47">
        <v>0</v>
      </c>
      <c r="AA23" s="179">
        <f t="shared" si="31"/>
        <v>0</v>
      </c>
      <c r="AB23" s="47">
        <v>0</v>
      </c>
      <c r="AC23" s="179">
        <f t="shared" si="2"/>
        <v>0</v>
      </c>
      <c r="AD23" s="47">
        <v>0</v>
      </c>
      <c r="AE23" s="179">
        <f t="shared" si="3"/>
        <v>0</v>
      </c>
      <c r="AF23" s="47">
        <v>0</v>
      </c>
      <c r="AG23" s="179">
        <f t="shared" si="4"/>
        <v>0</v>
      </c>
      <c r="AH23" s="47">
        <v>0</v>
      </c>
      <c r="AI23" s="179">
        <f t="shared" si="5"/>
        <v>0</v>
      </c>
      <c r="AJ23" s="47">
        <v>0</v>
      </c>
      <c r="AK23" s="179">
        <f t="shared" si="6"/>
        <v>0</v>
      </c>
      <c r="AL23" s="47">
        <v>0</v>
      </c>
      <c r="AM23" s="179">
        <f t="shared" si="7"/>
        <v>0</v>
      </c>
      <c r="AN23" s="47">
        <v>0</v>
      </c>
      <c r="AO23" s="179">
        <f t="shared" si="8"/>
        <v>0</v>
      </c>
      <c r="AP23" s="47">
        <v>0</v>
      </c>
      <c r="AQ23" s="179">
        <f t="shared" si="9"/>
        <v>0</v>
      </c>
      <c r="AR23" s="47">
        <v>0</v>
      </c>
      <c r="AS23" s="179">
        <f t="shared" si="10"/>
        <v>0</v>
      </c>
      <c r="AT23" s="47">
        <v>0</v>
      </c>
      <c r="AU23" s="179">
        <f t="shared" si="11"/>
        <v>0</v>
      </c>
      <c r="AV23" s="47">
        <v>0</v>
      </c>
      <c r="AW23" s="179">
        <f t="shared" si="12"/>
        <v>0</v>
      </c>
      <c r="AX23" s="47">
        <v>0</v>
      </c>
      <c r="AY23" s="179">
        <f t="shared" si="13"/>
        <v>0</v>
      </c>
      <c r="AZ23" s="47">
        <v>0</v>
      </c>
      <c r="BA23" s="179">
        <f t="shared" si="14"/>
        <v>0</v>
      </c>
      <c r="BB23" s="47">
        <v>0</v>
      </c>
      <c r="BC23" s="179">
        <f t="shared" si="15"/>
        <v>0</v>
      </c>
      <c r="BD23" s="47">
        <v>0</v>
      </c>
      <c r="BE23" s="179">
        <f t="shared" si="16"/>
        <v>0</v>
      </c>
      <c r="BF23" s="47">
        <v>0</v>
      </c>
      <c r="BG23" s="179">
        <f t="shared" si="17"/>
        <v>0</v>
      </c>
      <c r="BH23" s="47">
        <v>0</v>
      </c>
      <c r="BI23" s="179">
        <f t="shared" si="32"/>
        <v>0</v>
      </c>
      <c r="BJ23" s="47">
        <f t="shared" si="33"/>
        <v>0</v>
      </c>
      <c r="BK23" s="117">
        <f t="shared" si="33"/>
        <v>0</v>
      </c>
      <c r="BL23" s="335" t="s">
        <v>467</v>
      </c>
      <c r="BN23" s="113"/>
      <c r="BO23" s="113"/>
      <c r="BP23" s="113">
        <f t="shared" si="34"/>
        <v>0</v>
      </c>
      <c r="BQ23" s="113"/>
      <c r="BR23" s="113">
        <f t="shared" si="41"/>
        <v>0</v>
      </c>
      <c r="BS23" s="113"/>
      <c r="BT23" s="113"/>
      <c r="BU23" s="124">
        <f t="shared" si="42"/>
        <v>0</v>
      </c>
      <c r="BV23" s="179">
        <f t="shared" si="0"/>
        <v>0</v>
      </c>
    </row>
    <row r="24" spans="1:74" x14ac:dyDescent="0.25">
      <c r="A24" s="1023"/>
      <c r="B24" s="38">
        <v>41205</v>
      </c>
      <c r="C24" s="38" t="s">
        <v>250</v>
      </c>
      <c r="D24" s="38" t="s">
        <v>208</v>
      </c>
      <c r="E24" s="365">
        <f>0.1*100000</f>
        <v>10000</v>
      </c>
      <c r="F24" s="38">
        <f t="shared" si="21"/>
        <v>0</v>
      </c>
      <c r="G24" s="427">
        <f t="shared" si="22"/>
        <v>0</v>
      </c>
      <c r="H24" s="427">
        <f t="shared" si="35"/>
        <v>0</v>
      </c>
      <c r="I24" s="427">
        <f t="shared" si="36"/>
        <v>0</v>
      </c>
      <c r="J24" s="427">
        <f t="shared" si="23"/>
        <v>0</v>
      </c>
      <c r="K24" s="427">
        <f t="shared" si="24"/>
        <v>0</v>
      </c>
      <c r="L24" s="427">
        <f t="shared" si="25"/>
        <v>0</v>
      </c>
      <c r="M24" s="427">
        <f t="shared" si="26"/>
        <v>0</v>
      </c>
      <c r="N24" s="427">
        <f t="shared" si="27"/>
        <v>0</v>
      </c>
      <c r="O24" s="85">
        <f t="shared" si="28"/>
        <v>0</v>
      </c>
      <c r="P24" s="85">
        <f t="shared" si="29"/>
        <v>0</v>
      </c>
      <c r="Q24" s="85">
        <f t="shared" si="30"/>
        <v>0</v>
      </c>
      <c r="R24" s="47"/>
      <c r="S24" s="47">
        <f t="shared" si="43"/>
        <v>0</v>
      </c>
      <c r="T24" s="47"/>
      <c r="U24" s="47"/>
      <c r="V24" s="179">
        <f t="shared" si="37"/>
        <v>0</v>
      </c>
      <c r="W24" s="179">
        <f t="shared" si="38"/>
        <v>0</v>
      </c>
      <c r="X24" s="179">
        <f t="shared" si="39"/>
        <v>0</v>
      </c>
      <c r="Y24" s="179">
        <f t="shared" si="40"/>
        <v>0</v>
      </c>
      <c r="Z24" s="47">
        <v>0</v>
      </c>
      <c r="AA24" s="179">
        <f t="shared" si="31"/>
        <v>0</v>
      </c>
      <c r="AB24" s="47">
        <v>0</v>
      </c>
      <c r="AC24" s="179">
        <f t="shared" si="2"/>
        <v>0</v>
      </c>
      <c r="AD24" s="47">
        <v>0</v>
      </c>
      <c r="AE24" s="179">
        <f t="shared" si="3"/>
        <v>0</v>
      </c>
      <c r="AF24" s="47">
        <v>0</v>
      </c>
      <c r="AG24" s="179">
        <f t="shared" si="4"/>
        <v>0</v>
      </c>
      <c r="AH24" s="47">
        <v>0</v>
      </c>
      <c r="AI24" s="179">
        <f t="shared" si="5"/>
        <v>0</v>
      </c>
      <c r="AJ24" s="47">
        <v>0</v>
      </c>
      <c r="AK24" s="179">
        <f t="shared" si="6"/>
        <v>0</v>
      </c>
      <c r="AL24" s="47">
        <v>0</v>
      </c>
      <c r="AM24" s="179">
        <f t="shared" si="7"/>
        <v>0</v>
      </c>
      <c r="AN24" s="47">
        <v>0</v>
      </c>
      <c r="AO24" s="179">
        <f t="shared" si="8"/>
        <v>0</v>
      </c>
      <c r="AP24" s="47">
        <v>0</v>
      </c>
      <c r="AQ24" s="179">
        <f t="shared" si="9"/>
        <v>0</v>
      </c>
      <c r="AR24" s="47">
        <v>0</v>
      </c>
      <c r="AS24" s="179">
        <f t="shared" si="10"/>
        <v>0</v>
      </c>
      <c r="AT24" s="47">
        <v>0</v>
      </c>
      <c r="AU24" s="179">
        <f t="shared" si="11"/>
        <v>0</v>
      </c>
      <c r="AV24" s="47">
        <v>0</v>
      </c>
      <c r="AW24" s="179">
        <f t="shared" si="12"/>
        <v>0</v>
      </c>
      <c r="AX24" s="47">
        <v>0</v>
      </c>
      <c r="AY24" s="179">
        <f t="shared" si="13"/>
        <v>0</v>
      </c>
      <c r="AZ24" s="47">
        <v>0</v>
      </c>
      <c r="BA24" s="179">
        <f t="shared" si="14"/>
        <v>0</v>
      </c>
      <c r="BB24" s="47">
        <v>0</v>
      </c>
      <c r="BC24" s="179">
        <f t="shared" si="15"/>
        <v>0</v>
      </c>
      <c r="BD24" s="47">
        <v>0</v>
      </c>
      <c r="BE24" s="179">
        <f t="shared" si="16"/>
        <v>0</v>
      </c>
      <c r="BF24" s="47">
        <v>0</v>
      </c>
      <c r="BG24" s="179">
        <f t="shared" si="17"/>
        <v>0</v>
      </c>
      <c r="BH24" s="47">
        <v>0</v>
      </c>
      <c r="BI24" s="179">
        <f t="shared" si="32"/>
        <v>0</v>
      </c>
      <c r="BJ24" s="47">
        <f t="shared" si="33"/>
        <v>0</v>
      </c>
      <c r="BK24" s="117">
        <f t="shared" si="33"/>
        <v>0</v>
      </c>
      <c r="BL24" s="335" t="s">
        <v>467</v>
      </c>
      <c r="BN24" s="113"/>
      <c r="BO24" s="113"/>
      <c r="BP24" s="113">
        <f t="shared" si="34"/>
        <v>0</v>
      </c>
      <c r="BQ24" s="113"/>
      <c r="BR24" s="113">
        <f t="shared" si="41"/>
        <v>0</v>
      </c>
      <c r="BS24" s="113"/>
      <c r="BT24" s="113"/>
      <c r="BU24" s="124">
        <f t="shared" si="42"/>
        <v>0</v>
      </c>
      <c r="BV24" s="179">
        <f t="shared" si="0"/>
        <v>0</v>
      </c>
    </row>
    <row r="25" spans="1:74" x14ac:dyDescent="0.25">
      <c r="A25" s="1023"/>
      <c r="B25" s="38">
        <v>41206</v>
      </c>
      <c r="C25" s="38" t="s">
        <v>251</v>
      </c>
      <c r="D25" s="38" t="s">
        <v>208</v>
      </c>
      <c r="E25" s="365">
        <v>60000</v>
      </c>
      <c r="F25" s="38">
        <f t="shared" si="21"/>
        <v>4</v>
      </c>
      <c r="G25" s="427">
        <f t="shared" si="22"/>
        <v>240000</v>
      </c>
      <c r="H25" s="427">
        <f t="shared" si="35"/>
        <v>48000</v>
      </c>
      <c r="I25" s="427">
        <f t="shared" si="36"/>
        <v>192000</v>
      </c>
      <c r="J25" s="427">
        <f t="shared" si="23"/>
        <v>0</v>
      </c>
      <c r="K25" s="427">
        <f t="shared" si="24"/>
        <v>0</v>
      </c>
      <c r="L25" s="427">
        <f t="shared" si="25"/>
        <v>0</v>
      </c>
      <c r="M25" s="427">
        <f t="shared" si="26"/>
        <v>0</v>
      </c>
      <c r="N25" s="427">
        <f t="shared" si="27"/>
        <v>0</v>
      </c>
      <c r="O25" s="85">
        <f t="shared" si="28"/>
        <v>0</v>
      </c>
      <c r="P25" s="85">
        <f t="shared" si="29"/>
        <v>0</v>
      </c>
      <c r="Q25" s="85">
        <f t="shared" si="30"/>
        <v>0</v>
      </c>
      <c r="R25" s="47"/>
      <c r="S25" s="47">
        <f t="shared" si="43"/>
        <v>4</v>
      </c>
      <c r="T25" s="47"/>
      <c r="U25" s="47"/>
      <c r="V25" s="179">
        <f t="shared" si="37"/>
        <v>0</v>
      </c>
      <c r="W25" s="179">
        <f t="shared" si="38"/>
        <v>240000</v>
      </c>
      <c r="X25" s="179">
        <f t="shared" si="39"/>
        <v>0</v>
      </c>
      <c r="Y25" s="179">
        <f t="shared" si="40"/>
        <v>0</v>
      </c>
      <c r="Z25" s="47">
        <v>0</v>
      </c>
      <c r="AA25" s="179">
        <f t="shared" si="31"/>
        <v>0</v>
      </c>
      <c r="AB25" s="47">
        <v>0</v>
      </c>
      <c r="AC25" s="179">
        <f t="shared" si="2"/>
        <v>0</v>
      </c>
      <c r="AD25" s="47">
        <v>0</v>
      </c>
      <c r="AE25" s="179">
        <f t="shared" si="3"/>
        <v>0</v>
      </c>
      <c r="AF25" s="47">
        <v>0</v>
      </c>
      <c r="AG25" s="179">
        <f t="shared" si="4"/>
        <v>0</v>
      </c>
      <c r="AH25" s="47">
        <v>0</v>
      </c>
      <c r="AI25" s="179">
        <f t="shared" si="5"/>
        <v>0</v>
      </c>
      <c r="AJ25" s="47">
        <v>0</v>
      </c>
      <c r="AK25" s="179">
        <f t="shared" si="6"/>
        <v>0</v>
      </c>
      <c r="AL25" s="47">
        <v>0</v>
      </c>
      <c r="AM25" s="179">
        <f t="shared" si="7"/>
        <v>0</v>
      </c>
      <c r="AN25" s="47">
        <v>0</v>
      </c>
      <c r="AO25" s="179">
        <f t="shared" si="8"/>
        <v>0</v>
      </c>
      <c r="AP25" s="47">
        <v>0</v>
      </c>
      <c r="AQ25" s="179">
        <f t="shared" si="9"/>
        <v>0</v>
      </c>
      <c r="AR25" s="47">
        <v>0</v>
      </c>
      <c r="AS25" s="179">
        <f t="shared" si="10"/>
        <v>0</v>
      </c>
      <c r="AT25" s="47">
        <v>0</v>
      </c>
      <c r="AU25" s="179">
        <f t="shared" si="11"/>
        <v>0</v>
      </c>
      <c r="AV25" s="47">
        <v>0</v>
      </c>
      <c r="AW25" s="179">
        <f t="shared" si="12"/>
        <v>0</v>
      </c>
      <c r="AX25" s="47">
        <v>0</v>
      </c>
      <c r="AY25" s="179">
        <f t="shared" si="13"/>
        <v>0</v>
      </c>
      <c r="AZ25" s="47">
        <v>0</v>
      </c>
      <c r="BA25" s="179">
        <f t="shared" si="14"/>
        <v>0</v>
      </c>
      <c r="BB25" s="47">
        <v>0</v>
      </c>
      <c r="BC25" s="179">
        <f t="shared" si="15"/>
        <v>0</v>
      </c>
      <c r="BD25" s="47">
        <v>0</v>
      </c>
      <c r="BE25" s="179">
        <f t="shared" si="16"/>
        <v>0</v>
      </c>
      <c r="BF25" s="47">
        <v>0</v>
      </c>
      <c r="BG25" s="179">
        <f t="shared" si="17"/>
        <v>0</v>
      </c>
      <c r="BH25" s="47">
        <v>4</v>
      </c>
      <c r="BI25" s="179">
        <f t="shared" si="32"/>
        <v>240000</v>
      </c>
      <c r="BJ25" s="47">
        <f t="shared" si="33"/>
        <v>4</v>
      </c>
      <c r="BK25" s="117">
        <f t="shared" si="33"/>
        <v>240000</v>
      </c>
      <c r="BL25" s="335" t="s">
        <v>467</v>
      </c>
      <c r="BN25" s="113"/>
      <c r="BO25" s="113"/>
      <c r="BP25" s="113">
        <f t="shared" si="34"/>
        <v>240000</v>
      </c>
      <c r="BQ25" s="113"/>
      <c r="BR25" s="113">
        <f t="shared" si="41"/>
        <v>240000</v>
      </c>
      <c r="BS25" s="113"/>
      <c r="BT25" s="113"/>
      <c r="BU25" s="124">
        <f t="shared" si="42"/>
        <v>0</v>
      </c>
      <c r="BV25" s="179">
        <f t="shared" si="0"/>
        <v>240000</v>
      </c>
    </row>
    <row r="26" spans="1:74" x14ac:dyDescent="0.25">
      <c r="A26" s="1023"/>
      <c r="B26" s="38">
        <v>41207</v>
      </c>
      <c r="C26" s="38" t="s">
        <v>252</v>
      </c>
      <c r="D26" s="38" t="s">
        <v>208</v>
      </c>
      <c r="E26" s="365">
        <v>50000</v>
      </c>
      <c r="F26" s="38">
        <f t="shared" si="21"/>
        <v>1</v>
      </c>
      <c r="G26" s="427">
        <f t="shared" si="22"/>
        <v>50000</v>
      </c>
      <c r="H26" s="427">
        <f t="shared" si="35"/>
        <v>10000</v>
      </c>
      <c r="I26" s="427">
        <f t="shared" si="36"/>
        <v>40000</v>
      </c>
      <c r="J26" s="427">
        <f t="shared" si="23"/>
        <v>0</v>
      </c>
      <c r="K26" s="427">
        <f t="shared" si="24"/>
        <v>0</v>
      </c>
      <c r="L26" s="427">
        <f t="shared" si="25"/>
        <v>0</v>
      </c>
      <c r="M26" s="427">
        <f t="shared" si="26"/>
        <v>0</v>
      </c>
      <c r="N26" s="427">
        <f t="shared" si="27"/>
        <v>0</v>
      </c>
      <c r="O26" s="85">
        <f t="shared" si="28"/>
        <v>0</v>
      </c>
      <c r="P26" s="85">
        <f t="shared" si="29"/>
        <v>0</v>
      </c>
      <c r="Q26" s="85">
        <f t="shared" si="30"/>
        <v>0</v>
      </c>
      <c r="R26" s="47"/>
      <c r="S26" s="47">
        <f t="shared" si="43"/>
        <v>1</v>
      </c>
      <c r="T26" s="47"/>
      <c r="U26" s="47"/>
      <c r="V26" s="179">
        <f t="shared" si="37"/>
        <v>0</v>
      </c>
      <c r="W26" s="179">
        <f t="shared" si="38"/>
        <v>50000</v>
      </c>
      <c r="X26" s="179">
        <f t="shared" si="39"/>
        <v>0</v>
      </c>
      <c r="Y26" s="179">
        <f t="shared" si="40"/>
        <v>0</v>
      </c>
      <c r="Z26" s="47">
        <v>0</v>
      </c>
      <c r="AA26" s="179">
        <f t="shared" si="31"/>
        <v>0</v>
      </c>
      <c r="AB26" s="47">
        <v>0</v>
      </c>
      <c r="AC26" s="179">
        <f t="shared" si="2"/>
        <v>0</v>
      </c>
      <c r="AD26" s="47">
        <v>0</v>
      </c>
      <c r="AE26" s="179">
        <f t="shared" si="3"/>
        <v>0</v>
      </c>
      <c r="AF26" s="47">
        <v>0</v>
      </c>
      <c r="AG26" s="179">
        <f t="shared" si="4"/>
        <v>0</v>
      </c>
      <c r="AH26" s="47">
        <v>0</v>
      </c>
      <c r="AI26" s="179">
        <f t="shared" si="5"/>
        <v>0</v>
      </c>
      <c r="AJ26" s="47">
        <v>0</v>
      </c>
      <c r="AK26" s="179">
        <f t="shared" si="6"/>
        <v>0</v>
      </c>
      <c r="AL26" s="47">
        <v>0</v>
      </c>
      <c r="AM26" s="179">
        <f t="shared" si="7"/>
        <v>0</v>
      </c>
      <c r="AN26" s="47">
        <v>0</v>
      </c>
      <c r="AO26" s="179">
        <f t="shared" si="8"/>
        <v>0</v>
      </c>
      <c r="AP26" s="47">
        <v>0</v>
      </c>
      <c r="AQ26" s="179">
        <f t="shared" si="9"/>
        <v>0</v>
      </c>
      <c r="AR26" s="47">
        <v>0</v>
      </c>
      <c r="AS26" s="179">
        <f t="shared" si="10"/>
        <v>0</v>
      </c>
      <c r="AT26" s="47">
        <v>0</v>
      </c>
      <c r="AU26" s="179">
        <f t="shared" si="11"/>
        <v>0</v>
      </c>
      <c r="AV26" s="47">
        <v>0</v>
      </c>
      <c r="AW26" s="179">
        <f t="shared" si="12"/>
        <v>0</v>
      </c>
      <c r="AX26" s="47">
        <v>0</v>
      </c>
      <c r="AY26" s="179">
        <f t="shared" si="13"/>
        <v>0</v>
      </c>
      <c r="AZ26" s="47">
        <v>0</v>
      </c>
      <c r="BA26" s="179">
        <f t="shared" si="14"/>
        <v>0</v>
      </c>
      <c r="BB26" s="47">
        <v>0</v>
      </c>
      <c r="BC26" s="179">
        <f t="shared" si="15"/>
        <v>0</v>
      </c>
      <c r="BD26" s="47">
        <v>0</v>
      </c>
      <c r="BE26" s="179">
        <f t="shared" si="16"/>
        <v>0</v>
      </c>
      <c r="BF26" s="47">
        <v>0</v>
      </c>
      <c r="BG26" s="179">
        <f t="shared" si="17"/>
        <v>0</v>
      </c>
      <c r="BH26" s="47">
        <v>1</v>
      </c>
      <c r="BI26" s="179">
        <f t="shared" si="32"/>
        <v>50000</v>
      </c>
      <c r="BJ26" s="47">
        <f t="shared" si="33"/>
        <v>1</v>
      </c>
      <c r="BK26" s="117">
        <f t="shared" si="33"/>
        <v>50000</v>
      </c>
      <c r="BL26" s="335" t="s">
        <v>467</v>
      </c>
      <c r="BN26" s="113"/>
      <c r="BO26" s="113"/>
      <c r="BP26" s="113">
        <f t="shared" si="34"/>
        <v>50000</v>
      </c>
      <c r="BQ26" s="113"/>
      <c r="BR26" s="113">
        <f t="shared" si="41"/>
        <v>50000</v>
      </c>
      <c r="BS26" s="113"/>
      <c r="BT26" s="113"/>
      <c r="BU26" s="124">
        <f t="shared" si="42"/>
        <v>0</v>
      </c>
      <c r="BV26" s="179">
        <f t="shared" si="0"/>
        <v>50000</v>
      </c>
    </row>
    <row r="27" spans="1:74" x14ac:dyDescent="0.25">
      <c r="A27" s="1023"/>
      <c r="B27" s="38">
        <v>41208</v>
      </c>
      <c r="C27" s="38" t="s">
        <v>253</v>
      </c>
      <c r="D27" s="38" t="s">
        <v>208</v>
      </c>
      <c r="E27" s="365">
        <f>0.5*100000</f>
        <v>50000</v>
      </c>
      <c r="F27" s="38">
        <f t="shared" si="21"/>
        <v>0</v>
      </c>
      <c r="G27" s="427">
        <f t="shared" si="22"/>
        <v>0</v>
      </c>
      <c r="H27" s="427">
        <f t="shared" si="35"/>
        <v>0</v>
      </c>
      <c r="I27" s="427">
        <f t="shared" si="36"/>
        <v>0</v>
      </c>
      <c r="J27" s="427">
        <f t="shared" si="23"/>
        <v>0</v>
      </c>
      <c r="K27" s="427">
        <f t="shared" si="24"/>
        <v>0</v>
      </c>
      <c r="L27" s="427">
        <f t="shared" si="25"/>
        <v>0</v>
      </c>
      <c r="M27" s="427">
        <f t="shared" si="26"/>
        <v>0</v>
      </c>
      <c r="N27" s="427">
        <f t="shared" si="27"/>
        <v>0</v>
      </c>
      <c r="O27" s="85">
        <f t="shared" si="28"/>
        <v>0</v>
      </c>
      <c r="P27" s="85">
        <f t="shared" si="29"/>
        <v>0</v>
      </c>
      <c r="Q27" s="85">
        <f t="shared" si="30"/>
        <v>0</v>
      </c>
      <c r="R27" s="47"/>
      <c r="S27" s="47">
        <f t="shared" si="43"/>
        <v>0</v>
      </c>
      <c r="T27" s="47"/>
      <c r="U27" s="47"/>
      <c r="V27" s="179">
        <f t="shared" si="37"/>
        <v>0</v>
      </c>
      <c r="W27" s="179">
        <f t="shared" si="38"/>
        <v>0</v>
      </c>
      <c r="X27" s="179">
        <f t="shared" si="39"/>
        <v>0</v>
      </c>
      <c r="Y27" s="179">
        <f t="shared" si="40"/>
        <v>0</v>
      </c>
      <c r="Z27" s="47">
        <v>0</v>
      </c>
      <c r="AA27" s="179">
        <f t="shared" si="31"/>
        <v>0</v>
      </c>
      <c r="AB27" s="47">
        <v>0</v>
      </c>
      <c r="AC27" s="179">
        <f t="shared" si="2"/>
        <v>0</v>
      </c>
      <c r="AD27" s="47">
        <v>0</v>
      </c>
      <c r="AE27" s="179">
        <f t="shared" si="3"/>
        <v>0</v>
      </c>
      <c r="AF27" s="47">
        <v>0</v>
      </c>
      <c r="AG27" s="179">
        <f t="shared" si="4"/>
        <v>0</v>
      </c>
      <c r="AH27" s="47">
        <v>0</v>
      </c>
      <c r="AI27" s="179">
        <f t="shared" si="5"/>
        <v>0</v>
      </c>
      <c r="AJ27" s="47">
        <v>0</v>
      </c>
      <c r="AK27" s="179">
        <f t="shared" si="6"/>
        <v>0</v>
      </c>
      <c r="AL27" s="47">
        <v>0</v>
      </c>
      <c r="AM27" s="179">
        <f t="shared" si="7"/>
        <v>0</v>
      </c>
      <c r="AN27" s="47">
        <v>0</v>
      </c>
      <c r="AO27" s="179">
        <f t="shared" si="8"/>
        <v>0</v>
      </c>
      <c r="AP27" s="47">
        <v>0</v>
      </c>
      <c r="AQ27" s="179">
        <f t="shared" si="9"/>
        <v>0</v>
      </c>
      <c r="AR27" s="47">
        <v>0</v>
      </c>
      <c r="AS27" s="179">
        <f t="shared" si="10"/>
        <v>0</v>
      </c>
      <c r="AT27" s="47">
        <v>0</v>
      </c>
      <c r="AU27" s="179">
        <f t="shared" si="11"/>
        <v>0</v>
      </c>
      <c r="AV27" s="47">
        <v>0</v>
      </c>
      <c r="AW27" s="179">
        <f t="shared" si="12"/>
        <v>0</v>
      </c>
      <c r="AX27" s="47">
        <v>0</v>
      </c>
      <c r="AY27" s="179">
        <f t="shared" si="13"/>
        <v>0</v>
      </c>
      <c r="AZ27" s="47">
        <v>0</v>
      </c>
      <c r="BA27" s="179">
        <f t="shared" si="14"/>
        <v>0</v>
      </c>
      <c r="BB27" s="47">
        <v>0</v>
      </c>
      <c r="BC27" s="179">
        <f t="shared" si="15"/>
        <v>0</v>
      </c>
      <c r="BD27" s="47">
        <v>0</v>
      </c>
      <c r="BE27" s="179">
        <f t="shared" si="16"/>
        <v>0</v>
      </c>
      <c r="BF27" s="47">
        <v>0</v>
      </c>
      <c r="BG27" s="179">
        <f t="shared" si="17"/>
        <v>0</v>
      </c>
      <c r="BH27" s="47">
        <v>0</v>
      </c>
      <c r="BI27" s="179">
        <f t="shared" si="32"/>
        <v>0</v>
      </c>
      <c r="BJ27" s="47">
        <f t="shared" si="33"/>
        <v>0</v>
      </c>
      <c r="BK27" s="117">
        <f t="shared" si="33"/>
        <v>0</v>
      </c>
      <c r="BL27" s="335" t="s">
        <v>467</v>
      </c>
      <c r="BN27" s="113"/>
      <c r="BO27" s="113"/>
      <c r="BP27" s="113">
        <f t="shared" si="34"/>
        <v>0</v>
      </c>
      <c r="BQ27" s="113"/>
      <c r="BR27" s="113">
        <f t="shared" si="41"/>
        <v>0</v>
      </c>
      <c r="BS27" s="113"/>
      <c r="BT27" s="113"/>
      <c r="BU27" s="124">
        <f t="shared" si="42"/>
        <v>0</v>
      </c>
      <c r="BV27" s="179">
        <f t="shared" si="0"/>
        <v>0</v>
      </c>
    </row>
    <row r="28" spans="1:74" ht="46.5" customHeight="1" x14ac:dyDescent="0.25">
      <c r="A28" s="1023"/>
      <c r="B28" s="38">
        <v>41209</v>
      </c>
      <c r="C28" s="38" t="s">
        <v>254</v>
      </c>
      <c r="D28" s="38" t="s">
        <v>208</v>
      </c>
      <c r="E28" s="365">
        <f>0.035*100000</f>
        <v>3500.0000000000005</v>
      </c>
      <c r="F28" s="38">
        <f t="shared" si="21"/>
        <v>6</v>
      </c>
      <c r="G28" s="427">
        <f t="shared" si="22"/>
        <v>21000.000000000004</v>
      </c>
      <c r="H28" s="427">
        <f t="shared" si="35"/>
        <v>4200.0000000000009</v>
      </c>
      <c r="I28" s="427">
        <f t="shared" si="36"/>
        <v>16800.000000000004</v>
      </c>
      <c r="J28" s="427">
        <f t="shared" si="23"/>
        <v>0</v>
      </c>
      <c r="K28" s="427">
        <f t="shared" si="24"/>
        <v>0</v>
      </c>
      <c r="L28" s="427">
        <f t="shared" si="25"/>
        <v>0</v>
      </c>
      <c r="M28" s="427">
        <f t="shared" si="26"/>
        <v>0</v>
      </c>
      <c r="N28" s="427">
        <f t="shared" si="27"/>
        <v>0</v>
      </c>
      <c r="O28" s="85">
        <f t="shared" si="28"/>
        <v>0</v>
      </c>
      <c r="P28" s="85">
        <f t="shared" si="29"/>
        <v>0</v>
      </c>
      <c r="Q28" s="85">
        <f t="shared" si="30"/>
        <v>0</v>
      </c>
      <c r="R28" s="47"/>
      <c r="S28" s="47">
        <f t="shared" si="43"/>
        <v>6</v>
      </c>
      <c r="T28" s="47"/>
      <c r="U28" s="47"/>
      <c r="V28" s="179">
        <f t="shared" si="37"/>
        <v>0</v>
      </c>
      <c r="W28" s="179">
        <f t="shared" si="38"/>
        <v>21000.000000000004</v>
      </c>
      <c r="X28" s="179">
        <f t="shared" si="39"/>
        <v>0</v>
      </c>
      <c r="Y28" s="179">
        <f t="shared" si="40"/>
        <v>0</v>
      </c>
      <c r="Z28" s="47">
        <v>0</v>
      </c>
      <c r="AA28" s="179">
        <f t="shared" si="31"/>
        <v>0</v>
      </c>
      <c r="AB28" s="47">
        <v>0</v>
      </c>
      <c r="AC28" s="179">
        <f t="shared" si="2"/>
        <v>0</v>
      </c>
      <c r="AD28" s="47">
        <v>0</v>
      </c>
      <c r="AE28" s="179">
        <f t="shared" si="3"/>
        <v>0</v>
      </c>
      <c r="AF28" s="47">
        <v>0</v>
      </c>
      <c r="AG28" s="179">
        <f t="shared" si="4"/>
        <v>0</v>
      </c>
      <c r="AH28" s="47">
        <v>0</v>
      </c>
      <c r="AI28" s="179">
        <f t="shared" si="5"/>
        <v>0</v>
      </c>
      <c r="AJ28" s="47">
        <v>0</v>
      </c>
      <c r="AK28" s="179">
        <f t="shared" si="6"/>
        <v>0</v>
      </c>
      <c r="AL28" s="47">
        <v>0</v>
      </c>
      <c r="AM28" s="179">
        <f t="shared" si="7"/>
        <v>0</v>
      </c>
      <c r="AN28" s="47">
        <v>0</v>
      </c>
      <c r="AO28" s="179">
        <f t="shared" si="8"/>
        <v>0</v>
      </c>
      <c r="AP28" s="47">
        <v>0</v>
      </c>
      <c r="AQ28" s="179">
        <f t="shared" si="9"/>
        <v>0</v>
      </c>
      <c r="AR28" s="47">
        <v>0</v>
      </c>
      <c r="AS28" s="179">
        <f t="shared" si="10"/>
        <v>0</v>
      </c>
      <c r="AT28" s="47">
        <v>0</v>
      </c>
      <c r="AU28" s="179">
        <f t="shared" si="11"/>
        <v>0</v>
      </c>
      <c r="AV28" s="47">
        <v>0</v>
      </c>
      <c r="AW28" s="179">
        <f t="shared" si="12"/>
        <v>0</v>
      </c>
      <c r="AX28" s="47">
        <v>0</v>
      </c>
      <c r="AY28" s="179">
        <f t="shared" si="13"/>
        <v>0</v>
      </c>
      <c r="AZ28" s="47">
        <v>0</v>
      </c>
      <c r="BA28" s="179">
        <f t="shared" si="14"/>
        <v>0</v>
      </c>
      <c r="BB28" s="47">
        <v>0</v>
      </c>
      <c r="BC28" s="179">
        <f t="shared" si="15"/>
        <v>0</v>
      </c>
      <c r="BD28" s="47">
        <v>0</v>
      </c>
      <c r="BE28" s="179">
        <f t="shared" si="16"/>
        <v>0</v>
      </c>
      <c r="BF28" s="47">
        <v>0</v>
      </c>
      <c r="BG28" s="179">
        <f t="shared" si="17"/>
        <v>0</v>
      </c>
      <c r="BH28" s="47">
        <v>6</v>
      </c>
      <c r="BI28" s="179">
        <f t="shared" si="32"/>
        <v>21000.000000000004</v>
      </c>
      <c r="BJ28" s="47">
        <f t="shared" si="33"/>
        <v>6</v>
      </c>
      <c r="BK28" s="117">
        <f t="shared" si="33"/>
        <v>21000.000000000004</v>
      </c>
      <c r="BL28" s="335" t="s">
        <v>467</v>
      </c>
      <c r="BN28" s="113"/>
      <c r="BO28" s="113"/>
      <c r="BP28" s="113">
        <f>G28</f>
        <v>21000.000000000004</v>
      </c>
      <c r="BQ28" s="113"/>
      <c r="BR28" s="113">
        <f t="shared" si="41"/>
        <v>21000.000000000004</v>
      </c>
      <c r="BS28" s="113"/>
      <c r="BT28" s="113"/>
      <c r="BU28" s="124">
        <f t="shared" si="42"/>
        <v>0</v>
      </c>
      <c r="BV28" s="179">
        <f t="shared" si="0"/>
        <v>21000.000000000004</v>
      </c>
    </row>
    <row r="29" spans="1:74" x14ac:dyDescent="0.25">
      <c r="A29" s="1023"/>
      <c r="B29" s="38">
        <v>41210</v>
      </c>
      <c r="C29" s="636" t="s">
        <v>255</v>
      </c>
      <c r="D29" s="38" t="s">
        <v>208</v>
      </c>
      <c r="E29" s="693">
        <f>1000000</f>
        <v>1000000</v>
      </c>
      <c r="F29" s="685">
        <f>BJ29</f>
        <v>0</v>
      </c>
      <c r="G29" s="427">
        <f t="shared" si="22"/>
        <v>0</v>
      </c>
      <c r="H29" s="427">
        <f t="shared" si="35"/>
        <v>0</v>
      </c>
      <c r="I29" s="427">
        <f t="shared" si="36"/>
        <v>0</v>
      </c>
      <c r="J29" s="427">
        <f t="shared" si="23"/>
        <v>0</v>
      </c>
      <c r="K29" s="427">
        <f t="shared" si="24"/>
        <v>0</v>
      </c>
      <c r="L29" s="427">
        <f t="shared" si="25"/>
        <v>0</v>
      </c>
      <c r="M29" s="427">
        <f t="shared" si="26"/>
        <v>0</v>
      </c>
      <c r="N29" s="427">
        <f t="shared" si="27"/>
        <v>0</v>
      </c>
      <c r="O29" s="85">
        <f t="shared" si="28"/>
        <v>0</v>
      </c>
      <c r="P29" s="85">
        <f t="shared" si="29"/>
        <v>0</v>
      </c>
      <c r="Q29" s="85">
        <f t="shared" si="30"/>
        <v>0</v>
      </c>
      <c r="R29" s="47"/>
      <c r="S29" s="47">
        <f t="shared" si="43"/>
        <v>0</v>
      </c>
      <c r="T29" s="47"/>
      <c r="U29" s="47"/>
      <c r="V29" s="179">
        <f t="shared" si="37"/>
        <v>0</v>
      </c>
      <c r="W29" s="179">
        <f t="shared" si="38"/>
        <v>0</v>
      </c>
      <c r="X29" s="179">
        <f t="shared" si="39"/>
        <v>0</v>
      </c>
      <c r="Y29" s="179">
        <f t="shared" si="40"/>
        <v>0</v>
      </c>
      <c r="Z29" s="47">
        <v>0</v>
      </c>
      <c r="AA29" s="179">
        <f t="shared" si="31"/>
        <v>0</v>
      </c>
      <c r="AB29" s="47">
        <v>0</v>
      </c>
      <c r="AC29" s="179">
        <f t="shared" si="2"/>
        <v>0</v>
      </c>
      <c r="AD29" s="47">
        <v>0</v>
      </c>
      <c r="AE29" s="179">
        <f t="shared" si="3"/>
        <v>0</v>
      </c>
      <c r="AF29" s="47">
        <v>0</v>
      </c>
      <c r="AG29" s="179">
        <f t="shared" si="4"/>
        <v>0</v>
      </c>
      <c r="AH29" s="47">
        <v>0</v>
      </c>
      <c r="AI29" s="179">
        <f t="shared" si="5"/>
        <v>0</v>
      </c>
      <c r="AJ29" s="47">
        <v>0</v>
      </c>
      <c r="AK29" s="179">
        <f t="shared" si="6"/>
        <v>0</v>
      </c>
      <c r="AL29" s="47">
        <v>0</v>
      </c>
      <c r="AM29" s="179">
        <f t="shared" si="7"/>
        <v>0</v>
      </c>
      <c r="AN29" s="47">
        <v>0</v>
      </c>
      <c r="AO29" s="179">
        <f t="shared" si="8"/>
        <v>0</v>
      </c>
      <c r="AP29" s="47">
        <v>0</v>
      </c>
      <c r="AQ29" s="179">
        <f t="shared" si="9"/>
        <v>0</v>
      </c>
      <c r="AR29" s="47">
        <v>0</v>
      </c>
      <c r="AS29" s="179">
        <f t="shared" si="10"/>
        <v>0</v>
      </c>
      <c r="AT29" s="47">
        <v>0</v>
      </c>
      <c r="AU29" s="179">
        <f t="shared" si="11"/>
        <v>0</v>
      </c>
      <c r="AV29" s="47">
        <v>0</v>
      </c>
      <c r="AW29" s="179">
        <f t="shared" si="12"/>
        <v>0</v>
      </c>
      <c r="AX29" s="47">
        <v>0</v>
      </c>
      <c r="AY29" s="179">
        <f t="shared" si="13"/>
        <v>0</v>
      </c>
      <c r="AZ29" s="47">
        <v>0</v>
      </c>
      <c r="BA29" s="179">
        <f t="shared" si="14"/>
        <v>0</v>
      </c>
      <c r="BB29" s="47">
        <v>0</v>
      </c>
      <c r="BC29" s="179">
        <f t="shared" si="15"/>
        <v>0</v>
      </c>
      <c r="BD29" s="47">
        <v>0</v>
      </c>
      <c r="BE29" s="179">
        <f t="shared" si="16"/>
        <v>0</v>
      </c>
      <c r="BF29" s="47">
        <v>0</v>
      </c>
      <c r="BG29" s="179">
        <f t="shared" si="17"/>
        <v>0</v>
      </c>
      <c r="BH29" s="47">
        <v>0</v>
      </c>
      <c r="BI29" s="179">
        <f t="shared" si="32"/>
        <v>0</v>
      </c>
      <c r="BJ29" s="47">
        <f t="shared" si="33"/>
        <v>0</v>
      </c>
      <c r="BK29" s="117">
        <f t="shared" si="33"/>
        <v>0</v>
      </c>
      <c r="BL29" s="335" t="s">
        <v>467</v>
      </c>
      <c r="BN29" s="113"/>
      <c r="BO29" s="113"/>
      <c r="BP29" s="113">
        <f t="shared" ref="BP29:BP43" si="44">G29</f>
        <v>0</v>
      </c>
      <c r="BQ29" s="113"/>
      <c r="BR29" s="113">
        <f t="shared" si="41"/>
        <v>0</v>
      </c>
      <c r="BS29" s="113"/>
      <c r="BT29" s="113"/>
      <c r="BU29" s="124">
        <f t="shared" si="42"/>
        <v>0</v>
      </c>
      <c r="BV29" s="179">
        <f t="shared" si="0"/>
        <v>0</v>
      </c>
    </row>
    <row r="30" spans="1:74" ht="31.5" x14ac:dyDescent="0.25">
      <c r="A30" s="1023"/>
      <c r="B30" s="38">
        <v>41211</v>
      </c>
      <c r="C30" s="38" t="s">
        <v>769</v>
      </c>
      <c r="D30" s="38" t="s">
        <v>150</v>
      </c>
      <c r="E30" s="365">
        <v>100000</v>
      </c>
      <c r="F30" s="38">
        <f t="shared" si="21"/>
        <v>1</v>
      </c>
      <c r="G30" s="427">
        <f t="shared" si="22"/>
        <v>100000</v>
      </c>
      <c r="H30" s="427">
        <f t="shared" si="35"/>
        <v>20000</v>
      </c>
      <c r="I30" s="427">
        <f t="shared" si="36"/>
        <v>80000</v>
      </c>
      <c r="J30" s="427">
        <f t="shared" si="23"/>
        <v>0</v>
      </c>
      <c r="K30" s="427">
        <f t="shared" si="24"/>
        <v>0</v>
      </c>
      <c r="L30" s="427">
        <f t="shared" si="25"/>
        <v>0</v>
      </c>
      <c r="M30" s="427">
        <f t="shared" si="26"/>
        <v>0</v>
      </c>
      <c r="N30" s="427">
        <f t="shared" si="27"/>
        <v>0</v>
      </c>
      <c r="O30" s="85">
        <f t="shared" si="28"/>
        <v>0</v>
      </c>
      <c r="P30" s="85">
        <f t="shared" si="29"/>
        <v>0</v>
      </c>
      <c r="Q30" s="85">
        <f t="shared" si="30"/>
        <v>0</v>
      </c>
      <c r="R30" s="47"/>
      <c r="S30" s="47">
        <f t="shared" si="43"/>
        <v>1</v>
      </c>
      <c r="T30" s="47"/>
      <c r="U30" s="47"/>
      <c r="V30" s="179">
        <f t="shared" si="37"/>
        <v>0</v>
      </c>
      <c r="W30" s="179">
        <f t="shared" si="38"/>
        <v>100000</v>
      </c>
      <c r="X30" s="179">
        <f t="shared" si="39"/>
        <v>0</v>
      </c>
      <c r="Y30" s="179">
        <f t="shared" si="40"/>
        <v>0</v>
      </c>
      <c r="Z30" s="47">
        <v>0</v>
      </c>
      <c r="AA30" s="179">
        <f t="shared" si="31"/>
        <v>0</v>
      </c>
      <c r="AB30" s="47">
        <v>0</v>
      </c>
      <c r="AC30" s="179">
        <f t="shared" si="2"/>
        <v>0</v>
      </c>
      <c r="AD30" s="47">
        <v>0</v>
      </c>
      <c r="AE30" s="179">
        <f t="shared" si="3"/>
        <v>0</v>
      </c>
      <c r="AF30" s="47">
        <v>0</v>
      </c>
      <c r="AG30" s="179">
        <f t="shared" si="4"/>
        <v>0</v>
      </c>
      <c r="AH30" s="47">
        <v>0</v>
      </c>
      <c r="AI30" s="179">
        <f t="shared" si="5"/>
        <v>0</v>
      </c>
      <c r="AJ30" s="47">
        <v>0</v>
      </c>
      <c r="AK30" s="179">
        <f t="shared" si="6"/>
        <v>0</v>
      </c>
      <c r="AL30" s="47">
        <v>0</v>
      </c>
      <c r="AM30" s="179">
        <f t="shared" si="7"/>
        <v>0</v>
      </c>
      <c r="AN30" s="47">
        <v>0</v>
      </c>
      <c r="AO30" s="179">
        <f t="shared" si="8"/>
        <v>0</v>
      </c>
      <c r="AP30" s="47">
        <v>0</v>
      </c>
      <c r="AQ30" s="179">
        <f t="shared" si="9"/>
        <v>0</v>
      </c>
      <c r="AR30" s="47">
        <v>0</v>
      </c>
      <c r="AS30" s="179">
        <f t="shared" si="10"/>
        <v>0</v>
      </c>
      <c r="AT30" s="47">
        <v>0</v>
      </c>
      <c r="AU30" s="179">
        <f t="shared" si="11"/>
        <v>0</v>
      </c>
      <c r="AV30" s="47">
        <v>0</v>
      </c>
      <c r="AW30" s="179">
        <f t="shared" si="12"/>
        <v>0</v>
      </c>
      <c r="AX30" s="47">
        <v>0</v>
      </c>
      <c r="AY30" s="179">
        <f t="shared" si="13"/>
        <v>0</v>
      </c>
      <c r="AZ30" s="47">
        <v>0</v>
      </c>
      <c r="BA30" s="179">
        <f t="shared" si="14"/>
        <v>0</v>
      </c>
      <c r="BB30" s="47">
        <v>0</v>
      </c>
      <c r="BC30" s="179">
        <f t="shared" si="15"/>
        <v>0</v>
      </c>
      <c r="BD30" s="47">
        <v>0</v>
      </c>
      <c r="BE30" s="179">
        <f t="shared" si="16"/>
        <v>0</v>
      </c>
      <c r="BF30" s="47">
        <v>0</v>
      </c>
      <c r="BG30" s="179">
        <f t="shared" si="17"/>
        <v>0</v>
      </c>
      <c r="BH30" s="47">
        <v>1</v>
      </c>
      <c r="BI30" s="179">
        <f t="shared" si="32"/>
        <v>100000</v>
      </c>
      <c r="BJ30" s="47">
        <f t="shared" si="33"/>
        <v>1</v>
      </c>
      <c r="BK30" s="117">
        <f t="shared" si="33"/>
        <v>100000</v>
      </c>
      <c r="BL30" s="335" t="s">
        <v>467</v>
      </c>
      <c r="BN30" s="113"/>
      <c r="BO30" s="113"/>
      <c r="BP30" s="113">
        <f t="shared" si="44"/>
        <v>100000</v>
      </c>
      <c r="BQ30" s="113"/>
      <c r="BR30" s="113">
        <f t="shared" si="41"/>
        <v>100000</v>
      </c>
      <c r="BS30" s="113"/>
      <c r="BT30" s="113"/>
      <c r="BU30" s="124">
        <f t="shared" si="42"/>
        <v>0</v>
      </c>
      <c r="BV30" s="179">
        <f t="shared" si="0"/>
        <v>100000</v>
      </c>
    </row>
    <row r="31" spans="1:74" x14ac:dyDescent="0.25">
      <c r="A31" s="1023"/>
      <c r="B31" s="38">
        <v>41212</v>
      </c>
      <c r="C31" s="38" t="s">
        <v>257</v>
      </c>
      <c r="D31" s="38" t="s">
        <v>208</v>
      </c>
      <c r="E31" s="365">
        <v>75000</v>
      </c>
      <c r="F31" s="38">
        <f t="shared" si="21"/>
        <v>1</v>
      </c>
      <c r="G31" s="427">
        <f t="shared" si="22"/>
        <v>75000</v>
      </c>
      <c r="H31" s="427">
        <f t="shared" si="35"/>
        <v>15000</v>
      </c>
      <c r="I31" s="427">
        <f t="shared" si="36"/>
        <v>60000</v>
      </c>
      <c r="J31" s="427">
        <f t="shared" si="23"/>
        <v>0</v>
      </c>
      <c r="K31" s="427">
        <f t="shared" si="24"/>
        <v>0</v>
      </c>
      <c r="L31" s="427">
        <f t="shared" si="25"/>
        <v>0</v>
      </c>
      <c r="M31" s="427">
        <f t="shared" si="26"/>
        <v>0</v>
      </c>
      <c r="N31" s="427">
        <f t="shared" si="27"/>
        <v>0</v>
      </c>
      <c r="O31" s="85">
        <f t="shared" si="28"/>
        <v>0</v>
      </c>
      <c r="P31" s="85">
        <f t="shared" si="29"/>
        <v>0</v>
      </c>
      <c r="Q31" s="85">
        <f t="shared" si="30"/>
        <v>0</v>
      </c>
      <c r="R31" s="47"/>
      <c r="S31" s="47">
        <f t="shared" si="43"/>
        <v>1</v>
      </c>
      <c r="T31" s="47"/>
      <c r="U31" s="47"/>
      <c r="V31" s="179">
        <f t="shared" si="37"/>
        <v>0</v>
      </c>
      <c r="W31" s="179">
        <f t="shared" si="38"/>
        <v>75000</v>
      </c>
      <c r="X31" s="179">
        <f t="shared" si="39"/>
        <v>0</v>
      </c>
      <c r="Y31" s="179">
        <f t="shared" si="40"/>
        <v>0</v>
      </c>
      <c r="Z31" s="47">
        <v>0</v>
      </c>
      <c r="AA31" s="179">
        <f t="shared" si="31"/>
        <v>0</v>
      </c>
      <c r="AB31" s="47">
        <v>0</v>
      </c>
      <c r="AC31" s="179">
        <f t="shared" si="2"/>
        <v>0</v>
      </c>
      <c r="AD31" s="47">
        <v>0</v>
      </c>
      <c r="AE31" s="179">
        <f t="shared" si="3"/>
        <v>0</v>
      </c>
      <c r="AF31" s="47">
        <v>0</v>
      </c>
      <c r="AG31" s="179">
        <f t="shared" si="4"/>
        <v>0</v>
      </c>
      <c r="AH31" s="47">
        <v>0</v>
      </c>
      <c r="AI31" s="179">
        <f t="shared" si="5"/>
        <v>0</v>
      </c>
      <c r="AJ31" s="47">
        <v>0</v>
      </c>
      <c r="AK31" s="179">
        <f t="shared" si="6"/>
        <v>0</v>
      </c>
      <c r="AL31" s="47">
        <v>0</v>
      </c>
      <c r="AM31" s="179">
        <f t="shared" si="7"/>
        <v>0</v>
      </c>
      <c r="AN31" s="47">
        <v>0</v>
      </c>
      <c r="AO31" s="179">
        <f t="shared" si="8"/>
        <v>0</v>
      </c>
      <c r="AP31" s="47">
        <v>0</v>
      </c>
      <c r="AQ31" s="179">
        <f t="shared" si="9"/>
        <v>0</v>
      </c>
      <c r="AR31" s="47">
        <v>0</v>
      </c>
      <c r="AS31" s="179">
        <f t="shared" si="10"/>
        <v>0</v>
      </c>
      <c r="AT31" s="47">
        <v>0</v>
      </c>
      <c r="AU31" s="179">
        <f t="shared" si="11"/>
        <v>0</v>
      </c>
      <c r="AV31" s="47">
        <v>0</v>
      </c>
      <c r="AW31" s="179">
        <f t="shared" si="12"/>
        <v>0</v>
      </c>
      <c r="AX31" s="47">
        <v>0</v>
      </c>
      <c r="AY31" s="179">
        <f t="shared" si="13"/>
        <v>0</v>
      </c>
      <c r="AZ31" s="47">
        <v>0</v>
      </c>
      <c r="BA31" s="179">
        <f t="shared" si="14"/>
        <v>0</v>
      </c>
      <c r="BB31" s="47">
        <v>0</v>
      </c>
      <c r="BC31" s="179">
        <f t="shared" si="15"/>
        <v>0</v>
      </c>
      <c r="BD31" s="47">
        <v>0</v>
      </c>
      <c r="BE31" s="179">
        <f t="shared" si="16"/>
        <v>0</v>
      </c>
      <c r="BF31" s="47">
        <v>0</v>
      </c>
      <c r="BG31" s="179">
        <f t="shared" si="17"/>
        <v>0</v>
      </c>
      <c r="BH31" s="47">
        <v>1</v>
      </c>
      <c r="BI31" s="179">
        <f t="shared" si="32"/>
        <v>75000</v>
      </c>
      <c r="BJ31" s="47">
        <f t="shared" si="33"/>
        <v>1</v>
      </c>
      <c r="BK31" s="117">
        <f t="shared" si="33"/>
        <v>75000</v>
      </c>
      <c r="BL31" s="335" t="s">
        <v>467</v>
      </c>
      <c r="BN31" s="113"/>
      <c r="BO31" s="113"/>
      <c r="BP31" s="113">
        <f t="shared" si="44"/>
        <v>75000</v>
      </c>
      <c r="BQ31" s="113"/>
      <c r="BR31" s="113">
        <f t="shared" si="41"/>
        <v>75000</v>
      </c>
      <c r="BS31" s="113"/>
      <c r="BT31" s="113"/>
      <c r="BU31" s="124">
        <f t="shared" si="42"/>
        <v>0</v>
      </c>
      <c r="BV31" s="179">
        <f t="shared" si="0"/>
        <v>75000</v>
      </c>
    </row>
    <row r="32" spans="1:74" x14ac:dyDescent="0.25">
      <c r="A32" s="1023"/>
      <c r="B32" s="38">
        <v>41213</v>
      </c>
      <c r="C32" s="38" t="s">
        <v>258</v>
      </c>
      <c r="D32" s="38" t="s">
        <v>208</v>
      </c>
      <c r="E32" s="365">
        <v>30000</v>
      </c>
      <c r="F32" s="38">
        <f t="shared" si="21"/>
        <v>1</v>
      </c>
      <c r="G32" s="427">
        <f t="shared" si="22"/>
        <v>30000</v>
      </c>
      <c r="H32" s="427">
        <f t="shared" si="35"/>
        <v>6000</v>
      </c>
      <c r="I32" s="427">
        <f t="shared" si="36"/>
        <v>24000</v>
      </c>
      <c r="J32" s="427">
        <f t="shared" si="23"/>
        <v>0</v>
      </c>
      <c r="K32" s="427">
        <f t="shared" si="24"/>
        <v>0</v>
      </c>
      <c r="L32" s="427">
        <f t="shared" si="25"/>
        <v>0</v>
      </c>
      <c r="M32" s="427">
        <f t="shared" si="26"/>
        <v>0</v>
      </c>
      <c r="N32" s="427">
        <f t="shared" si="27"/>
        <v>0</v>
      </c>
      <c r="O32" s="85">
        <f t="shared" si="28"/>
        <v>0</v>
      </c>
      <c r="P32" s="85">
        <f t="shared" si="29"/>
        <v>0</v>
      </c>
      <c r="Q32" s="85">
        <f t="shared" si="30"/>
        <v>0</v>
      </c>
      <c r="R32" s="47"/>
      <c r="S32" s="47">
        <f t="shared" si="43"/>
        <v>1</v>
      </c>
      <c r="T32" s="47"/>
      <c r="U32" s="47"/>
      <c r="V32" s="179">
        <f t="shared" si="37"/>
        <v>0</v>
      </c>
      <c r="W32" s="179">
        <f t="shared" si="38"/>
        <v>30000</v>
      </c>
      <c r="X32" s="179">
        <f t="shared" si="39"/>
        <v>0</v>
      </c>
      <c r="Y32" s="179">
        <f t="shared" si="40"/>
        <v>0</v>
      </c>
      <c r="Z32" s="47">
        <v>0</v>
      </c>
      <c r="AA32" s="179">
        <f t="shared" si="31"/>
        <v>0</v>
      </c>
      <c r="AB32" s="47">
        <v>0</v>
      </c>
      <c r="AC32" s="179">
        <f t="shared" si="2"/>
        <v>0</v>
      </c>
      <c r="AD32" s="47">
        <v>0</v>
      </c>
      <c r="AE32" s="179">
        <f t="shared" si="3"/>
        <v>0</v>
      </c>
      <c r="AF32" s="47">
        <v>0</v>
      </c>
      <c r="AG32" s="179">
        <f t="shared" si="4"/>
        <v>0</v>
      </c>
      <c r="AH32" s="47">
        <v>0</v>
      </c>
      <c r="AI32" s="179">
        <f t="shared" si="5"/>
        <v>0</v>
      </c>
      <c r="AJ32" s="47">
        <v>0</v>
      </c>
      <c r="AK32" s="179">
        <f t="shared" si="6"/>
        <v>0</v>
      </c>
      <c r="AL32" s="47">
        <v>0</v>
      </c>
      <c r="AM32" s="179">
        <f t="shared" si="7"/>
        <v>0</v>
      </c>
      <c r="AN32" s="47">
        <v>0</v>
      </c>
      <c r="AO32" s="179">
        <f t="shared" si="8"/>
        <v>0</v>
      </c>
      <c r="AP32" s="47">
        <v>0</v>
      </c>
      <c r="AQ32" s="179">
        <f t="shared" si="9"/>
        <v>0</v>
      </c>
      <c r="AR32" s="47">
        <v>0</v>
      </c>
      <c r="AS32" s="179">
        <f t="shared" si="10"/>
        <v>0</v>
      </c>
      <c r="AT32" s="47">
        <v>0</v>
      </c>
      <c r="AU32" s="179">
        <f t="shared" si="11"/>
        <v>0</v>
      </c>
      <c r="AV32" s="47">
        <v>0</v>
      </c>
      <c r="AW32" s="179">
        <f t="shared" si="12"/>
        <v>0</v>
      </c>
      <c r="AX32" s="47">
        <v>0</v>
      </c>
      <c r="AY32" s="179">
        <f t="shared" si="13"/>
        <v>0</v>
      </c>
      <c r="AZ32" s="47">
        <v>0</v>
      </c>
      <c r="BA32" s="179">
        <f t="shared" si="14"/>
        <v>0</v>
      </c>
      <c r="BB32" s="47">
        <v>0</v>
      </c>
      <c r="BC32" s="179">
        <f t="shared" si="15"/>
        <v>0</v>
      </c>
      <c r="BD32" s="47">
        <v>0</v>
      </c>
      <c r="BE32" s="179">
        <f t="shared" si="16"/>
        <v>0</v>
      </c>
      <c r="BF32" s="47">
        <v>0</v>
      </c>
      <c r="BG32" s="179">
        <f t="shared" si="17"/>
        <v>0</v>
      </c>
      <c r="BH32" s="47">
        <v>1</v>
      </c>
      <c r="BI32" s="179">
        <f t="shared" si="32"/>
        <v>30000</v>
      </c>
      <c r="BJ32" s="47">
        <f t="shared" si="33"/>
        <v>1</v>
      </c>
      <c r="BK32" s="117">
        <f t="shared" si="33"/>
        <v>30000</v>
      </c>
      <c r="BL32" s="335" t="s">
        <v>467</v>
      </c>
      <c r="BN32" s="113"/>
      <c r="BO32" s="113"/>
      <c r="BP32" s="113">
        <f t="shared" si="44"/>
        <v>30000</v>
      </c>
      <c r="BQ32" s="113"/>
      <c r="BR32" s="113">
        <f t="shared" si="41"/>
        <v>30000</v>
      </c>
      <c r="BS32" s="113"/>
      <c r="BT32" s="113"/>
      <c r="BU32" s="124">
        <f t="shared" si="42"/>
        <v>0</v>
      </c>
      <c r="BV32" s="179">
        <f t="shared" si="0"/>
        <v>30000</v>
      </c>
    </row>
    <row r="33" spans="1:74" x14ac:dyDescent="0.25">
      <c r="A33" s="1023"/>
      <c r="B33" s="38">
        <v>41214</v>
      </c>
      <c r="C33" s="38" t="s">
        <v>259</v>
      </c>
      <c r="D33" s="38" t="s">
        <v>208</v>
      </c>
      <c r="E33" s="365">
        <f>0.15*100000</f>
        <v>15000</v>
      </c>
      <c r="F33" s="38">
        <f t="shared" si="21"/>
        <v>0</v>
      </c>
      <c r="G33" s="427">
        <f t="shared" si="22"/>
        <v>0</v>
      </c>
      <c r="H33" s="427">
        <f t="shared" si="35"/>
        <v>0</v>
      </c>
      <c r="I33" s="427">
        <f t="shared" si="36"/>
        <v>0</v>
      </c>
      <c r="J33" s="427">
        <f t="shared" si="23"/>
        <v>0</v>
      </c>
      <c r="K33" s="427">
        <f t="shared" si="24"/>
        <v>0</v>
      </c>
      <c r="L33" s="427">
        <f t="shared" si="25"/>
        <v>0</v>
      </c>
      <c r="M33" s="427">
        <f t="shared" si="26"/>
        <v>0</v>
      </c>
      <c r="N33" s="427">
        <f t="shared" si="27"/>
        <v>0</v>
      </c>
      <c r="O33" s="85">
        <f t="shared" si="28"/>
        <v>0</v>
      </c>
      <c r="P33" s="85">
        <f t="shared" si="29"/>
        <v>0</v>
      </c>
      <c r="Q33" s="85">
        <f t="shared" si="30"/>
        <v>0</v>
      </c>
      <c r="R33" s="47"/>
      <c r="S33" s="47">
        <f t="shared" si="43"/>
        <v>0</v>
      </c>
      <c r="T33" s="47"/>
      <c r="U33" s="47"/>
      <c r="V33" s="179">
        <f t="shared" si="37"/>
        <v>0</v>
      </c>
      <c r="W33" s="179">
        <f t="shared" si="38"/>
        <v>0</v>
      </c>
      <c r="X33" s="179">
        <f t="shared" si="39"/>
        <v>0</v>
      </c>
      <c r="Y33" s="179">
        <f t="shared" si="40"/>
        <v>0</v>
      </c>
      <c r="Z33" s="47">
        <v>0</v>
      </c>
      <c r="AA33" s="179">
        <f t="shared" si="31"/>
        <v>0</v>
      </c>
      <c r="AB33" s="47">
        <v>0</v>
      </c>
      <c r="AC33" s="179">
        <f t="shared" si="2"/>
        <v>0</v>
      </c>
      <c r="AD33" s="47">
        <v>0</v>
      </c>
      <c r="AE33" s="179">
        <f t="shared" si="3"/>
        <v>0</v>
      </c>
      <c r="AF33" s="47">
        <v>0</v>
      </c>
      <c r="AG33" s="179">
        <f t="shared" si="4"/>
        <v>0</v>
      </c>
      <c r="AH33" s="47">
        <v>0</v>
      </c>
      <c r="AI33" s="179">
        <f t="shared" si="5"/>
        <v>0</v>
      </c>
      <c r="AJ33" s="47">
        <v>0</v>
      </c>
      <c r="AK33" s="179">
        <f t="shared" si="6"/>
        <v>0</v>
      </c>
      <c r="AL33" s="47">
        <v>0</v>
      </c>
      <c r="AM33" s="179">
        <f t="shared" si="7"/>
        <v>0</v>
      </c>
      <c r="AN33" s="47">
        <v>0</v>
      </c>
      <c r="AO33" s="179">
        <f t="shared" si="8"/>
        <v>0</v>
      </c>
      <c r="AP33" s="47">
        <v>0</v>
      </c>
      <c r="AQ33" s="179">
        <f t="shared" si="9"/>
        <v>0</v>
      </c>
      <c r="AR33" s="47">
        <v>0</v>
      </c>
      <c r="AS33" s="179">
        <f t="shared" si="10"/>
        <v>0</v>
      </c>
      <c r="AT33" s="47">
        <v>0</v>
      </c>
      <c r="AU33" s="179">
        <f t="shared" si="11"/>
        <v>0</v>
      </c>
      <c r="AV33" s="47">
        <v>0</v>
      </c>
      <c r="AW33" s="179">
        <f t="shared" si="12"/>
        <v>0</v>
      </c>
      <c r="AX33" s="47">
        <v>0</v>
      </c>
      <c r="AY33" s="179">
        <f t="shared" si="13"/>
        <v>0</v>
      </c>
      <c r="AZ33" s="47">
        <v>0</v>
      </c>
      <c r="BA33" s="179">
        <f t="shared" si="14"/>
        <v>0</v>
      </c>
      <c r="BB33" s="47">
        <v>0</v>
      </c>
      <c r="BC33" s="179">
        <f t="shared" si="15"/>
        <v>0</v>
      </c>
      <c r="BD33" s="47">
        <v>0</v>
      </c>
      <c r="BE33" s="179">
        <f t="shared" si="16"/>
        <v>0</v>
      </c>
      <c r="BF33" s="47">
        <v>0</v>
      </c>
      <c r="BG33" s="179">
        <f t="shared" si="17"/>
        <v>0</v>
      </c>
      <c r="BH33" s="47">
        <v>0</v>
      </c>
      <c r="BI33" s="179">
        <f t="shared" si="32"/>
        <v>0</v>
      </c>
      <c r="BJ33" s="47">
        <f t="shared" si="33"/>
        <v>0</v>
      </c>
      <c r="BK33" s="117">
        <f t="shared" si="33"/>
        <v>0</v>
      </c>
      <c r="BL33" s="335" t="s">
        <v>467</v>
      </c>
      <c r="BN33" s="113"/>
      <c r="BO33" s="113"/>
      <c r="BP33" s="113">
        <f t="shared" si="44"/>
        <v>0</v>
      </c>
      <c r="BQ33" s="113"/>
      <c r="BR33" s="113">
        <f t="shared" si="41"/>
        <v>0</v>
      </c>
      <c r="BS33" s="113"/>
      <c r="BT33" s="113"/>
      <c r="BU33" s="124">
        <f t="shared" si="42"/>
        <v>0</v>
      </c>
      <c r="BV33" s="179">
        <f t="shared" si="0"/>
        <v>0</v>
      </c>
    </row>
    <row r="34" spans="1:74" ht="31.5" x14ac:dyDescent="0.25">
      <c r="A34" s="1023"/>
      <c r="B34" s="38">
        <v>41215</v>
      </c>
      <c r="C34" s="38" t="s">
        <v>260</v>
      </c>
      <c r="D34" s="38" t="s">
        <v>208</v>
      </c>
      <c r="E34" s="365">
        <f>3*100000</f>
        <v>300000</v>
      </c>
      <c r="F34" s="38">
        <f t="shared" si="21"/>
        <v>0</v>
      </c>
      <c r="G34" s="427">
        <f t="shared" si="22"/>
        <v>0</v>
      </c>
      <c r="H34" s="427">
        <f t="shared" si="35"/>
        <v>0</v>
      </c>
      <c r="I34" s="427">
        <f t="shared" si="36"/>
        <v>0</v>
      </c>
      <c r="J34" s="427">
        <f t="shared" si="23"/>
        <v>0</v>
      </c>
      <c r="K34" s="427">
        <f t="shared" si="24"/>
        <v>0</v>
      </c>
      <c r="L34" s="427">
        <f t="shared" si="25"/>
        <v>0</v>
      </c>
      <c r="M34" s="427">
        <f t="shared" si="26"/>
        <v>0</v>
      </c>
      <c r="N34" s="427">
        <f t="shared" si="27"/>
        <v>0</v>
      </c>
      <c r="O34" s="85">
        <f t="shared" si="28"/>
        <v>0</v>
      </c>
      <c r="P34" s="85">
        <f t="shared" si="29"/>
        <v>0</v>
      </c>
      <c r="Q34" s="85">
        <f t="shared" si="30"/>
        <v>0</v>
      </c>
      <c r="R34" s="47"/>
      <c r="S34" s="47">
        <f t="shared" si="43"/>
        <v>0</v>
      </c>
      <c r="T34" s="47"/>
      <c r="U34" s="47"/>
      <c r="V34" s="179">
        <f t="shared" si="37"/>
        <v>0</v>
      </c>
      <c r="W34" s="179">
        <f t="shared" si="38"/>
        <v>0</v>
      </c>
      <c r="X34" s="179">
        <f t="shared" si="39"/>
        <v>0</v>
      </c>
      <c r="Y34" s="179">
        <f t="shared" si="40"/>
        <v>0</v>
      </c>
      <c r="Z34" s="47">
        <v>0</v>
      </c>
      <c r="AA34" s="179">
        <f t="shared" si="31"/>
        <v>0</v>
      </c>
      <c r="AB34" s="47">
        <v>0</v>
      </c>
      <c r="AC34" s="179">
        <f t="shared" si="2"/>
        <v>0</v>
      </c>
      <c r="AD34" s="47">
        <v>0</v>
      </c>
      <c r="AE34" s="179">
        <f t="shared" si="3"/>
        <v>0</v>
      </c>
      <c r="AF34" s="47">
        <v>0</v>
      </c>
      <c r="AG34" s="179">
        <f t="shared" si="4"/>
        <v>0</v>
      </c>
      <c r="AH34" s="47">
        <v>0</v>
      </c>
      <c r="AI34" s="179">
        <f t="shared" si="5"/>
        <v>0</v>
      </c>
      <c r="AJ34" s="47">
        <v>0</v>
      </c>
      <c r="AK34" s="179">
        <f t="shared" si="6"/>
        <v>0</v>
      </c>
      <c r="AL34" s="47">
        <v>0</v>
      </c>
      <c r="AM34" s="179">
        <f t="shared" si="7"/>
        <v>0</v>
      </c>
      <c r="AN34" s="47">
        <v>0</v>
      </c>
      <c r="AO34" s="179">
        <f t="shared" si="8"/>
        <v>0</v>
      </c>
      <c r="AP34" s="47">
        <v>0</v>
      </c>
      <c r="AQ34" s="179">
        <f t="shared" si="9"/>
        <v>0</v>
      </c>
      <c r="AR34" s="47">
        <v>0</v>
      </c>
      <c r="AS34" s="179">
        <f t="shared" si="10"/>
        <v>0</v>
      </c>
      <c r="AT34" s="47">
        <v>0</v>
      </c>
      <c r="AU34" s="179">
        <f t="shared" si="11"/>
        <v>0</v>
      </c>
      <c r="AV34" s="47">
        <v>0</v>
      </c>
      <c r="AW34" s="179">
        <f t="shared" si="12"/>
        <v>0</v>
      </c>
      <c r="AX34" s="47">
        <v>0</v>
      </c>
      <c r="AY34" s="179">
        <f t="shared" si="13"/>
        <v>0</v>
      </c>
      <c r="AZ34" s="47">
        <v>0</v>
      </c>
      <c r="BA34" s="179">
        <f t="shared" si="14"/>
        <v>0</v>
      </c>
      <c r="BB34" s="47">
        <v>0</v>
      </c>
      <c r="BC34" s="179">
        <f t="shared" si="15"/>
        <v>0</v>
      </c>
      <c r="BD34" s="47">
        <v>0</v>
      </c>
      <c r="BE34" s="179">
        <f t="shared" si="16"/>
        <v>0</v>
      </c>
      <c r="BF34" s="47">
        <v>0</v>
      </c>
      <c r="BG34" s="179">
        <f t="shared" si="17"/>
        <v>0</v>
      </c>
      <c r="BH34" s="47">
        <v>0</v>
      </c>
      <c r="BI34" s="179">
        <f t="shared" si="32"/>
        <v>0</v>
      </c>
      <c r="BJ34" s="47">
        <f t="shared" si="33"/>
        <v>0</v>
      </c>
      <c r="BK34" s="117">
        <f t="shared" si="33"/>
        <v>0</v>
      </c>
      <c r="BL34" s="335" t="s">
        <v>467</v>
      </c>
      <c r="BN34" s="113"/>
      <c r="BO34" s="113"/>
      <c r="BP34" s="113">
        <f t="shared" si="44"/>
        <v>0</v>
      </c>
      <c r="BQ34" s="113"/>
      <c r="BR34" s="113">
        <f t="shared" si="41"/>
        <v>0</v>
      </c>
      <c r="BS34" s="113"/>
      <c r="BT34" s="113"/>
      <c r="BU34" s="124">
        <f t="shared" si="42"/>
        <v>0</v>
      </c>
      <c r="BV34" s="179">
        <f t="shared" si="0"/>
        <v>0</v>
      </c>
    </row>
    <row r="35" spans="1:74" s="67" customFormat="1" x14ac:dyDescent="0.25">
      <c r="A35" s="1023"/>
      <c r="B35" s="38">
        <v>41216</v>
      </c>
      <c r="C35" s="38" t="s">
        <v>261</v>
      </c>
      <c r="D35" s="38" t="s">
        <v>208</v>
      </c>
      <c r="E35" s="365">
        <f>0.02*100000</f>
        <v>2000</v>
      </c>
      <c r="F35" s="38">
        <f t="shared" si="21"/>
        <v>0</v>
      </c>
      <c r="G35" s="427">
        <f t="shared" si="22"/>
        <v>0</v>
      </c>
      <c r="H35" s="427">
        <f t="shared" si="35"/>
        <v>0</v>
      </c>
      <c r="I35" s="427">
        <f t="shared" si="36"/>
        <v>0</v>
      </c>
      <c r="J35" s="427">
        <f t="shared" si="23"/>
        <v>0</v>
      </c>
      <c r="K35" s="427">
        <f t="shared" si="24"/>
        <v>0</v>
      </c>
      <c r="L35" s="427">
        <f t="shared" si="25"/>
        <v>0</v>
      </c>
      <c r="M35" s="427">
        <f t="shared" si="26"/>
        <v>0</v>
      </c>
      <c r="N35" s="427">
        <f t="shared" si="27"/>
        <v>0</v>
      </c>
      <c r="O35" s="85">
        <f t="shared" si="28"/>
        <v>0</v>
      </c>
      <c r="P35" s="85">
        <f t="shared" si="29"/>
        <v>0</v>
      </c>
      <c r="Q35" s="85">
        <f t="shared" si="30"/>
        <v>0</v>
      </c>
      <c r="R35" s="47"/>
      <c r="S35" s="47">
        <f t="shared" si="43"/>
        <v>0</v>
      </c>
      <c r="T35" s="47"/>
      <c r="U35" s="47"/>
      <c r="V35" s="179">
        <f t="shared" si="37"/>
        <v>0</v>
      </c>
      <c r="W35" s="179">
        <f t="shared" si="38"/>
        <v>0</v>
      </c>
      <c r="X35" s="179">
        <f t="shared" si="39"/>
        <v>0</v>
      </c>
      <c r="Y35" s="179">
        <f t="shared" si="40"/>
        <v>0</v>
      </c>
      <c r="Z35" s="47">
        <v>0</v>
      </c>
      <c r="AA35" s="179">
        <f t="shared" si="31"/>
        <v>0</v>
      </c>
      <c r="AB35" s="47">
        <v>0</v>
      </c>
      <c r="AC35" s="179">
        <f t="shared" si="2"/>
        <v>0</v>
      </c>
      <c r="AD35" s="47">
        <v>0</v>
      </c>
      <c r="AE35" s="179">
        <f t="shared" si="3"/>
        <v>0</v>
      </c>
      <c r="AF35" s="47">
        <v>0</v>
      </c>
      <c r="AG35" s="179">
        <f t="shared" si="4"/>
        <v>0</v>
      </c>
      <c r="AH35" s="47">
        <v>0</v>
      </c>
      <c r="AI35" s="179">
        <f t="shared" si="5"/>
        <v>0</v>
      </c>
      <c r="AJ35" s="47">
        <v>0</v>
      </c>
      <c r="AK35" s="179">
        <f t="shared" si="6"/>
        <v>0</v>
      </c>
      <c r="AL35" s="47">
        <v>0</v>
      </c>
      <c r="AM35" s="179">
        <f t="shared" si="7"/>
        <v>0</v>
      </c>
      <c r="AN35" s="47">
        <v>0</v>
      </c>
      <c r="AO35" s="179">
        <f t="shared" si="8"/>
        <v>0</v>
      </c>
      <c r="AP35" s="47">
        <v>0</v>
      </c>
      <c r="AQ35" s="179">
        <f t="shared" si="9"/>
        <v>0</v>
      </c>
      <c r="AR35" s="47">
        <v>0</v>
      </c>
      <c r="AS35" s="179">
        <f t="shared" si="10"/>
        <v>0</v>
      </c>
      <c r="AT35" s="47">
        <v>0</v>
      </c>
      <c r="AU35" s="179">
        <f t="shared" si="11"/>
        <v>0</v>
      </c>
      <c r="AV35" s="47">
        <v>0</v>
      </c>
      <c r="AW35" s="179">
        <f t="shared" si="12"/>
        <v>0</v>
      </c>
      <c r="AX35" s="47">
        <v>0</v>
      </c>
      <c r="AY35" s="179">
        <f t="shared" si="13"/>
        <v>0</v>
      </c>
      <c r="AZ35" s="47">
        <v>0</v>
      </c>
      <c r="BA35" s="179">
        <f t="shared" si="14"/>
        <v>0</v>
      </c>
      <c r="BB35" s="47">
        <v>0</v>
      </c>
      <c r="BC35" s="179">
        <f t="shared" si="15"/>
        <v>0</v>
      </c>
      <c r="BD35" s="47">
        <v>0</v>
      </c>
      <c r="BE35" s="179">
        <f t="shared" si="16"/>
        <v>0</v>
      </c>
      <c r="BF35" s="47">
        <v>0</v>
      </c>
      <c r="BG35" s="179">
        <f t="shared" si="17"/>
        <v>0</v>
      </c>
      <c r="BH35" s="47">
        <v>0</v>
      </c>
      <c r="BI35" s="179">
        <f t="shared" si="32"/>
        <v>0</v>
      </c>
      <c r="BJ35" s="47">
        <f t="shared" si="33"/>
        <v>0</v>
      </c>
      <c r="BK35" s="117">
        <f t="shared" si="33"/>
        <v>0</v>
      </c>
      <c r="BL35" s="335" t="s">
        <v>467</v>
      </c>
      <c r="BN35" s="257"/>
      <c r="BO35" s="257"/>
      <c r="BP35" s="113">
        <f t="shared" si="44"/>
        <v>0</v>
      </c>
      <c r="BQ35" s="257"/>
      <c r="BR35" s="113">
        <f t="shared" si="41"/>
        <v>0</v>
      </c>
      <c r="BS35" s="257"/>
      <c r="BT35" s="257"/>
      <c r="BU35" s="124">
        <f t="shared" si="42"/>
        <v>0</v>
      </c>
      <c r="BV35" s="179">
        <f t="shared" si="0"/>
        <v>0</v>
      </c>
    </row>
    <row r="36" spans="1:74" x14ac:dyDescent="0.25">
      <c r="A36" s="1023"/>
      <c r="B36" s="38">
        <v>41217</v>
      </c>
      <c r="C36" s="38" t="s">
        <v>262</v>
      </c>
      <c r="D36" s="38" t="s">
        <v>208</v>
      </c>
      <c r="E36" s="365">
        <v>100000</v>
      </c>
      <c r="F36" s="685">
        <f>BJ36</f>
        <v>0</v>
      </c>
      <c r="G36" s="427">
        <f t="shared" si="22"/>
        <v>0</v>
      </c>
      <c r="H36" s="427">
        <f t="shared" si="35"/>
        <v>0</v>
      </c>
      <c r="I36" s="427">
        <f t="shared" si="36"/>
        <v>0</v>
      </c>
      <c r="J36" s="427">
        <f t="shared" si="23"/>
        <v>0</v>
      </c>
      <c r="K36" s="427">
        <f t="shared" si="24"/>
        <v>0</v>
      </c>
      <c r="L36" s="427">
        <f t="shared" si="25"/>
        <v>0</v>
      </c>
      <c r="M36" s="427">
        <f t="shared" si="26"/>
        <v>0</v>
      </c>
      <c r="N36" s="427">
        <f t="shared" si="27"/>
        <v>0</v>
      </c>
      <c r="O36" s="85">
        <f t="shared" si="28"/>
        <v>0</v>
      </c>
      <c r="P36" s="85">
        <f t="shared" si="29"/>
        <v>0</v>
      </c>
      <c r="Q36" s="85">
        <f t="shared" si="30"/>
        <v>0</v>
      </c>
      <c r="R36" s="47"/>
      <c r="S36" s="47">
        <f t="shared" si="43"/>
        <v>0</v>
      </c>
      <c r="T36" s="47"/>
      <c r="U36" s="47"/>
      <c r="V36" s="179">
        <f t="shared" si="37"/>
        <v>0</v>
      </c>
      <c r="W36" s="179">
        <f t="shared" si="38"/>
        <v>0</v>
      </c>
      <c r="X36" s="179">
        <f t="shared" si="39"/>
        <v>0</v>
      </c>
      <c r="Y36" s="179">
        <f t="shared" si="40"/>
        <v>0</v>
      </c>
      <c r="Z36" s="47">
        <v>0</v>
      </c>
      <c r="AA36" s="179">
        <f t="shared" si="31"/>
        <v>0</v>
      </c>
      <c r="AB36" s="47">
        <v>0</v>
      </c>
      <c r="AC36" s="179">
        <f t="shared" si="2"/>
        <v>0</v>
      </c>
      <c r="AD36" s="47">
        <v>0</v>
      </c>
      <c r="AE36" s="179">
        <f t="shared" si="3"/>
        <v>0</v>
      </c>
      <c r="AF36" s="47">
        <v>0</v>
      </c>
      <c r="AG36" s="179">
        <f t="shared" si="4"/>
        <v>0</v>
      </c>
      <c r="AH36" s="47">
        <v>0</v>
      </c>
      <c r="AI36" s="179">
        <f t="shared" si="5"/>
        <v>0</v>
      </c>
      <c r="AJ36" s="47">
        <v>0</v>
      </c>
      <c r="AK36" s="179">
        <f t="shared" si="6"/>
        <v>0</v>
      </c>
      <c r="AL36" s="47">
        <v>0</v>
      </c>
      <c r="AM36" s="179">
        <f t="shared" si="7"/>
        <v>0</v>
      </c>
      <c r="AN36" s="47">
        <v>0</v>
      </c>
      <c r="AO36" s="179">
        <f t="shared" si="8"/>
        <v>0</v>
      </c>
      <c r="AP36" s="47">
        <v>0</v>
      </c>
      <c r="AQ36" s="179">
        <f t="shared" si="9"/>
        <v>0</v>
      </c>
      <c r="AR36" s="47">
        <v>0</v>
      </c>
      <c r="AS36" s="179">
        <f t="shared" si="10"/>
        <v>0</v>
      </c>
      <c r="AT36" s="47">
        <v>0</v>
      </c>
      <c r="AU36" s="179">
        <f t="shared" si="11"/>
        <v>0</v>
      </c>
      <c r="AV36" s="47">
        <v>0</v>
      </c>
      <c r="AW36" s="179">
        <f t="shared" si="12"/>
        <v>0</v>
      </c>
      <c r="AX36" s="47">
        <v>0</v>
      </c>
      <c r="AY36" s="179">
        <f t="shared" si="13"/>
        <v>0</v>
      </c>
      <c r="AZ36" s="47">
        <v>0</v>
      </c>
      <c r="BA36" s="179">
        <f t="shared" si="14"/>
        <v>0</v>
      </c>
      <c r="BB36" s="47">
        <v>0</v>
      </c>
      <c r="BC36" s="179">
        <f t="shared" si="15"/>
        <v>0</v>
      </c>
      <c r="BD36" s="47">
        <v>0</v>
      </c>
      <c r="BE36" s="179">
        <f t="shared" si="16"/>
        <v>0</v>
      </c>
      <c r="BF36" s="47">
        <v>0</v>
      </c>
      <c r="BG36" s="179">
        <f t="shared" si="17"/>
        <v>0</v>
      </c>
      <c r="BH36" s="47">
        <v>0</v>
      </c>
      <c r="BI36" s="179">
        <f t="shared" si="32"/>
        <v>0</v>
      </c>
      <c r="BJ36" s="47">
        <f t="shared" si="33"/>
        <v>0</v>
      </c>
      <c r="BK36" s="117">
        <f t="shared" si="33"/>
        <v>0</v>
      </c>
      <c r="BL36" s="335" t="s">
        <v>467</v>
      </c>
      <c r="BN36" s="113"/>
      <c r="BO36" s="113"/>
      <c r="BP36" s="113">
        <f t="shared" si="44"/>
        <v>0</v>
      </c>
      <c r="BQ36" s="113"/>
      <c r="BR36" s="113">
        <f t="shared" si="41"/>
        <v>0</v>
      </c>
      <c r="BS36" s="113"/>
      <c r="BT36" s="113"/>
      <c r="BU36" s="124">
        <f t="shared" si="42"/>
        <v>0</v>
      </c>
      <c r="BV36" s="179">
        <f t="shared" si="0"/>
        <v>0</v>
      </c>
    </row>
    <row r="37" spans="1:74" x14ac:dyDescent="0.25">
      <c r="A37" s="1023"/>
      <c r="B37" s="38">
        <v>41218</v>
      </c>
      <c r="C37" s="38" t="s">
        <v>723</v>
      </c>
      <c r="D37" s="38" t="s">
        <v>208</v>
      </c>
      <c r="E37" s="365">
        <f>1*100000</f>
        <v>100000</v>
      </c>
      <c r="F37" s="38">
        <f t="shared" si="21"/>
        <v>0</v>
      </c>
      <c r="G37" s="427">
        <f t="shared" si="22"/>
        <v>0</v>
      </c>
      <c r="H37" s="427">
        <f t="shared" si="35"/>
        <v>0</v>
      </c>
      <c r="I37" s="427">
        <f t="shared" si="36"/>
        <v>0</v>
      </c>
      <c r="J37" s="427">
        <f t="shared" si="23"/>
        <v>0</v>
      </c>
      <c r="K37" s="427">
        <f t="shared" si="24"/>
        <v>0</v>
      </c>
      <c r="L37" s="427">
        <f t="shared" si="25"/>
        <v>0</v>
      </c>
      <c r="M37" s="427">
        <f t="shared" si="26"/>
        <v>0</v>
      </c>
      <c r="N37" s="427">
        <f t="shared" si="27"/>
        <v>0</v>
      </c>
      <c r="O37" s="85">
        <f t="shared" si="28"/>
        <v>0</v>
      </c>
      <c r="P37" s="85">
        <f t="shared" si="29"/>
        <v>0</v>
      </c>
      <c r="Q37" s="85">
        <f t="shared" si="30"/>
        <v>0</v>
      </c>
      <c r="R37" s="47"/>
      <c r="S37" s="47">
        <f t="shared" si="43"/>
        <v>0</v>
      </c>
      <c r="T37" s="47"/>
      <c r="U37" s="47"/>
      <c r="V37" s="179">
        <f t="shared" si="37"/>
        <v>0</v>
      </c>
      <c r="W37" s="179">
        <f t="shared" si="38"/>
        <v>0</v>
      </c>
      <c r="X37" s="179">
        <f t="shared" si="39"/>
        <v>0</v>
      </c>
      <c r="Y37" s="179">
        <f t="shared" si="40"/>
        <v>0</v>
      </c>
      <c r="Z37" s="47">
        <v>0</v>
      </c>
      <c r="AA37" s="179">
        <f t="shared" si="31"/>
        <v>0</v>
      </c>
      <c r="AB37" s="47">
        <v>0</v>
      </c>
      <c r="AC37" s="179">
        <f t="shared" si="2"/>
        <v>0</v>
      </c>
      <c r="AD37" s="47">
        <v>0</v>
      </c>
      <c r="AE37" s="179">
        <f t="shared" si="3"/>
        <v>0</v>
      </c>
      <c r="AF37" s="47">
        <v>0</v>
      </c>
      <c r="AG37" s="179">
        <f t="shared" si="4"/>
        <v>0</v>
      </c>
      <c r="AH37" s="47">
        <v>0</v>
      </c>
      <c r="AI37" s="179">
        <f t="shared" si="5"/>
        <v>0</v>
      </c>
      <c r="AJ37" s="47">
        <v>0</v>
      </c>
      <c r="AK37" s="179">
        <f t="shared" si="6"/>
        <v>0</v>
      </c>
      <c r="AL37" s="47">
        <v>0</v>
      </c>
      <c r="AM37" s="179">
        <f t="shared" si="7"/>
        <v>0</v>
      </c>
      <c r="AN37" s="47">
        <v>0</v>
      </c>
      <c r="AO37" s="179">
        <f t="shared" si="8"/>
        <v>0</v>
      </c>
      <c r="AP37" s="47">
        <v>0</v>
      </c>
      <c r="AQ37" s="179">
        <f t="shared" si="9"/>
        <v>0</v>
      </c>
      <c r="AR37" s="47">
        <v>0</v>
      </c>
      <c r="AS37" s="179">
        <f t="shared" si="10"/>
        <v>0</v>
      </c>
      <c r="AT37" s="47">
        <v>0</v>
      </c>
      <c r="AU37" s="179">
        <f t="shared" si="11"/>
        <v>0</v>
      </c>
      <c r="AV37" s="47">
        <v>0</v>
      </c>
      <c r="AW37" s="179">
        <f t="shared" si="12"/>
        <v>0</v>
      </c>
      <c r="AX37" s="47">
        <v>0</v>
      </c>
      <c r="AY37" s="179">
        <f t="shared" si="13"/>
        <v>0</v>
      </c>
      <c r="AZ37" s="47">
        <v>0</v>
      </c>
      <c r="BA37" s="179">
        <f t="shared" si="14"/>
        <v>0</v>
      </c>
      <c r="BB37" s="47">
        <v>0</v>
      </c>
      <c r="BC37" s="179">
        <f t="shared" si="15"/>
        <v>0</v>
      </c>
      <c r="BD37" s="47">
        <v>0</v>
      </c>
      <c r="BE37" s="179">
        <f t="shared" si="16"/>
        <v>0</v>
      </c>
      <c r="BF37" s="47">
        <v>0</v>
      </c>
      <c r="BG37" s="179">
        <f t="shared" si="17"/>
        <v>0</v>
      </c>
      <c r="BH37" s="47">
        <v>0</v>
      </c>
      <c r="BI37" s="179">
        <f t="shared" si="32"/>
        <v>0</v>
      </c>
      <c r="BJ37" s="47">
        <f t="shared" si="33"/>
        <v>0</v>
      </c>
      <c r="BK37" s="117">
        <f t="shared" si="33"/>
        <v>0</v>
      </c>
      <c r="BL37" s="335" t="s">
        <v>467</v>
      </c>
      <c r="BN37" s="113"/>
      <c r="BO37" s="113"/>
      <c r="BP37" s="113">
        <f t="shared" si="44"/>
        <v>0</v>
      </c>
      <c r="BQ37" s="113"/>
      <c r="BR37" s="113">
        <f t="shared" si="41"/>
        <v>0</v>
      </c>
      <c r="BS37" s="113"/>
      <c r="BT37" s="113"/>
      <c r="BU37" s="124">
        <f t="shared" si="42"/>
        <v>0</v>
      </c>
      <c r="BV37" s="179">
        <f t="shared" si="0"/>
        <v>0</v>
      </c>
    </row>
    <row r="38" spans="1:74" x14ac:dyDescent="0.25">
      <c r="A38" s="1023"/>
      <c r="B38" s="38">
        <v>41219</v>
      </c>
      <c r="C38" s="38" t="s">
        <v>264</v>
      </c>
      <c r="D38" s="38" t="s">
        <v>17</v>
      </c>
      <c r="E38" s="229">
        <v>25000</v>
      </c>
      <c r="F38" s="685">
        <f>BJ38</f>
        <v>6</v>
      </c>
      <c r="G38" s="427">
        <f t="shared" si="22"/>
        <v>150000</v>
      </c>
      <c r="H38" s="427">
        <f t="shared" si="35"/>
        <v>30000</v>
      </c>
      <c r="I38" s="427">
        <f t="shared" si="36"/>
        <v>120000</v>
      </c>
      <c r="J38" s="427">
        <f t="shared" si="23"/>
        <v>0</v>
      </c>
      <c r="K38" s="427">
        <f t="shared" si="24"/>
        <v>0</v>
      </c>
      <c r="L38" s="427">
        <f t="shared" si="25"/>
        <v>0</v>
      </c>
      <c r="M38" s="427">
        <f t="shared" si="26"/>
        <v>0</v>
      </c>
      <c r="N38" s="427">
        <f t="shared" si="27"/>
        <v>0</v>
      </c>
      <c r="O38" s="85">
        <f t="shared" si="28"/>
        <v>0</v>
      </c>
      <c r="P38" s="85">
        <f t="shared" si="29"/>
        <v>0</v>
      </c>
      <c r="Q38" s="85">
        <f t="shared" si="30"/>
        <v>0</v>
      </c>
      <c r="R38" s="47"/>
      <c r="S38" s="47">
        <f t="shared" si="43"/>
        <v>6</v>
      </c>
      <c r="T38" s="47"/>
      <c r="U38" s="47"/>
      <c r="V38" s="179">
        <f t="shared" si="37"/>
        <v>0</v>
      </c>
      <c r="W38" s="179">
        <f t="shared" si="38"/>
        <v>150000</v>
      </c>
      <c r="X38" s="179">
        <f t="shared" si="39"/>
        <v>0</v>
      </c>
      <c r="Y38" s="179">
        <f t="shared" si="40"/>
        <v>0</v>
      </c>
      <c r="Z38" s="47">
        <v>0</v>
      </c>
      <c r="AA38" s="179">
        <f t="shared" si="31"/>
        <v>0</v>
      </c>
      <c r="AB38" s="47">
        <v>0</v>
      </c>
      <c r="AC38" s="179">
        <f t="shared" si="2"/>
        <v>0</v>
      </c>
      <c r="AD38" s="47">
        <v>0</v>
      </c>
      <c r="AE38" s="179">
        <f t="shared" si="3"/>
        <v>0</v>
      </c>
      <c r="AF38" s="47">
        <v>0</v>
      </c>
      <c r="AG38" s="179">
        <f t="shared" si="4"/>
        <v>0</v>
      </c>
      <c r="AH38" s="47">
        <v>0</v>
      </c>
      <c r="AI38" s="179">
        <f t="shared" si="5"/>
        <v>0</v>
      </c>
      <c r="AJ38" s="47">
        <v>0</v>
      </c>
      <c r="AK38" s="179">
        <f t="shared" si="6"/>
        <v>0</v>
      </c>
      <c r="AL38" s="47">
        <v>0</v>
      </c>
      <c r="AM38" s="179">
        <f t="shared" si="7"/>
        <v>0</v>
      </c>
      <c r="AN38" s="47">
        <v>0</v>
      </c>
      <c r="AO38" s="179">
        <f t="shared" si="8"/>
        <v>0</v>
      </c>
      <c r="AP38" s="47">
        <v>0</v>
      </c>
      <c r="AQ38" s="179">
        <f t="shared" si="9"/>
        <v>0</v>
      </c>
      <c r="AR38" s="47">
        <v>0</v>
      </c>
      <c r="AS38" s="179">
        <f t="shared" si="10"/>
        <v>0</v>
      </c>
      <c r="AT38" s="47">
        <v>0</v>
      </c>
      <c r="AU38" s="179">
        <f t="shared" si="11"/>
        <v>0</v>
      </c>
      <c r="AV38" s="47">
        <v>0</v>
      </c>
      <c r="AW38" s="179">
        <f t="shared" si="12"/>
        <v>0</v>
      </c>
      <c r="AX38" s="47">
        <v>0</v>
      </c>
      <c r="AY38" s="179">
        <f t="shared" si="13"/>
        <v>0</v>
      </c>
      <c r="AZ38" s="47">
        <v>0</v>
      </c>
      <c r="BA38" s="179">
        <f t="shared" si="14"/>
        <v>0</v>
      </c>
      <c r="BB38" s="47">
        <v>0</v>
      </c>
      <c r="BC38" s="179">
        <f t="shared" si="15"/>
        <v>0</v>
      </c>
      <c r="BD38" s="47">
        <v>0</v>
      </c>
      <c r="BE38" s="179">
        <f t="shared" si="16"/>
        <v>0</v>
      </c>
      <c r="BF38" s="47">
        <v>0</v>
      </c>
      <c r="BG38" s="179">
        <f t="shared" si="17"/>
        <v>0</v>
      </c>
      <c r="BH38" s="47">
        <v>6</v>
      </c>
      <c r="BI38" s="179">
        <f t="shared" si="32"/>
        <v>150000</v>
      </c>
      <c r="BJ38" s="47">
        <f t="shared" si="33"/>
        <v>6</v>
      </c>
      <c r="BK38" s="117">
        <f t="shared" si="33"/>
        <v>150000</v>
      </c>
      <c r="BL38" s="335" t="s">
        <v>467</v>
      </c>
      <c r="BN38" s="113"/>
      <c r="BO38" s="113"/>
      <c r="BP38" s="113">
        <f t="shared" si="44"/>
        <v>150000</v>
      </c>
      <c r="BQ38" s="113"/>
      <c r="BR38" s="113">
        <f t="shared" si="41"/>
        <v>150000</v>
      </c>
      <c r="BS38" s="113"/>
      <c r="BT38" s="113"/>
      <c r="BU38" s="124">
        <f t="shared" si="42"/>
        <v>0</v>
      </c>
      <c r="BV38" s="179">
        <f t="shared" si="0"/>
        <v>150000</v>
      </c>
    </row>
    <row r="39" spans="1:74" x14ac:dyDescent="0.25">
      <c r="A39" s="1023"/>
      <c r="B39" s="38">
        <v>41220</v>
      </c>
      <c r="C39" s="38" t="s">
        <v>265</v>
      </c>
      <c r="D39" s="38" t="s">
        <v>208</v>
      </c>
      <c r="E39" s="365">
        <f>1*100000</f>
        <v>100000</v>
      </c>
      <c r="F39" s="38">
        <f t="shared" si="21"/>
        <v>1</v>
      </c>
      <c r="G39" s="427">
        <f t="shared" si="22"/>
        <v>100000</v>
      </c>
      <c r="H39" s="427">
        <f t="shared" si="35"/>
        <v>20000</v>
      </c>
      <c r="I39" s="427">
        <f t="shared" si="36"/>
        <v>80000</v>
      </c>
      <c r="J39" s="427">
        <f t="shared" si="23"/>
        <v>0</v>
      </c>
      <c r="K39" s="427">
        <f t="shared" si="24"/>
        <v>0</v>
      </c>
      <c r="L39" s="427">
        <f t="shared" si="25"/>
        <v>0</v>
      </c>
      <c r="M39" s="427">
        <f t="shared" si="26"/>
        <v>0</v>
      </c>
      <c r="N39" s="427">
        <f t="shared" si="27"/>
        <v>0</v>
      </c>
      <c r="O39" s="85">
        <f t="shared" si="28"/>
        <v>0</v>
      </c>
      <c r="P39" s="85">
        <f t="shared" si="29"/>
        <v>0</v>
      </c>
      <c r="Q39" s="85">
        <f t="shared" si="30"/>
        <v>0</v>
      </c>
      <c r="R39" s="47"/>
      <c r="S39" s="47">
        <f t="shared" si="43"/>
        <v>1</v>
      </c>
      <c r="T39" s="47"/>
      <c r="U39" s="47"/>
      <c r="V39" s="179">
        <f t="shared" si="37"/>
        <v>0</v>
      </c>
      <c r="W39" s="179">
        <f t="shared" si="38"/>
        <v>100000</v>
      </c>
      <c r="X39" s="179">
        <f t="shared" si="39"/>
        <v>0</v>
      </c>
      <c r="Y39" s="179">
        <f t="shared" si="40"/>
        <v>0</v>
      </c>
      <c r="Z39" s="47">
        <v>0</v>
      </c>
      <c r="AA39" s="179">
        <f t="shared" si="31"/>
        <v>0</v>
      </c>
      <c r="AB39" s="47">
        <v>0</v>
      </c>
      <c r="AC39" s="179">
        <f t="shared" si="2"/>
        <v>0</v>
      </c>
      <c r="AD39" s="47">
        <v>0</v>
      </c>
      <c r="AE39" s="179">
        <f t="shared" si="3"/>
        <v>0</v>
      </c>
      <c r="AF39" s="47">
        <v>0</v>
      </c>
      <c r="AG39" s="179">
        <f t="shared" si="4"/>
        <v>0</v>
      </c>
      <c r="AH39" s="47">
        <v>0</v>
      </c>
      <c r="AI39" s="179">
        <f t="shared" si="5"/>
        <v>0</v>
      </c>
      <c r="AJ39" s="47">
        <v>0</v>
      </c>
      <c r="AK39" s="179">
        <f t="shared" si="6"/>
        <v>0</v>
      </c>
      <c r="AL39" s="47">
        <v>0</v>
      </c>
      <c r="AM39" s="179">
        <f t="shared" si="7"/>
        <v>0</v>
      </c>
      <c r="AN39" s="47">
        <v>0</v>
      </c>
      <c r="AO39" s="179">
        <f t="shared" si="8"/>
        <v>0</v>
      </c>
      <c r="AP39" s="47">
        <v>0</v>
      </c>
      <c r="AQ39" s="179">
        <f t="shared" si="9"/>
        <v>0</v>
      </c>
      <c r="AR39" s="47">
        <v>0</v>
      </c>
      <c r="AS39" s="179">
        <f t="shared" si="10"/>
        <v>0</v>
      </c>
      <c r="AT39" s="47">
        <v>0</v>
      </c>
      <c r="AU39" s="179">
        <f t="shared" si="11"/>
        <v>0</v>
      </c>
      <c r="AV39" s="47">
        <v>0</v>
      </c>
      <c r="AW39" s="179">
        <f t="shared" si="12"/>
        <v>0</v>
      </c>
      <c r="AX39" s="47">
        <v>0</v>
      </c>
      <c r="AY39" s="179">
        <f t="shared" si="13"/>
        <v>0</v>
      </c>
      <c r="AZ39" s="47">
        <v>0</v>
      </c>
      <c r="BA39" s="179">
        <f t="shared" si="14"/>
        <v>0</v>
      </c>
      <c r="BB39" s="47">
        <v>0</v>
      </c>
      <c r="BC39" s="179">
        <f t="shared" si="15"/>
        <v>0</v>
      </c>
      <c r="BD39" s="47">
        <v>0</v>
      </c>
      <c r="BE39" s="179">
        <f t="shared" si="16"/>
        <v>0</v>
      </c>
      <c r="BF39" s="47">
        <v>0</v>
      </c>
      <c r="BG39" s="179">
        <f t="shared" si="17"/>
        <v>0</v>
      </c>
      <c r="BH39" s="47">
        <v>1</v>
      </c>
      <c r="BI39" s="179">
        <f t="shared" si="32"/>
        <v>100000</v>
      </c>
      <c r="BJ39" s="47">
        <f t="shared" si="33"/>
        <v>1</v>
      </c>
      <c r="BK39" s="117">
        <f t="shared" si="33"/>
        <v>100000</v>
      </c>
      <c r="BL39" s="335" t="s">
        <v>467</v>
      </c>
      <c r="BN39" s="113"/>
      <c r="BO39" s="113"/>
      <c r="BP39" s="113">
        <f t="shared" si="44"/>
        <v>100000</v>
      </c>
      <c r="BQ39" s="113"/>
      <c r="BR39" s="113">
        <f t="shared" si="41"/>
        <v>100000</v>
      </c>
      <c r="BS39" s="113"/>
      <c r="BT39" s="113"/>
      <c r="BU39" s="124">
        <f t="shared" si="42"/>
        <v>0</v>
      </c>
      <c r="BV39" s="179">
        <f t="shared" si="0"/>
        <v>100000</v>
      </c>
    </row>
    <row r="40" spans="1:74" x14ac:dyDescent="0.25">
      <c r="A40" s="1023"/>
      <c r="B40" s="38">
        <v>41221</v>
      </c>
      <c r="C40" s="169" t="s">
        <v>266</v>
      </c>
      <c r="D40" s="38" t="s">
        <v>208</v>
      </c>
      <c r="E40" s="365">
        <f>1.5*100000</f>
        <v>150000</v>
      </c>
      <c r="F40" s="38">
        <f t="shared" si="21"/>
        <v>0</v>
      </c>
      <c r="G40" s="427">
        <f t="shared" si="22"/>
        <v>0</v>
      </c>
      <c r="H40" s="427">
        <f t="shared" si="35"/>
        <v>0</v>
      </c>
      <c r="I40" s="427">
        <f t="shared" si="36"/>
        <v>0</v>
      </c>
      <c r="J40" s="427">
        <f t="shared" si="23"/>
        <v>0</v>
      </c>
      <c r="K40" s="427">
        <f t="shared" si="24"/>
        <v>0</v>
      </c>
      <c r="L40" s="427">
        <f t="shared" si="25"/>
        <v>0</v>
      </c>
      <c r="M40" s="427">
        <f t="shared" si="26"/>
        <v>0</v>
      </c>
      <c r="N40" s="427">
        <f t="shared" si="27"/>
        <v>0</v>
      </c>
      <c r="O40" s="85">
        <f t="shared" si="28"/>
        <v>0</v>
      </c>
      <c r="P40" s="85">
        <f t="shared" si="29"/>
        <v>0</v>
      </c>
      <c r="Q40" s="85">
        <f t="shared" si="30"/>
        <v>0</v>
      </c>
      <c r="R40" s="47"/>
      <c r="S40" s="47">
        <f t="shared" si="43"/>
        <v>0</v>
      </c>
      <c r="T40" s="47"/>
      <c r="U40" s="47"/>
      <c r="V40" s="179">
        <f t="shared" si="37"/>
        <v>0</v>
      </c>
      <c r="W40" s="179">
        <f t="shared" si="38"/>
        <v>0</v>
      </c>
      <c r="X40" s="179">
        <f t="shared" si="39"/>
        <v>0</v>
      </c>
      <c r="Y40" s="179">
        <f t="shared" si="40"/>
        <v>0</v>
      </c>
      <c r="Z40" s="47">
        <v>0</v>
      </c>
      <c r="AA40" s="179">
        <f t="shared" si="31"/>
        <v>0</v>
      </c>
      <c r="AB40" s="47">
        <v>0</v>
      </c>
      <c r="AC40" s="179">
        <f t="shared" si="2"/>
        <v>0</v>
      </c>
      <c r="AD40" s="47">
        <v>0</v>
      </c>
      <c r="AE40" s="179">
        <f t="shared" si="3"/>
        <v>0</v>
      </c>
      <c r="AF40" s="47">
        <v>0</v>
      </c>
      <c r="AG40" s="179">
        <f t="shared" si="4"/>
        <v>0</v>
      </c>
      <c r="AH40" s="47">
        <v>0</v>
      </c>
      <c r="AI40" s="179">
        <f t="shared" si="5"/>
        <v>0</v>
      </c>
      <c r="AJ40" s="47">
        <v>0</v>
      </c>
      <c r="AK40" s="179">
        <f t="shared" si="6"/>
        <v>0</v>
      </c>
      <c r="AL40" s="47">
        <v>0</v>
      </c>
      <c r="AM40" s="179">
        <f t="shared" si="7"/>
        <v>0</v>
      </c>
      <c r="AN40" s="47">
        <v>0</v>
      </c>
      <c r="AO40" s="179">
        <f t="shared" si="8"/>
        <v>0</v>
      </c>
      <c r="AP40" s="47">
        <v>0</v>
      </c>
      <c r="AQ40" s="179">
        <f t="shared" si="9"/>
        <v>0</v>
      </c>
      <c r="AR40" s="47">
        <v>0</v>
      </c>
      <c r="AS40" s="179">
        <f t="shared" si="10"/>
        <v>0</v>
      </c>
      <c r="AT40" s="47">
        <v>0</v>
      </c>
      <c r="AU40" s="179">
        <f t="shared" si="11"/>
        <v>0</v>
      </c>
      <c r="AV40" s="47">
        <v>0</v>
      </c>
      <c r="AW40" s="179">
        <f t="shared" si="12"/>
        <v>0</v>
      </c>
      <c r="AX40" s="47">
        <v>0</v>
      </c>
      <c r="AY40" s="179">
        <f t="shared" si="13"/>
        <v>0</v>
      </c>
      <c r="AZ40" s="47">
        <v>0</v>
      </c>
      <c r="BA40" s="179">
        <f t="shared" si="14"/>
        <v>0</v>
      </c>
      <c r="BB40" s="47">
        <v>0</v>
      </c>
      <c r="BC40" s="179">
        <f t="shared" si="15"/>
        <v>0</v>
      </c>
      <c r="BD40" s="47">
        <v>0</v>
      </c>
      <c r="BE40" s="179">
        <f t="shared" si="16"/>
        <v>0</v>
      </c>
      <c r="BF40" s="47">
        <v>0</v>
      </c>
      <c r="BG40" s="179">
        <f t="shared" si="17"/>
        <v>0</v>
      </c>
      <c r="BH40" s="47">
        <v>0</v>
      </c>
      <c r="BI40" s="179">
        <f t="shared" si="32"/>
        <v>0</v>
      </c>
      <c r="BJ40" s="47">
        <f t="shared" si="33"/>
        <v>0</v>
      </c>
      <c r="BK40" s="117">
        <f t="shared" si="33"/>
        <v>0</v>
      </c>
      <c r="BL40" s="335" t="s">
        <v>467</v>
      </c>
      <c r="BN40" s="113"/>
      <c r="BO40" s="113"/>
      <c r="BP40" s="113">
        <f t="shared" si="44"/>
        <v>0</v>
      </c>
      <c r="BQ40" s="113"/>
      <c r="BR40" s="113">
        <f t="shared" si="41"/>
        <v>0</v>
      </c>
      <c r="BS40" s="113"/>
      <c r="BT40" s="113"/>
      <c r="BU40" s="124">
        <f t="shared" si="42"/>
        <v>0</v>
      </c>
      <c r="BV40" s="179">
        <f t="shared" si="0"/>
        <v>0</v>
      </c>
    </row>
    <row r="41" spans="1:74" ht="31.5" x14ac:dyDescent="0.25">
      <c r="A41" s="1023"/>
      <c r="B41" s="38">
        <v>41222</v>
      </c>
      <c r="C41" s="38" t="s">
        <v>743</v>
      </c>
      <c r="D41" s="38" t="s">
        <v>208</v>
      </c>
      <c r="E41" s="365">
        <v>400000</v>
      </c>
      <c r="F41" s="38">
        <f t="shared" si="21"/>
        <v>1</v>
      </c>
      <c r="G41" s="427">
        <f t="shared" si="22"/>
        <v>400000</v>
      </c>
      <c r="H41" s="427">
        <f t="shared" si="35"/>
        <v>80000</v>
      </c>
      <c r="I41" s="427">
        <f t="shared" si="36"/>
        <v>320000</v>
      </c>
      <c r="J41" s="427">
        <f t="shared" si="23"/>
        <v>0</v>
      </c>
      <c r="K41" s="427">
        <f t="shared" si="24"/>
        <v>0</v>
      </c>
      <c r="L41" s="427">
        <f t="shared" si="25"/>
        <v>0</v>
      </c>
      <c r="M41" s="427">
        <f t="shared" si="26"/>
        <v>0</v>
      </c>
      <c r="N41" s="427">
        <f t="shared" si="27"/>
        <v>0</v>
      </c>
      <c r="O41" s="85">
        <f t="shared" si="28"/>
        <v>0</v>
      </c>
      <c r="P41" s="85">
        <f t="shared" si="29"/>
        <v>0</v>
      </c>
      <c r="Q41" s="85">
        <f t="shared" si="30"/>
        <v>0</v>
      </c>
      <c r="R41" s="47"/>
      <c r="S41" s="47">
        <f t="shared" si="43"/>
        <v>1</v>
      </c>
      <c r="T41" s="47"/>
      <c r="U41" s="47"/>
      <c r="V41" s="179">
        <f t="shared" si="37"/>
        <v>0</v>
      </c>
      <c r="W41" s="179">
        <f t="shared" si="38"/>
        <v>400000</v>
      </c>
      <c r="X41" s="179">
        <f t="shared" si="39"/>
        <v>0</v>
      </c>
      <c r="Y41" s="179">
        <f t="shared" si="40"/>
        <v>0</v>
      </c>
      <c r="Z41" s="47">
        <v>0</v>
      </c>
      <c r="AA41" s="179">
        <f t="shared" si="31"/>
        <v>0</v>
      </c>
      <c r="AB41" s="47">
        <v>0</v>
      </c>
      <c r="AC41" s="179">
        <f t="shared" si="2"/>
        <v>0</v>
      </c>
      <c r="AD41" s="47">
        <v>0</v>
      </c>
      <c r="AE41" s="179">
        <f t="shared" si="3"/>
        <v>0</v>
      </c>
      <c r="AF41" s="47">
        <v>0</v>
      </c>
      <c r="AG41" s="179">
        <f t="shared" si="4"/>
        <v>0</v>
      </c>
      <c r="AH41" s="47">
        <v>0</v>
      </c>
      <c r="AI41" s="179">
        <f t="shared" si="5"/>
        <v>0</v>
      </c>
      <c r="AJ41" s="47">
        <v>0</v>
      </c>
      <c r="AK41" s="179">
        <f t="shared" si="6"/>
        <v>0</v>
      </c>
      <c r="AL41" s="47">
        <v>0</v>
      </c>
      <c r="AM41" s="179">
        <f t="shared" si="7"/>
        <v>0</v>
      </c>
      <c r="AN41" s="47">
        <v>0</v>
      </c>
      <c r="AO41" s="179">
        <f t="shared" si="8"/>
        <v>0</v>
      </c>
      <c r="AP41" s="47">
        <v>0</v>
      </c>
      <c r="AQ41" s="179">
        <f t="shared" si="9"/>
        <v>0</v>
      </c>
      <c r="AR41" s="47">
        <v>0</v>
      </c>
      <c r="AS41" s="179">
        <f t="shared" si="10"/>
        <v>0</v>
      </c>
      <c r="AT41" s="47">
        <v>0</v>
      </c>
      <c r="AU41" s="179">
        <f t="shared" si="11"/>
        <v>0</v>
      </c>
      <c r="AV41" s="47">
        <v>0</v>
      </c>
      <c r="AW41" s="179">
        <f t="shared" si="12"/>
        <v>0</v>
      </c>
      <c r="AX41" s="47">
        <v>0</v>
      </c>
      <c r="AY41" s="179">
        <f t="shared" si="13"/>
        <v>0</v>
      </c>
      <c r="AZ41" s="47">
        <v>0</v>
      </c>
      <c r="BA41" s="179">
        <f t="shared" si="14"/>
        <v>0</v>
      </c>
      <c r="BB41" s="47">
        <v>0</v>
      </c>
      <c r="BC41" s="179">
        <f t="shared" si="15"/>
        <v>0</v>
      </c>
      <c r="BD41" s="47">
        <v>0</v>
      </c>
      <c r="BE41" s="179">
        <f t="shared" si="16"/>
        <v>0</v>
      </c>
      <c r="BF41" s="47">
        <v>0</v>
      </c>
      <c r="BG41" s="179">
        <f t="shared" si="17"/>
        <v>0</v>
      </c>
      <c r="BH41" s="47">
        <v>1</v>
      </c>
      <c r="BI41" s="179">
        <f t="shared" si="32"/>
        <v>400000</v>
      </c>
      <c r="BJ41" s="47">
        <f t="shared" si="33"/>
        <v>1</v>
      </c>
      <c r="BK41" s="117">
        <f t="shared" si="33"/>
        <v>400000</v>
      </c>
      <c r="BL41" s="335" t="s">
        <v>467</v>
      </c>
      <c r="BN41" s="113"/>
      <c r="BO41" s="113"/>
      <c r="BP41" s="113">
        <f t="shared" si="44"/>
        <v>400000</v>
      </c>
      <c r="BQ41" s="113"/>
      <c r="BR41" s="113">
        <f t="shared" si="41"/>
        <v>400000</v>
      </c>
      <c r="BS41" s="113"/>
      <c r="BT41" s="113"/>
      <c r="BU41" s="124">
        <f t="shared" si="42"/>
        <v>0</v>
      </c>
      <c r="BV41" s="179">
        <f t="shared" si="0"/>
        <v>400000</v>
      </c>
    </row>
    <row r="42" spans="1:74" x14ac:dyDescent="0.25">
      <c r="A42" s="1023"/>
      <c r="B42" s="38">
        <v>41223</v>
      </c>
      <c r="C42" s="38" t="s">
        <v>268</v>
      </c>
      <c r="D42" s="38" t="s">
        <v>240</v>
      </c>
      <c r="E42" s="365">
        <v>100000</v>
      </c>
      <c r="F42" s="38">
        <f t="shared" si="21"/>
        <v>1</v>
      </c>
      <c r="G42" s="427">
        <f t="shared" si="22"/>
        <v>100000</v>
      </c>
      <c r="H42" s="427">
        <f t="shared" si="35"/>
        <v>20000</v>
      </c>
      <c r="I42" s="427">
        <f t="shared" si="36"/>
        <v>80000</v>
      </c>
      <c r="J42" s="427">
        <f t="shared" si="23"/>
        <v>0</v>
      </c>
      <c r="K42" s="427">
        <f t="shared" si="24"/>
        <v>0</v>
      </c>
      <c r="L42" s="427">
        <f t="shared" si="25"/>
        <v>0</v>
      </c>
      <c r="M42" s="427">
        <f t="shared" si="26"/>
        <v>0</v>
      </c>
      <c r="N42" s="427">
        <f t="shared" si="27"/>
        <v>0</v>
      </c>
      <c r="O42" s="85">
        <f t="shared" si="28"/>
        <v>0</v>
      </c>
      <c r="P42" s="85">
        <f t="shared" si="29"/>
        <v>0</v>
      </c>
      <c r="Q42" s="85">
        <f t="shared" si="30"/>
        <v>0</v>
      </c>
      <c r="R42" s="47"/>
      <c r="S42" s="47">
        <f t="shared" si="43"/>
        <v>1</v>
      </c>
      <c r="T42" s="47"/>
      <c r="U42" s="47"/>
      <c r="V42" s="179">
        <f t="shared" si="37"/>
        <v>0</v>
      </c>
      <c r="W42" s="179">
        <f t="shared" si="38"/>
        <v>100000</v>
      </c>
      <c r="X42" s="179">
        <f t="shared" si="39"/>
        <v>0</v>
      </c>
      <c r="Y42" s="179">
        <f t="shared" si="40"/>
        <v>0</v>
      </c>
      <c r="Z42" s="47">
        <v>0</v>
      </c>
      <c r="AA42" s="179">
        <f t="shared" si="31"/>
        <v>0</v>
      </c>
      <c r="AB42" s="47">
        <v>0</v>
      </c>
      <c r="AC42" s="179">
        <f t="shared" si="2"/>
        <v>0</v>
      </c>
      <c r="AD42" s="47">
        <v>0</v>
      </c>
      <c r="AE42" s="179">
        <f t="shared" si="3"/>
        <v>0</v>
      </c>
      <c r="AF42" s="47">
        <v>0</v>
      </c>
      <c r="AG42" s="179">
        <f t="shared" si="4"/>
        <v>0</v>
      </c>
      <c r="AH42" s="47">
        <v>0</v>
      </c>
      <c r="AI42" s="179">
        <f t="shared" si="5"/>
        <v>0</v>
      </c>
      <c r="AJ42" s="47">
        <v>0</v>
      </c>
      <c r="AK42" s="179">
        <f t="shared" si="6"/>
        <v>0</v>
      </c>
      <c r="AL42" s="47">
        <v>0</v>
      </c>
      <c r="AM42" s="179">
        <f t="shared" si="7"/>
        <v>0</v>
      </c>
      <c r="AN42" s="47">
        <v>0</v>
      </c>
      <c r="AO42" s="179">
        <f t="shared" si="8"/>
        <v>0</v>
      </c>
      <c r="AP42" s="47">
        <v>0</v>
      </c>
      <c r="AQ42" s="179">
        <f t="shared" si="9"/>
        <v>0</v>
      </c>
      <c r="AR42" s="47">
        <v>0</v>
      </c>
      <c r="AS42" s="179">
        <f t="shared" si="10"/>
        <v>0</v>
      </c>
      <c r="AT42" s="47">
        <v>0</v>
      </c>
      <c r="AU42" s="179">
        <f t="shared" si="11"/>
        <v>0</v>
      </c>
      <c r="AV42" s="47">
        <v>0</v>
      </c>
      <c r="AW42" s="179">
        <f t="shared" si="12"/>
        <v>0</v>
      </c>
      <c r="AX42" s="47">
        <v>0</v>
      </c>
      <c r="AY42" s="179">
        <f t="shared" si="13"/>
        <v>0</v>
      </c>
      <c r="AZ42" s="47">
        <v>0</v>
      </c>
      <c r="BA42" s="179">
        <f t="shared" si="14"/>
        <v>0</v>
      </c>
      <c r="BB42" s="47">
        <v>0</v>
      </c>
      <c r="BC42" s="179">
        <f t="shared" si="15"/>
        <v>0</v>
      </c>
      <c r="BD42" s="47">
        <v>0</v>
      </c>
      <c r="BE42" s="179">
        <f t="shared" si="16"/>
        <v>0</v>
      </c>
      <c r="BF42" s="47">
        <v>0</v>
      </c>
      <c r="BG42" s="179">
        <f t="shared" si="17"/>
        <v>0</v>
      </c>
      <c r="BH42" s="47">
        <v>1</v>
      </c>
      <c r="BI42" s="179">
        <f t="shared" si="32"/>
        <v>100000</v>
      </c>
      <c r="BJ42" s="47">
        <f t="shared" si="33"/>
        <v>1</v>
      </c>
      <c r="BK42" s="117">
        <f t="shared" si="33"/>
        <v>100000</v>
      </c>
      <c r="BL42" s="335" t="s">
        <v>467</v>
      </c>
      <c r="BN42" s="113"/>
      <c r="BO42" s="113"/>
      <c r="BP42" s="113">
        <f t="shared" si="44"/>
        <v>100000</v>
      </c>
      <c r="BQ42" s="113"/>
      <c r="BR42" s="113">
        <f t="shared" si="41"/>
        <v>100000</v>
      </c>
      <c r="BS42" s="113"/>
      <c r="BT42" s="113"/>
      <c r="BU42" s="124">
        <f t="shared" si="42"/>
        <v>0</v>
      </c>
      <c r="BV42" s="179">
        <f t="shared" si="0"/>
        <v>100000</v>
      </c>
    </row>
    <row r="43" spans="1:74" x14ac:dyDescent="0.25">
      <c r="A43" s="1023"/>
      <c r="B43" s="38">
        <v>41224</v>
      </c>
      <c r="C43" s="38" t="s">
        <v>269</v>
      </c>
      <c r="D43" s="38" t="s">
        <v>17</v>
      </c>
      <c r="E43" s="365">
        <v>600000</v>
      </c>
      <c r="F43" s="38">
        <f t="shared" si="21"/>
        <v>1</v>
      </c>
      <c r="G43" s="427">
        <f t="shared" si="22"/>
        <v>600000</v>
      </c>
      <c r="H43" s="427">
        <f t="shared" si="35"/>
        <v>120000</v>
      </c>
      <c r="I43" s="427">
        <f t="shared" si="36"/>
        <v>480000</v>
      </c>
      <c r="J43" s="427">
        <f t="shared" si="23"/>
        <v>0</v>
      </c>
      <c r="K43" s="427">
        <f t="shared" si="24"/>
        <v>0</v>
      </c>
      <c r="L43" s="427">
        <f t="shared" si="25"/>
        <v>0</v>
      </c>
      <c r="M43" s="427">
        <f t="shared" si="26"/>
        <v>0</v>
      </c>
      <c r="N43" s="427">
        <f t="shared" si="27"/>
        <v>0</v>
      </c>
      <c r="O43" s="85">
        <f t="shared" si="28"/>
        <v>0</v>
      </c>
      <c r="P43" s="85">
        <f t="shared" si="29"/>
        <v>0</v>
      </c>
      <c r="Q43" s="85">
        <f t="shared" si="30"/>
        <v>0</v>
      </c>
      <c r="R43" s="47">
        <v>1</v>
      </c>
      <c r="S43" s="47"/>
      <c r="T43" s="47"/>
      <c r="U43" s="47"/>
      <c r="V43" s="179">
        <f t="shared" si="37"/>
        <v>600000</v>
      </c>
      <c r="W43" s="179">
        <f t="shared" si="38"/>
        <v>0</v>
      </c>
      <c r="X43" s="179">
        <f t="shared" si="39"/>
        <v>0</v>
      </c>
      <c r="Y43" s="179">
        <f t="shared" si="40"/>
        <v>0</v>
      </c>
      <c r="Z43" s="47">
        <v>0</v>
      </c>
      <c r="AA43" s="179">
        <f t="shared" si="31"/>
        <v>0</v>
      </c>
      <c r="AB43" s="47">
        <v>0</v>
      </c>
      <c r="AC43" s="179">
        <f t="shared" si="2"/>
        <v>0</v>
      </c>
      <c r="AD43" s="47">
        <v>0</v>
      </c>
      <c r="AE43" s="179">
        <f t="shared" si="3"/>
        <v>0</v>
      </c>
      <c r="AF43" s="47">
        <v>0</v>
      </c>
      <c r="AG43" s="179">
        <f t="shared" si="4"/>
        <v>0</v>
      </c>
      <c r="AH43" s="47">
        <v>0</v>
      </c>
      <c r="AI43" s="179">
        <f t="shared" si="5"/>
        <v>0</v>
      </c>
      <c r="AJ43" s="47">
        <v>0</v>
      </c>
      <c r="AK43" s="179">
        <f t="shared" si="6"/>
        <v>0</v>
      </c>
      <c r="AL43" s="47">
        <v>0</v>
      </c>
      <c r="AM43" s="179">
        <f t="shared" si="7"/>
        <v>0</v>
      </c>
      <c r="AN43" s="47">
        <v>0</v>
      </c>
      <c r="AO43" s="179">
        <f t="shared" si="8"/>
        <v>0</v>
      </c>
      <c r="AP43" s="47">
        <v>0</v>
      </c>
      <c r="AQ43" s="179">
        <f t="shared" si="9"/>
        <v>0</v>
      </c>
      <c r="AR43" s="47">
        <v>0</v>
      </c>
      <c r="AS43" s="179">
        <f t="shared" si="10"/>
        <v>0</v>
      </c>
      <c r="AT43" s="47">
        <v>0</v>
      </c>
      <c r="AU43" s="179">
        <f t="shared" si="11"/>
        <v>0</v>
      </c>
      <c r="AV43" s="47">
        <v>0</v>
      </c>
      <c r="AW43" s="179">
        <f t="shared" si="12"/>
        <v>0</v>
      </c>
      <c r="AX43" s="47">
        <v>0</v>
      </c>
      <c r="AY43" s="179">
        <f t="shared" si="13"/>
        <v>0</v>
      </c>
      <c r="AZ43" s="47">
        <v>0</v>
      </c>
      <c r="BA43" s="179">
        <f t="shared" si="14"/>
        <v>0</v>
      </c>
      <c r="BB43" s="47">
        <v>0</v>
      </c>
      <c r="BC43" s="179">
        <f t="shared" si="15"/>
        <v>0</v>
      </c>
      <c r="BD43" s="47">
        <v>0</v>
      </c>
      <c r="BE43" s="179">
        <f t="shared" si="16"/>
        <v>0</v>
      </c>
      <c r="BF43" s="47">
        <v>0</v>
      </c>
      <c r="BG43" s="179">
        <f t="shared" si="17"/>
        <v>0</v>
      </c>
      <c r="BH43" s="47">
        <v>1</v>
      </c>
      <c r="BI43" s="179">
        <f t="shared" si="32"/>
        <v>600000</v>
      </c>
      <c r="BJ43" s="47">
        <f t="shared" si="33"/>
        <v>1</v>
      </c>
      <c r="BK43" s="117">
        <f t="shared" si="33"/>
        <v>600000</v>
      </c>
      <c r="BL43" s="335" t="s">
        <v>467</v>
      </c>
      <c r="BN43" s="113"/>
      <c r="BO43" s="113"/>
      <c r="BP43" s="113">
        <f t="shared" si="44"/>
        <v>600000</v>
      </c>
      <c r="BQ43" s="113"/>
      <c r="BR43" s="113">
        <f t="shared" si="41"/>
        <v>600000</v>
      </c>
      <c r="BS43" s="113"/>
      <c r="BT43" s="113"/>
      <c r="BU43" s="124">
        <f t="shared" si="42"/>
        <v>0</v>
      </c>
      <c r="BV43" s="179">
        <f t="shared" si="0"/>
        <v>600000</v>
      </c>
    </row>
    <row r="44" spans="1:74" x14ac:dyDescent="0.25">
      <c r="A44" s="1023"/>
      <c r="B44" s="428"/>
      <c r="C44" s="428" t="s">
        <v>270</v>
      </c>
      <c r="D44" s="428"/>
      <c r="E44" s="428"/>
      <c r="F44" s="428">
        <f>SUM(F19:F43)</f>
        <v>25</v>
      </c>
      <c r="G44" s="429">
        <f>SUM(G19:G43)</f>
        <v>2076000</v>
      </c>
      <c r="H44" s="429">
        <f t="shared" ref="H44:Q44" si="45">SUM(H19:H43)</f>
        <v>415200</v>
      </c>
      <c r="I44" s="429">
        <f t="shared" si="45"/>
        <v>1660800</v>
      </c>
      <c r="J44" s="429">
        <f t="shared" si="45"/>
        <v>0</v>
      </c>
      <c r="K44" s="429">
        <f t="shared" si="45"/>
        <v>0</v>
      </c>
      <c r="L44" s="429">
        <f t="shared" si="45"/>
        <v>0</v>
      </c>
      <c r="M44" s="429">
        <f t="shared" si="45"/>
        <v>0</v>
      </c>
      <c r="N44" s="429">
        <f t="shared" si="45"/>
        <v>0</v>
      </c>
      <c r="O44" s="429">
        <f t="shared" si="45"/>
        <v>0</v>
      </c>
      <c r="P44" s="429">
        <f t="shared" si="45"/>
        <v>0</v>
      </c>
      <c r="Q44" s="429">
        <f t="shared" si="45"/>
        <v>0</v>
      </c>
      <c r="R44" s="428">
        <f t="shared" ref="R44:BK44" si="46">SUM(R19:R43)</f>
        <v>2</v>
      </c>
      <c r="S44" s="428">
        <f t="shared" si="46"/>
        <v>23</v>
      </c>
      <c r="T44" s="428">
        <f t="shared" si="46"/>
        <v>0</v>
      </c>
      <c r="U44" s="428">
        <f t="shared" si="46"/>
        <v>0</v>
      </c>
      <c r="V44" s="429">
        <f t="shared" si="46"/>
        <v>810000</v>
      </c>
      <c r="W44" s="429">
        <f t="shared" si="46"/>
        <v>1266000</v>
      </c>
      <c r="X44" s="429">
        <f t="shared" si="46"/>
        <v>0</v>
      </c>
      <c r="Y44" s="429">
        <f t="shared" si="46"/>
        <v>0</v>
      </c>
      <c r="Z44" s="428">
        <f t="shared" si="46"/>
        <v>0</v>
      </c>
      <c r="AA44" s="429">
        <f t="shared" si="46"/>
        <v>0</v>
      </c>
      <c r="AB44" s="428">
        <f t="shared" si="46"/>
        <v>0</v>
      </c>
      <c r="AC44" s="429">
        <f t="shared" si="46"/>
        <v>0</v>
      </c>
      <c r="AD44" s="428">
        <f t="shared" si="46"/>
        <v>0</v>
      </c>
      <c r="AE44" s="429">
        <f t="shared" si="46"/>
        <v>0</v>
      </c>
      <c r="AF44" s="428">
        <f t="shared" si="46"/>
        <v>0</v>
      </c>
      <c r="AG44" s="429">
        <f t="shared" si="46"/>
        <v>0</v>
      </c>
      <c r="AH44" s="428">
        <f t="shared" si="46"/>
        <v>0</v>
      </c>
      <c r="AI44" s="429">
        <f t="shared" si="46"/>
        <v>0</v>
      </c>
      <c r="AJ44" s="428">
        <f t="shared" si="46"/>
        <v>0</v>
      </c>
      <c r="AK44" s="429">
        <f t="shared" si="46"/>
        <v>0</v>
      </c>
      <c r="AL44" s="428">
        <f t="shared" si="46"/>
        <v>0</v>
      </c>
      <c r="AM44" s="429">
        <f t="shared" si="46"/>
        <v>0</v>
      </c>
      <c r="AN44" s="428">
        <f t="shared" si="46"/>
        <v>0</v>
      </c>
      <c r="AO44" s="429">
        <f t="shared" si="46"/>
        <v>0</v>
      </c>
      <c r="AP44" s="428">
        <f t="shared" si="46"/>
        <v>0</v>
      </c>
      <c r="AQ44" s="429">
        <f t="shared" si="46"/>
        <v>0</v>
      </c>
      <c r="AR44" s="428">
        <f t="shared" si="46"/>
        <v>0</v>
      </c>
      <c r="AS44" s="429">
        <f t="shared" si="46"/>
        <v>0</v>
      </c>
      <c r="AT44" s="428">
        <f t="shared" si="46"/>
        <v>0</v>
      </c>
      <c r="AU44" s="429">
        <f t="shared" si="46"/>
        <v>0</v>
      </c>
      <c r="AV44" s="428">
        <f t="shared" si="46"/>
        <v>0</v>
      </c>
      <c r="AW44" s="429">
        <f t="shared" si="46"/>
        <v>0</v>
      </c>
      <c r="AX44" s="428">
        <f t="shared" si="46"/>
        <v>0</v>
      </c>
      <c r="AY44" s="429">
        <f t="shared" si="46"/>
        <v>0</v>
      </c>
      <c r="AZ44" s="428">
        <f t="shared" si="46"/>
        <v>0</v>
      </c>
      <c r="BA44" s="429">
        <f t="shared" si="46"/>
        <v>0</v>
      </c>
      <c r="BB44" s="428">
        <f t="shared" si="46"/>
        <v>0</v>
      </c>
      <c r="BC44" s="429">
        <f t="shared" si="46"/>
        <v>0</v>
      </c>
      <c r="BD44" s="428">
        <f t="shared" si="46"/>
        <v>0</v>
      </c>
      <c r="BE44" s="429">
        <f t="shared" si="46"/>
        <v>0</v>
      </c>
      <c r="BF44" s="428">
        <f t="shared" si="46"/>
        <v>0</v>
      </c>
      <c r="BG44" s="429">
        <f t="shared" si="46"/>
        <v>0</v>
      </c>
      <c r="BH44" s="428">
        <f t="shared" si="46"/>
        <v>25</v>
      </c>
      <c r="BI44" s="429">
        <f t="shared" si="46"/>
        <v>2076000</v>
      </c>
      <c r="BJ44" s="428">
        <f t="shared" si="46"/>
        <v>25</v>
      </c>
      <c r="BK44" s="430">
        <f t="shared" si="46"/>
        <v>2076000</v>
      </c>
      <c r="BL44" s="47"/>
      <c r="BN44" s="430">
        <f t="shared" ref="BN44:BU44" si="47">SUM(BN19:BN43)</f>
        <v>0</v>
      </c>
      <c r="BO44" s="430">
        <f t="shared" si="47"/>
        <v>0</v>
      </c>
      <c r="BP44" s="430">
        <f t="shared" si="47"/>
        <v>2076000</v>
      </c>
      <c r="BQ44" s="430">
        <f t="shared" si="47"/>
        <v>0</v>
      </c>
      <c r="BR44" s="430">
        <f t="shared" si="47"/>
        <v>2076000</v>
      </c>
      <c r="BS44" s="430">
        <f t="shared" si="47"/>
        <v>0</v>
      </c>
      <c r="BT44" s="430">
        <f t="shared" si="47"/>
        <v>0</v>
      </c>
      <c r="BU44" s="430">
        <f t="shared" si="47"/>
        <v>0</v>
      </c>
      <c r="BV44" s="380">
        <f t="shared" si="0"/>
        <v>2076000</v>
      </c>
    </row>
    <row r="45" spans="1:74" x14ac:dyDescent="0.25">
      <c r="A45" s="1023"/>
      <c r="B45" s="38">
        <v>41300</v>
      </c>
      <c r="C45" s="211" t="s">
        <v>271</v>
      </c>
      <c r="D45" s="38"/>
      <c r="E45" s="365"/>
      <c r="F45" s="38"/>
      <c r="G45" s="123"/>
      <c r="H45" s="123"/>
      <c r="I45" s="123"/>
      <c r="J45" s="123"/>
      <c r="K45" s="123"/>
      <c r="L45" s="123"/>
      <c r="M45" s="123"/>
      <c r="N45" s="123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179">
        <f t="shared" si="2"/>
        <v>0</v>
      </c>
      <c r="AD45" s="47"/>
      <c r="AE45" s="179">
        <f t="shared" si="3"/>
        <v>0</v>
      </c>
      <c r="AF45" s="47"/>
      <c r="AG45" s="179">
        <f t="shared" si="4"/>
        <v>0</v>
      </c>
      <c r="AH45" s="47"/>
      <c r="AI45" s="179">
        <f t="shared" si="5"/>
        <v>0</v>
      </c>
      <c r="AJ45" s="47"/>
      <c r="AK45" s="179">
        <f t="shared" si="6"/>
        <v>0</v>
      </c>
      <c r="AL45" s="47"/>
      <c r="AM45" s="179">
        <f t="shared" si="7"/>
        <v>0</v>
      </c>
      <c r="AN45" s="47"/>
      <c r="AO45" s="179">
        <f t="shared" si="8"/>
        <v>0</v>
      </c>
      <c r="AP45" s="47"/>
      <c r="AQ45" s="179">
        <f t="shared" si="9"/>
        <v>0</v>
      </c>
      <c r="AR45" s="47"/>
      <c r="AS45" s="179">
        <f t="shared" si="10"/>
        <v>0</v>
      </c>
      <c r="AT45" s="47"/>
      <c r="AU45" s="179">
        <f t="shared" si="11"/>
        <v>0</v>
      </c>
      <c r="AV45" s="47"/>
      <c r="AW45" s="179">
        <f t="shared" si="12"/>
        <v>0</v>
      </c>
      <c r="AX45" s="47"/>
      <c r="AY45" s="179">
        <f t="shared" si="13"/>
        <v>0</v>
      </c>
      <c r="AZ45" s="47"/>
      <c r="BA45" s="179">
        <f t="shared" si="14"/>
        <v>0</v>
      </c>
      <c r="BB45" s="47"/>
      <c r="BC45" s="179">
        <f t="shared" si="15"/>
        <v>0</v>
      </c>
      <c r="BD45" s="47"/>
      <c r="BE45" s="179">
        <f t="shared" si="16"/>
        <v>0</v>
      </c>
      <c r="BF45" s="47"/>
      <c r="BG45" s="179">
        <f t="shared" si="17"/>
        <v>0</v>
      </c>
      <c r="BH45" s="47"/>
      <c r="BI45" s="179">
        <f t="shared" ref="BI45:BI52" si="48">BH45*E45</f>
        <v>0</v>
      </c>
      <c r="BJ45" s="47"/>
      <c r="BK45" s="123"/>
      <c r="BL45" s="47"/>
      <c r="BN45" s="113"/>
      <c r="BO45" s="113"/>
      <c r="BP45" s="113"/>
      <c r="BQ45" s="113"/>
      <c r="BR45" s="113"/>
      <c r="BS45" s="113"/>
      <c r="BT45" s="113"/>
      <c r="BU45" s="124"/>
      <c r="BV45" s="179">
        <f t="shared" si="0"/>
        <v>0</v>
      </c>
    </row>
    <row r="46" spans="1:74" x14ac:dyDescent="0.25">
      <c r="A46" s="1023"/>
      <c r="B46" s="38">
        <v>41310</v>
      </c>
      <c r="C46" s="381" t="s">
        <v>272</v>
      </c>
      <c r="D46" s="38"/>
      <c r="E46" s="365"/>
      <c r="F46" s="38"/>
      <c r="G46" s="123"/>
      <c r="H46" s="123"/>
      <c r="I46" s="123"/>
      <c r="J46" s="123"/>
      <c r="K46" s="123"/>
      <c r="L46" s="123"/>
      <c r="M46" s="123"/>
      <c r="N46" s="123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179">
        <f t="shared" si="2"/>
        <v>0</v>
      </c>
      <c r="AD46" s="47"/>
      <c r="AE46" s="179">
        <f t="shared" si="3"/>
        <v>0</v>
      </c>
      <c r="AF46" s="47"/>
      <c r="AG46" s="179">
        <f t="shared" si="4"/>
        <v>0</v>
      </c>
      <c r="AH46" s="47"/>
      <c r="AI46" s="179">
        <f t="shared" si="5"/>
        <v>0</v>
      </c>
      <c r="AJ46" s="47"/>
      <c r="AK46" s="179">
        <f t="shared" si="6"/>
        <v>0</v>
      </c>
      <c r="AL46" s="47"/>
      <c r="AM46" s="179">
        <f t="shared" si="7"/>
        <v>0</v>
      </c>
      <c r="AN46" s="47"/>
      <c r="AO46" s="179">
        <f t="shared" si="8"/>
        <v>0</v>
      </c>
      <c r="AP46" s="47"/>
      <c r="AQ46" s="179">
        <f t="shared" si="9"/>
        <v>0</v>
      </c>
      <c r="AR46" s="47"/>
      <c r="AS46" s="179">
        <f t="shared" si="10"/>
        <v>0</v>
      </c>
      <c r="AT46" s="47"/>
      <c r="AU46" s="179">
        <f t="shared" si="11"/>
        <v>0</v>
      </c>
      <c r="AV46" s="47"/>
      <c r="AW46" s="179">
        <f t="shared" si="12"/>
        <v>0</v>
      </c>
      <c r="AX46" s="47"/>
      <c r="AY46" s="179">
        <f t="shared" si="13"/>
        <v>0</v>
      </c>
      <c r="AZ46" s="47"/>
      <c r="BA46" s="179">
        <f t="shared" si="14"/>
        <v>0</v>
      </c>
      <c r="BB46" s="47"/>
      <c r="BC46" s="179">
        <f t="shared" si="15"/>
        <v>0</v>
      </c>
      <c r="BD46" s="47"/>
      <c r="BE46" s="179">
        <f t="shared" si="16"/>
        <v>0</v>
      </c>
      <c r="BF46" s="47"/>
      <c r="BG46" s="179">
        <f t="shared" si="17"/>
        <v>0</v>
      </c>
      <c r="BH46" s="47"/>
      <c r="BI46" s="179">
        <f t="shared" si="48"/>
        <v>0</v>
      </c>
      <c r="BJ46" s="47"/>
      <c r="BK46" s="123"/>
      <c r="BL46" s="47"/>
      <c r="BN46" s="113"/>
      <c r="BO46" s="113"/>
      <c r="BP46" s="113"/>
      <c r="BQ46" s="113"/>
      <c r="BR46" s="113"/>
      <c r="BS46" s="113"/>
      <c r="BT46" s="113"/>
      <c r="BU46" s="124"/>
      <c r="BV46" s="179">
        <f t="shared" si="0"/>
        <v>0</v>
      </c>
    </row>
    <row r="47" spans="1:74" x14ac:dyDescent="0.25">
      <c r="A47" s="1023"/>
      <c r="B47" s="38"/>
      <c r="C47" s="38" t="s">
        <v>273</v>
      </c>
      <c r="D47" s="38" t="s">
        <v>17</v>
      </c>
      <c r="E47" s="365">
        <f>21*100000</f>
        <v>2100000</v>
      </c>
      <c r="F47" s="38">
        <f t="shared" ref="F47:F51" si="49">BJ47</f>
        <v>0</v>
      </c>
      <c r="G47" s="427">
        <f t="shared" ref="G47:G52" si="50">E47*F47</f>
        <v>0</v>
      </c>
      <c r="H47" s="427">
        <f t="shared" ref="H47:H52" si="51">G47*0.2</f>
        <v>0</v>
      </c>
      <c r="I47" s="427">
        <f t="shared" ref="I47:I52" si="52">G47*0.8</f>
        <v>0</v>
      </c>
      <c r="J47" s="427">
        <f t="shared" ref="J47:J52" si="53">G47*0</f>
        <v>0</v>
      </c>
      <c r="K47" s="427">
        <f t="shared" ref="K47:K52" si="54">G47*0</f>
        <v>0</v>
      </c>
      <c r="L47" s="427">
        <f t="shared" ref="L47:L52" si="55">G47*0</f>
        <v>0</v>
      </c>
      <c r="M47" s="427">
        <f t="shared" ref="M47:M52" si="56">G47*0</f>
        <v>0</v>
      </c>
      <c r="N47" s="427">
        <f t="shared" ref="N47:N52" si="57">G47*0</f>
        <v>0</v>
      </c>
      <c r="O47" s="85">
        <f t="shared" ref="O47:O52" si="58">G47*0</f>
        <v>0</v>
      </c>
      <c r="P47" s="85">
        <f t="shared" ref="P47:P52" si="59">G47*0</f>
        <v>0</v>
      </c>
      <c r="Q47" s="85">
        <f t="shared" ref="Q47:Q52" si="60">G47*0</f>
        <v>0</v>
      </c>
      <c r="R47" s="47"/>
      <c r="S47" s="47"/>
      <c r="T47" s="47"/>
      <c r="U47" s="47"/>
      <c r="V47" s="179">
        <f t="shared" ref="V47:V52" si="61">R47*E47</f>
        <v>0</v>
      </c>
      <c r="W47" s="179">
        <f t="shared" ref="W47:W52" si="62">S47*E47</f>
        <v>0</v>
      </c>
      <c r="X47" s="179">
        <f t="shared" ref="X47:X52" si="63">T47*E47</f>
        <v>0</v>
      </c>
      <c r="Y47" s="179">
        <f t="shared" ref="Y47:Y52" si="64">U47*E47</f>
        <v>0</v>
      </c>
      <c r="Z47" s="47">
        <v>0</v>
      </c>
      <c r="AA47" s="179">
        <f t="shared" ref="AA47:AA52" si="65">Z47*E47</f>
        <v>0</v>
      </c>
      <c r="AB47" s="47">
        <v>0</v>
      </c>
      <c r="AC47" s="179">
        <f t="shared" si="2"/>
        <v>0</v>
      </c>
      <c r="AD47" s="47">
        <v>0</v>
      </c>
      <c r="AE47" s="179">
        <f t="shared" si="3"/>
        <v>0</v>
      </c>
      <c r="AF47" s="47">
        <v>0</v>
      </c>
      <c r="AG47" s="179">
        <f t="shared" si="4"/>
        <v>0</v>
      </c>
      <c r="AH47" s="47">
        <v>0</v>
      </c>
      <c r="AI47" s="179">
        <f t="shared" si="5"/>
        <v>0</v>
      </c>
      <c r="AJ47" s="47">
        <v>0</v>
      </c>
      <c r="AK47" s="179">
        <f t="shared" si="6"/>
        <v>0</v>
      </c>
      <c r="AL47" s="47">
        <v>0</v>
      </c>
      <c r="AM47" s="179">
        <f t="shared" si="7"/>
        <v>0</v>
      </c>
      <c r="AN47" s="47">
        <v>0</v>
      </c>
      <c r="AO47" s="179">
        <f t="shared" si="8"/>
        <v>0</v>
      </c>
      <c r="AP47" s="47">
        <v>0</v>
      </c>
      <c r="AQ47" s="179">
        <f t="shared" si="9"/>
        <v>0</v>
      </c>
      <c r="AR47" s="47">
        <v>0</v>
      </c>
      <c r="AS47" s="179">
        <f t="shared" si="10"/>
        <v>0</v>
      </c>
      <c r="AT47" s="47">
        <v>0</v>
      </c>
      <c r="AU47" s="179">
        <f t="shared" si="11"/>
        <v>0</v>
      </c>
      <c r="AV47" s="47">
        <v>0</v>
      </c>
      <c r="AW47" s="179">
        <f t="shared" si="12"/>
        <v>0</v>
      </c>
      <c r="AX47" s="47">
        <v>0</v>
      </c>
      <c r="AY47" s="179">
        <f t="shared" si="13"/>
        <v>0</v>
      </c>
      <c r="AZ47" s="47">
        <v>0</v>
      </c>
      <c r="BA47" s="179">
        <f t="shared" si="14"/>
        <v>0</v>
      </c>
      <c r="BB47" s="47">
        <v>0</v>
      </c>
      <c r="BC47" s="179">
        <f t="shared" si="15"/>
        <v>0</v>
      </c>
      <c r="BD47" s="47">
        <v>0</v>
      </c>
      <c r="BE47" s="179">
        <f t="shared" si="16"/>
        <v>0</v>
      </c>
      <c r="BF47" s="47">
        <v>0</v>
      </c>
      <c r="BG47" s="179">
        <f t="shared" si="17"/>
        <v>0</v>
      </c>
      <c r="BH47" s="47">
        <v>0</v>
      </c>
      <c r="BI47" s="179">
        <f t="shared" si="48"/>
        <v>0</v>
      </c>
      <c r="BJ47" s="47">
        <f t="shared" ref="BJ47:BK51" si="66">Z47+AB47+AD47+AF47+AH47+AJ47+AL47+AN47+AP47+AR47+AT47+AV47+AX47+AZ47+BB47+BD47+BF47+BH47</f>
        <v>0</v>
      </c>
      <c r="BK47" s="117">
        <f t="shared" si="66"/>
        <v>0</v>
      </c>
      <c r="BL47" s="335" t="s">
        <v>467</v>
      </c>
      <c r="BN47" s="113"/>
      <c r="BO47" s="113"/>
      <c r="BP47" s="113">
        <f t="shared" ref="BP47:BP52" si="67">G47</f>
        <v>0</v>
      </c>
      <c r="BQ47" s="113"/>
      <c r="BR47" s="113">
        <f t="shared" ref="BR47:BR52" si="68">BN47+BO47+BP47+BQ47</f>
        <v>0</v>
      </c>
      <c r="BS47" s="113"/>
      <c r="BT47" s="113"/>
      <c r="BU47" s="124">
        <f t="shared" ref="BU47:BU52" si="69">BS47+BT47</f>
        <v>0</v>
      </c>
      <c r="BV47" s="179">
        <f t="shared" si="0"/>
        <v>0</v>
      </c>
    </row>
    <row r="48" spans="1:74" ht="31.5" x14ac:dyDescent="0.25">
      <c r="A48" s="1023"/>
      <c r="B48" s="38"/>
      <c r="C48" s="38" t="s">
        <v>274</v>
      </c>
      <c r="D48" s="38" t="s">
        <v>275</v>
      </c>
      <c r="E48" s="762">
        <v>700000</v>
      </c>
      <c r="F48" s="38">
        <f t="shared" si="49"/>
        <v>1</v>
      </c>
      <c r="G48" s="427">
        <f t="shared" si="50"/>
        <v>700000</v>
      </c>
      <c r="H48" s="427">
        <f t="shared" si="51"/>
        <v>140000</v>
      </c>
      <c r="I48" s="427">
        <f t="shared" si="52"/>
        <v>560000</v>
      </c>
      <c r="J48" s="427">
        <f t="shared" si="53"/>
        <v>0</v>
      </c>
      <c r="K48" s="427">
        <f t="shared" si="54"/>
        <v>0</v>
      </c>
      <c r="L48" s="427">
        <f t="shared" si="55"/>
        <v>0</v>
      </c>
      <c r="M48" s="427">
        <f t="shared" si="56"/>
        <v>0</v>
      </c>
      <c r="N48" s="427">
        <f t="shared" si="57"/>
        <v>0</v>
      </c>
      <c r="O48" s="85">
        <f t="shared" si="58"/>
        <v>0</v>
      </c>
      <c r="P48" s="85">
        <f t="shared" si="59"/>
        <v>0</v>
      </c>
      <c r="Q48" s="85">
        <f t="shared" si="60"/>
        <v>0</v>
      </c>
      <c r="R48" s="47"/>
      <c r="S48" s="47">
        <v>1</v>
      </c>
      <c r="T48" s="47"/>
      <c r="U48" s="47"/>
      <c r="V48" s="179">
        <f t="shared" si="61"/>
        <v>0</v>
      </c>
      <c r="W48" s="179">
        <f t="shared" si="62"/>
        <v>700000</v>
      </c>
      <c r="X48" s="179">
        <f t="shared" si="63"/>
        <v>0</v>
      </c>
      <c r="Y48" s="179">
        <f t="shared" si="64"/>
        <v>0</v>
      </c>
      <c r="Z48" s="47">
        <v>0</v>
      </c>
      <c r="AA48" s="179">
        <f t="shared" si="65"/>
        <v>0</v>
      </c>
      <c r="AB48" s="47">
        <v>0</v>
      </c>
      <c r="AC48" s="179">
        <f t="shared" si="2"/>
        <v>0</v>
      </c>
      <c r="AD48" s="47">
        <v>0</v>
      </c>
      <c r="AE48" s="179">
        <f t="shared" si="3"/>
        <v>0</v>
      </c>
      <c r="AF48" s="47">
        <v>0</v>
      </c>
      <c r="AG48" s="179">
        <f t="shared" si="4"/>
        <v>0</v>
      </c>
      <c r="AH48" s="47">
        <v>0</v>
      </c>
      <c r="AI48" s="179">
        <f t="shared" si="5"/>
        <v>0</v>
      </c>
      <c r="AJ48" s="47">
        <v>0</v>
      </c>
      <c r="AK48" s="179">
        <f t="shared" si="6"/>
        <v>0</v>
      </c>
      <c r="AL48" s="47">
        <v>0</v>
      </c>
      <c r="AM48" s="179">
        <f t="shared" si="7"/>
        <v>0</v>
      </c>
      <c r="AN48" s="47">
        <v>0</v>
      </c>
      <c r="AO48" s="179">
        <f t="shared" si="8"/>
        <v>0</v>
      </c>
      <c r="AP48" s="47">
        <v>0</v>
      </c>
      <c r="AQ48" s="179">
        <f t="shared" si="9"/>
        <v>0</v>
      </c>
      <c r="AR48" s="47">
        <v>0</v>
      </c>
      <c r="AS48" s="179">
        <f t="shared" si="10"/>
        <v>0</v>
      </c>
      <c r="AT48" s="47">
        <v>0</v>
      </c>
      <c r="AU48" s="179">
        <f t="shared" si="11"/>
        <v>0</v>
      </c>
      <c r="AV48" s="47">
        <v>0</v>
      </c>
      <c r="AW48" s="179">
        <f t="shared" si="12"/>
        <v>0</v>
      </c>
      <c r="AX48" s="47">
        <v>0</v>
      </c>
      <c r="AY48" s="179">
        <f t="shared" si="13"/>
        <v>0</v>
      </c>
      <c r="AZ48" s="47">
        <v>0</v>
      </c>
      <c r="BA48" s="179">
        <f t="shared" si="14"/>
        <v>0</v>
      </c>
      <c r="BB48" s="47">
        <v>0</v>
      </c>
      <c r="BC48" s="179">
        <f t="shared" si="15"/>
        <v>0</v>
      </c>
      <c r="BD48" s="47">
        <v>0</v>
      </c>
      <c r="BE48" s="179">
        <f t="shared" si="16"/>
        <v>0</v>
      </c>
      <c r="BF48" s="47">
        <v>0</v>
      </c>
      <c r="BG48" s="179">
        <f t="shared" si="17"/>
        <v>0</v>
      </c>
      <c r="BH48" s="47">
        <v>1</v>
      </c>
      <c r="BI48" s="179">
        <f t="shared" si="48"/>
        <v>700000</v>
      </c>
      <c r="BJ48" s="47">
        <f t="shared" si="66"/>
        <v>1</v>
      </c>
      <c r="BK48" s="117">
        <f t="shared" si="66"/>
        <v>700000</v>
      </c>
      <c r="BL48" s="335" t="s">
        <v>467</v>
      </c>
      <c r="BN48" s="113"/>
      <c r="BO48" s="113"/>
      <c r="BP48" s="113">
        <f t="shared" si="67"/>
        <v>700000</v>
      </c>
      <c r="BQ48" s="113"/>
      <c r="BR48" s="113">
        <f t="shared" si="68"/>
        <v>700000</v>
      </c>
      <c r="BS48" s="113"/>
      <c r="BT48" s="113"/>
      <c r="BU48" s="124">
        <f t="shared" si="69"/>
        <v>0</v>
      </c>
      <c r="BV48" s="179">
        <f t="shared" si="0"/>
        <v>700000</v>
      </c>
    </row>
    <row r="49" spans="1:74" x14ac:dyDescent="0.25">
      <c r="A49" s="1023"/>
      <c r="B49" s="38"/>
      <c r="C49" s="38" t="s">
        <v>276</v>
      </c>
      <c r="D49" s="38" t="s">
        <v>275</v>
      </c>
      <c r="E49" s="762">
        <v>700000</v>
      </c>
      <c r="F49" s="38">
        <f t="shared" si="49"/>
        <v>1</v>
      </c>
      <c r="G49" s="427">
        <f t="shared" si="50"/>
        <v>700000</v>
      </c>
      <c r="H49" s="427">
        <f t="shared" si="51"/>
        <v>140000</v>
      </c>
      <c r="I49" s="427">
        <f t="shared" si="52"/>
        <v>560000</v>
      </c>
      <c r="J49" s="427">
        <f t="shared" si="53"/>
        <v>0</v>
      </c>
      <c r="K49" s="427">
        <f t="shared" si="54"/>
        <v>0</v>
      </c>
      <c r="L49" s="427">
        <f t="shared" si="55"/>
        <v>0</v>
      </c>
      <c r="M49" s="427">
        <f t="shared" si="56"/>
        <v>0</v>
      </c>
      <c r="N49" s="427">
        <f t="shared" si="57"/>
        <v>0</v>
      </c>
      <c r="O49" s="85">
        <f t="shared" si="58"/>
        <v>0</v>
      </c>
      <c r="P49" s="85">
        <f t="shared" si="59"/>
        <v>0</v>
      </c>
      <c r="Q49" s="85">
        <f t="shared" si="60"/>
        <v>0</v>
      </c>
      <c r="R49" s="47"/>
      <c r="S49" s="47"/>
      <c r="T49" s="47"/>
      <c r="U49" s="47">
        <f>F49</f>
        <v>1</v>
      </c>
      <c r="V49" s="179">
        <f t="shared" si="61"/>
        <v>0</v>
      </c>
      <c r="W49" s="179">
        <f t="shared" si="62"/>
        <v>0</v>
      </c>
      <c r="X49" s="179">
        <f t="shared" si="63"/>
        <v>0</v>
      </c>
      <c r="Y49" s="179">
        <f t="shared" si="64"/>
        <v>700000</v>
      </c>
      <c r="Z49" s="47">
        <v>0</v>
      </c>
      <c r="AA49" s="179">
        <f t="shared" si="65"/>
        <v>0</v>
      </c>
      <c r="AB49" s="47">
        <v>0</v>
      </c>
      <c r="AC49" s="179">
        <f t="shared" si="2"/>
        <v>0</v>
      </c>
      <c r="AD49" s="47">
        <v>0</v>
      </c>
      <c r="AE49" s="179">
        <f t="shared" si="3"/>
        <v>0</v>
      </c>
      <c r="AF49" s="47">
        <v>0</v>
      </c>
      <c r="AG49" s="179">
        <f t="shared" si="4"/>
        <v>0</v>
      </c>
      <c r="AH49" s="47">
        <v>0</v>
      </c>
      <c r="AI49" s="179">
        <f t="shared" si="5"/>
        <v>0</v>
      </c>
      <c r="AJ49" s="47">
        <v>0</v>
      </c>
      <c r="AK49" s="179">
        <f t="shared" si="6"/>
        <v>0</v>
      </c>
      <c r="AL49" s="47">
        <v>0</v>
      </c>
      <c r="AM49" s="179">
        <f t="shared" si="7"/>
        <v>0</v>
      </c>
      <c r="AN49" s="47">
        <v>0</v>
      </c>
      <c r="AO49" s="179">
        <f t="shared" si="8"/>
        <v>0</v>
      </c>
      <c r="AP49" s="47">
        <v>0</v>
      </c>
      <c r="AQ49" s="179">
        <f t="shared" si="9"/>
        <v>0</v>
      </c>
      <c r="AR49" s="47">
        <v>0</v>
      </c>
      <c r="AS49" s="179">
        <f t="shared" si="10"/>
        <v>0</v>
      </c>
      <c r="AT49" s="47">
        <v>0</v>
      </c>
      <c r="AU49" s="179">
        <f t="shared" si="11"/>
        <v>0</v>
      </c>
      <c r="AV49" s="47">
        <v>0</v>
      </c>
      <c r="AW49" s="179">
        <f t="shared" si="12"/>
        <v>0</v>
      </c>
      <c r="AX49" s="47">
        <v>0</v>
      </c>
      <c r="AY49" s="179">
        <f t="shared" si="13"/>
        <v>0</v>
      </c>
      <c r="AZ49" s="47">
        <v>0</v>
      </c>
      <c r="BA49" s="179">
        <f t="shared" si="14"/>
        <v>0</v>
      </c>
      <c r="BB49" s="47">
        <v>0</v>
      </c>
      <c r="BC49" s="179">
        <f t="shared" si="15"/>
        <v>0</v>
      </c>
      <c r="BD49" s="47">
        <v>0</v>
      </c>
      <c r="BE49" s="179">
        <f t="shared" si="16"/>
        <v>0</v>
      </c>
      <c r="BF49" s="47">
        <v>0</v>
      </c>
      <c r="BG49" s="179">
        <f t="shared" si="17"/>
        <v>0</v>
      </c>
      <c r="BH49" s="47">
        <v>1</v>
      </c>
      <c r="BI49" s="179">
        <f t="shared" si="48"/>
        <v>700000</v>
      </c>
      <c r="BJ49" s="47">
        <f t="shared" si="66"/>
        <v>1</v>
      </c>
      <c r="BK49" s="117">
        <f t="shared" si="66"/>
        <v>700000</v>
      </c>
      <c r="BL49" s="335" t="s">
        <v>467</v>
      </c>
      <c r="BN49" s="113"/>
      <c r="BO49" s="113"/>
      <c r="BP49" s="113">
        <f t="shared" si="67"/>
        <v>700000</v>
      </c>
      <c r="BQ49" s="113"/>
      <c r="BR49" s="113">
        <f t="shared" si="68"/>
        <v>700000</v>
      </c>
      <c r="BS49" s="113"/>
      <c r="BT49" s="113"/>
      <c r="BU49" s="124">
        <f t="shared" si="69"/>
        <v>0</v>
      </c>
      <c r="BV49" s="179">
        <f t="shared" si="0"/>
        <v>700000</v>
      </c>
    </row>
    <row r="50" spans="1:74" x14ac:dyDescent="0.25">
      <c r="A50" s="1023"/>
      <c r="B50" s="38"/>
      <c r="C50" s="38" t="s">
        <v>277</v>
      </c>
      <c r="D50" s="38" t="s">
        <v>275</v>
      </c>
      <c r="E50" s="365">
        <f>10*100000</f>
        <v>1000000</v>
      </c>
      <c r="F50" s="38">
        <f t="shared" si="49"/>
        <v>0</v>
      </c>
      <c r="G50" s="427">
        <f t="shared" si="50"/>
        <v>0</v>
      </c>
      <c r="H50" s="427">
        <f t="shared" si="51"/>
        <v>0</v>
      </c>
      <c r="I50" s="427">
        <f t="shared" si="52"/>
        <v>0</v>
      </c>
      <c r="J50" s="427">
        <f t="shared" si="53"/>
        <v>0</v>
      </c>
      <c r="K50" s="427">
        <f t="shared" si="54"/>
        <v>0</v>
      </c>
      <c r="L50" s="427">
        <f t="shared" si="55"/>
        <v>0</v>
      </c>
      <c r="M50" s="427">
        <f t="shared" si="56"/>
        <v>0</v>
      </c>
      <c r="N50" s="427">
        <f t="shared" si="57"/>
        <v>0</v>
      </c>
      <c r="O50" s="85">
        <f t="shared" si="58"/>
        <v>0</v>
      </c>
      <c r="P50" s="85">
        <f t="shared" si="59"/>
        <v>0</v>
      </c>
      <c r="Q50" s="85">
        <f t="shared" si="60"/>
        <v>0</v>
      </c>
      <c r="R50" s="47"/>
      <c r="S50" s="47"/>
      <c r="T50" s="47"/>
      <c r="U50" s="47"/>
      <c r="V50" s="179">
        <f t="shared" si="61"/>
        <v>0</v>
      </c>
      <c r="W50" s="179">
        <f t="shared" si="62"/>
        <v>0</v>
      </c>
      <c r="X50" s="179">
        <f t="shared" si="63"/>
        <v>0</v>
      </c>
      <c r="Y50" s="179">
        <f t="shared" si="64"/>
        <v>0</v>
      </c>
      <c r="Z50" s="47">
        <v>0</v>
      </c>
      <c r="AA50" s="179">
        <f t="shared" si="65"/>
        <v>0</v>
      </c>
      <c r="AB50" s="47">
        <v>0</v>
      </c>
      <c r="AC50" s="179">
        <f t="shared" si="2"/>
        <v>0</v>
      </c>
      <c r="AD50" s="47">
        <v>0</v>
      </c>
      <c r="AE50" s="179">
        <f t="shared" si="3"/>
        <v>0</v>
      </c>
      <c r="AF50" s="47">
        <v>0</v>
      </c>
      <c r="AG50" s="179">
        <f t="shared" si="4"/>
        <v>0</v>
      </c>
      <c r="AH50" s="47">
        <v>0</v>
      </c>
      <c r="AI50" s="179">
        <f t="shared" si="5"/>
        <v>0</v>
      </c>
      <c r="AJ50" s="47">
        <v>0</v>
      </c>
      <c r="AK50" s="179">
        <f t="shared" si="6"/>
        <v>0</v>
      </c>
      <c r="AL50" s="47">
        <v>0</v>
      </c>
      <c r="AM50" s="179">
        <f t="shared" si="7"/>
        <v>0</v>
      </c>
      <c r="AN50" s="47">
        <v>0</v>
      </c>
      <c r="AO50" s="179">
        <f t="shared" si="8"/>
        <v>0</v>
      </c>
      <c r="AP50" s="47">
        <v>0</v>
      </c>
      <c r="AQ50" s="179">
        <f t="shared" si="9"/>
        <v>0</v>
      </c>
      <c r="AR50" s="47">
        <v>0</v>
      </c>
      <c r="AS50" s="179">
        <f t="shared" si="10"/>
        <v>0</v>
      </c>
      <c r="AT50" s="47">
        <v>0</v>
      </c>
      <c r="AU50" s="179">
        <f t="shared" si="11"/>
        <v>0</v>
      </c>
      <c r="AV50" s="47">
        <v>0</v>
      </c>
      <c r="AW50" s="179">
        <f t="shared" si="12"/>
        <v>0</v>
      </c>
      <c r="AX50" s="47">
        <v>0</v>
      </c>
      <c r="AY50" s="179">
        <f t="shared" si="13"/>
        <v>0</v>
      </c>
      <c r="AZ50" s="47">
        <v>0</v>
      </c>
      <c r="BA50" s="179">
        <f t="shared" si="14"/>
        <v>0</v>
      </c>
      <c r="BB50" s="47">
        <v>0</v>
      </c>
      <c r="BC50" s="179">
        <f t="shared" si="15"/>
        <v>0</v>
      </c>
      <c r="BD50" s="47">
        <v>0</v>
      </c>
      <c r="BE50" s="179">
        <f t="shared" si="16"/>
        <v>0</v>
      </c>
      <c r="BF50" s="47">
        <v>0</v>
      </c>
      <c r="BG50" s="179">
        <f t="shared" si="17"/>
        <v>0</v>
      </c>
      <c r="BH50" s="47">
        <v>0</v>
      </c>
      <c r="BI50" s="179">
        <f t="shared" si="48"/>
        <v>0</v>
      </c>
      <c r="BJ50" s="47">
        <f t="shared" si="66"/>
        <v>0</v>
      </c>
      <c r="BK50" s="117">
        <f t="shared" si="66"/>
        <v>0</v>
      </c>
      <c r="BL50" s="335" t="s">
        <v>467</v>
      </c>
      <c r="BN50" s="113"/>
      <c r="BO50" s="113"/>
      <c r="BP50" s="113">
        <f t="shared" si="67"/>
        <v>0</v>
      </c>
      <c r="BQ50" s="113"/>
      <c r="BR50" s="113">
        <f t="shared" si="68"/>
        <v>0</v>
      </c>
      <c r="BS50" s="113"/>
      <c r="BT50" s="113"/>
      <c r="BU50" s="124">
        <f t="shared" si="69"/>
        <v>0</v>
      </c>
      <c r="BV50" s="179">
        <f t="shared" si="0"/>
        <v>0</v>
      </c>
    </row>
    <row r="51" spans="1:74" x14ac:dyDescent="0.25">
      <c r="A51" s="1023"/>
      <c r="B51" s="38"/>
      <c r="C51" s="38" t="s">
        <v>278</v>
      </c>
      <c r="D51" s="38" t="s">
        <v>128</v>
      </c>
      <c r="E51" s="365">
        <f>25*100000</f>
        <v>2500000</v>
      </c>
      <c r="F51" s="38">
        <f t="shared" si="49"/>
        <v>0</v>
      </c>
      <c r="G51" s="427">
        <f t="shared" si="50"/>
        <v>0</v>
      </c>
      <c r="H51" s="427">
        <f t="shared" si="51"/>
        <v>0</v>
      </c>
      <c r="I51" s="427">
        <f t="shared" si="52"/>
        <v>0</v>
      </c>
      <c r="J51" s="427">
        <f t="shared" si="53"/>
        <v>0</v>
      </c>
      <c r="K51" s="427">
        <f t="shared" si="54"/>
        <v>0</v>
      </c>
      <c r="L51" s="427">
        <f t="shared" si="55"/>
        <v>0</v>
      </c>
      <c r="M51" s="427">
        <f t="shared" si="56"/>
        <v>0</v>
      </c>
      <c r="N51" s="427">
        <f t="shared" si="57"/>
        <v>0</v>
      </c>
      <c r="O51" s="85">
        <f t="shared" si="58"/>
        <v>0</v>
      </c>
      <c r="P51" s="85">
        <f t="shared" si="59"/>
        <v>0</v>
      </c>
      <c r="Q51" s="85">
        <f t="shared" si="60"/>
        <v>0</v>
      </c>
      <c r="R51" s="47"/>
      <c r="S51" s="47"/>
      <c r="T51" s="47"/>
      <c r="U51" s="47"/>
      <c r="V51" s="179">
        <f t="shared" si="61"/>
        <v>0</v>
      </c>
      <c r="W51" s="179">
        <f t="shared" si="62"/>
        <v>0</v>
      </c>
      <c r="X51" s="179">
        <f t="shared" si="63"/>
        <v>0</v>
      </c>
      <c r="Y51" s="179">
        <f t="shared" si="64"/>
        <v>0</v>
      </c>
      <c r="Z51" s="47">
        <v>0</v>
      </c>
      <c r="AA51" s="179">
        <f t="shared" si="65"/>
        <v>0</v>
      </c>
      <c r="AB51" s="47">
        <v>0</v>
      </c>
      <c r="AC51" s="179">
        <f t="shared" si="2"/>
        <v>0</v>
      </c>
      <c r="AD51" s="47">
        <v>0</v>
      </c>
      <c r="AE51" s="179">
        <f t="shared" si="3"/>
        <v>0</v>
      </c>
      <c r="AF51" s="47">
        <v>0</v>
      </c>
      <c r="AG51" s="179">
        <f t="shared" si="4"/>
        <v>0</v>
      </c>
      <c r="AH51" s="47">
        <v>0</v>
      </c>
      <c r="AI51" s="179">
        <f t="shared" si="5"/>
        <v>0</v>
      </c>
      <c r="AJ51" s="47">
        <v>0</v>
      </c>
      <c r="AK51" s="179">
        <f t="shared" si="6"/>
        <v>0</v>
      </c>
      <c r="AL51" s="47">
        <v>0</v>
      </c>
      <c r="AM51" s="179">
        <f t="shared" si="7"/>
        <v>0</v>
      </c>
      <c r="AN51" s="47">
        <v>0</v>
      </c>
      <c r="AO51" s="179">
        <f t="shared" si="8"/>
        <v>0</v>
      </c>
      <c r="AP51" s="47">
        <v>0</v>
      </c>
      <c r="AQ51" s="179">
        <f t="shared" si="9"/>
        <v>0</v>
      </c>
      <c r="AR51" s="47">
        <v>0</v>
      </c>
      <c r="AS51" s="179">
        <f t="shared" si="10"/>
        <v>0</v>
      </c>
      <c r="AT51" s="47">
        <v>0</v>
      </c>
      <c r="AU51" s="179">
        <f t="shared" si="11"/>
        <v>0</v>
      </c>
      <c r="AV51" s="47">
        <v>0</v>
      </c>
      <c r="AW51" s="179">
        <f t="shared" si="12"/>
        <v>0</v>
      </c>
      <c r="AX51" s="47">
        <v>0</v>
      </c>
      <c r="AY51" s="179">
        <f t="shared" si="13"/>
        <v>0</v>
      </c>
      <c r="AZ51" s="47">
        <v>0</v>
      </c>
      <c r="BA51" s="179">
        <f t="shared" si="14"/>
        <v>0</v>
      </c>
      <c r="BB51" s="47">
        <v>0</v>
      </c>
      <c r="BC51" s="179">
        <f t="shared" si="15"/>
        <v>0</v>
      </c>
      <c r="BD51" s="47">
        <v>0</v>
      </c>
      <c r="BE51" s="179">
        <f t="shared" si="16"/>
        <v>0</v>
      </c>
      <c r="BF51" s="47">
        <v>0</v>
      </c>
      <c r="BG51" s="179">
        <f t="shared" si="17"/>
        <v>0</v>
      </c>
      <c r="BH51" s="47">
        <v>0</v>
      </c>
      <c r="BI51" s="179">
        <f t="shared" si="48"/>
        <v>0</v>
      </c>
      <c r="BJ51" s="47">
        <f t="shared" si="66"/>
        <v>0</v>
      </c>
      <c r="BK51" s="117">
        <f t="shared" si="66"/>
        <v>0</v>
      </c>
      <c r="BL51" s="335" t="s">
        <v>467</v>
      </c>
      <c r="BN51" s="113"/>
      <c r="BO51" s="113"/>
      <c r="BP51" s="113">
        <f t="shared" si="67"/>
        <v>0</v>
      </c>
      <c r="BQ51" s="113"/>
      <c r="BR51" s="113">
        <f t="shared" si="68"/>
        <v>0</v>
      </c>
      <c r="BS51" s="113"/>
      <c r="BT51" s="113"/>
      <c r="BU51" s="124">
        <f t="shared" si="69"/>
        <v>0</v>
      </c>
      <c r="BV51" s="179">
        <f t="shared" si="0"/>
        <v>0</v>
      </c>
    </row>
    <row r="52" spans="1:74" ht="31.5" x14ac:dyDescent="0.25">
      <c r="A52" s="1023"/>
      <c r="B52" s="38"/>
      <c r="C52" s="38" t="s">
        <v>896</v>
      </c>
      <c r="D52" s="38" t="s">
        <v>128</v>
      </c>
      <c r="E52" s="365">
        <v>500000</v>
      </c>
      <c r="F52" s="685">
        <f>BJ52</f>
        <v>1</v>
      </c>
      <c r="G52" s="427">
        <f t="shared" si="50"/>
        <v>500000</v>
      </c>
      <c r="H52" s="427">
        <f t="shared" si="51"/>
        <v>100000</v>
      </c>
      <c r="I52" s="427">
        <f t="shared" si="52"/>
        <v>400000</v>
      </c>
      <c r="J52" s="427">
        <f t="shared" si="53"/>
        <v>0</v>
      </c>
      <c r="K52" s="427">
        <f t="shared" si="54"/>
        <v>0</v>
      </c>
      <c r="L52" s="427">
        <f t="shared" si="55"/>
        <v>0</v>
      </c>
      <c r="M52" s="427">
        <f t="shared" si="56"/>
        <v>0</v>
      </c>
      <c r="N52" s="427">
        <f t="shared" si="57"/>
        <v>0</v>
      </c>
      <c r="O52" s="85">
        <f t="shared" si="58"/>
        <v>0</v>
      </c>
      <c r="P52" s="85">
        <f t="shared" si="59"/>
        <v>0</v>
      </c>
      <c r="Q52" s="85">
        <f t="shared" si="60"/>
        <v>0</v>
      </c>
      <c r="R52" s="47"/>
      <c r="S52" s="47"/>
      <c r="T52" s="47">
        <f>F52</f>
        <v>1</v>
      </c>
      <c r="U52" s="47"/>
      <c r="V52" s="179">
        <f t="shared" si="61"/>
        <v>0</v>
      </c>
      <c r="W52" s="179">
        <f t="shared" si="62"/>
        <v>0</v>
      </c>
      <c r="X52" s="179">
        <f t="shared" si="63"/>
        <v>500000</v>
      </c>
      <c r="Y52" s="179">
        <f t="shared" si="64"/>
        <v>0</v>
      </c>
      <c r="Z52" s="47">
        <v>0</v>
      </c>
      <c r="AA52" s="179">
        <f t="shared" si="65"/>
        <v>0</v>
      </c>
      <c r="AB52" s="47">
        <v>0</v>
      </c>
      <c r="AC52" s="179">
        <f t="shared" si="2"/>
        <v>0</v>
      </c>
      <c r="AD52" s="47">
        <v>0</v>
      </c>
      <c r="AE52" s="179">
        <f t="shared" si="3"/>
        <v>0</v>
      </c>
      <c r="AF52" s="47">
        <v>0</v>
      </c>
      <c r="AG52" s="179">
        <f t="shared" si="4"/>
        <v>0</v>
      </c>
      <c r="AH52" s="47">
        <v>0</v>
      </c>
      <c r="AI52" s="179">
        <f t="shared" si="5"/>
        <v>0</v>
      </c>
      <c r="AJ52" s="47">
        <v>0</v>
      </c>
      <c r="AK52" s="179">
        <f t="shared" si="6"/>
        <v>0</v>
      </c>
      <c r="AL52" s="47">
        <v>0</v>
      </c>
      <c r="AM52" s="179">
        <f t="shared" si="7"/>
        <v>0</v>
      </c>
      <c r="AN52" s="47">
        <v>0</v>
      </c>
      <c r="AO52" s="179">
        <f t="shared" si="8"/>
        <v>0</v>
      </c>
      <c r="AP52" s="47">
        <v>0</v>
      </c>
      <c r="AQ52" s="179">
        <f t="shared" si="9"/>
        <v>0</v>
      </c>
      <c r="AR52" s="47">
        <v>0</v>
      </c>
      <c r="AS52" s="179">
        <f t="shared" si="10"/>
        <v>0</v>
      </c>
      <c r="AT52" s="47">
        <v>0</v>
      </c>
      <c r="AU52" s="179">
        <f t="shared" si="11"/>
        <v>0</v>
      </c>
      <c r="AV52" s="47">
        <v>0</v>
      </c>
      <c r="AW52" s="179">
        <f t="shared" si="12"/>
        <v>0</v>
      </c>
      <c r="AX52" s="47">
        <v>0</v>
      </c>
      <c r="AY52" s="179">
        <f t="shared" si="13"/>
        <v>0</v>
      </c>
      <c r="AZ52" s="47">
        <v>0</v>
      </c>
      <c r="BA52" s="179">
        <f t="shared" si="14"/>
        <v>0</v>
      </c>
      <c r="BB52" s="47">
        <v>0</v>
      </c>
      <c r="BC52" s="179">
        <f t="shared" si="15"/>
        <v>0</v>
      </c>
      <c r="BD52" s="47">
        <v>0</v>
      </c>
      <c r="BE52" s="179">
        <f t="shared" si="16"/>
        <v>0</v>
      </c>
      <c r="BF52" s="47">
        <v>0</v>
      </c>
      <c r="BG52" s="179">
        <f t="shared" si="17"/>
        <v>0</v>
      </c>
      <c r="BH52" s="47">
        <v>1</v>
      </c>
      <c r="BI52" s="179">
        <f t="shared" si="48"/>
        <v>500000</v>
      </c>
      <c r="BJ52" s="47">
        <f>Z52+AB52+AD52+AF52+AH52+AJ52+AL52+AN52+AP52+AR52+AT52+AV52+AX52+AZ52+BB52+BD52+BF52+BH52</f>
        <v>1</v>
      </c>
      <c r="BK52" s="117">
        <f>AA52+AC52+AE52+AG52+AI52+AK52+AM52+AO52+AQ52+AS52+AU52+AW52+AY52+BA52+BC52+BE52+BG52+BI52</f>
        <v>500000</v>
      </c>
      <c r="BL52" s="335" t="s">
        <v>467</v>
      </c>
      <c r="BN52" s="113"/>
      <c r="BO52" s="113"/>
      <c r="BP52" s="113">
        <f t="shared" si="67"/>
        <v>500000</v>
      </c>
      <c r="BQ52" s="113"/>
      <c r="BR52" s="113">
        <f t="shared" si="68"/>
        <v>500000</v>
      </c>
      <c r="BS52" s="113"/>
      <c r="BT52" s="113"/>
      <c r="BU52" s="124">
        <f t="shared" si="69"/>
        <v>0</v>
      </c>
      <c r="BV52" s="179">
        <f t="shared" si="0"/>
        <v>500000</v>
      </c>
    </row>
    <row r="53" spans="1:74" ht="31.5" x14ac:dyDescent="0.25">
      <c r="A53" s="1023"/>
      <c r="B53" s="428"/>
      <c r="C53" s="428" t="s">
        <v>279</v>
      </c>
      <c r="D53" s="428" t="s">
        <v>280</v>
      </c>
      <c r="E53" s="428"/>
      <c r="F53" s="428">
        <f>SUM(F47:F52)</f>
        <v>3</v>
      </c>
      <c r="G53" s="429">
        <f>SUM(G47:G52)</f>
        <v>1900000</v>
      </c>
      <c r="H53" s="429">
        <f t="shared" ref="H53:Q53" si="70">SUM(H47:H52)</f>
        <v>380000</v>
      </c>
      <c r="I53" s="429">
        <f t="shared" si="70"/>
        <v>1520000</v>
      </c>
      <c r="J53" s="429">
        <f t="shared" si="70"/>
        <v>0</v>
      </c>
      <c r="K53" s="429">
        <f t="shared" si="70"/>
        <v>0</v>
      </c>
      <c r="L53" s="429">
        <f t="shared" si="70"/>
        <v>0</v>
      </c>
      <c r="M53" s="429">
        <f t="shared" si="70"/>
        <v>0</v>
      </c>
      <c r="N53" s="429">
        <f t="shared" si="70"/>
        <v>0</v>
      </c>
      <c r="O53" s="429">
        <f t="shared" si="70"/>
        <v>0</v>
      </c>
      <c r="P53" s="429">
        <f t="shared" si="70"/>
        <v>0</v>
      </c>
      <c r="Q53" s="429">
        <f t="shared" si="70"/>
        <v>0</v>
      </c>
      <c r="R53" s="428">
        <f t="shared" ref="R53:BK53" si="71">SUM(R47:R52)</f>
        <v>0</v>
      </c>
      <c r="S53" s="428">
        <f t="shared" si="71"/>
        <v>1</v>
      </c>
      <c r="T53" s="428">
        <f t="shared" si="71"/>
        <v>1</v>
      </c>
      <c r="U53" s="428">
        <f t="shared" si="71"/>
        <v>1</v>
      </c>
      <c r="V53" s="429">
        <f t="shared" si="71"/>
        <v>0</v>
      </c>
      <c r="W53" s="429">
        <f t="shared" si="71"/>
        <v>700000</v>
      </c>
      <c r="X53" s="429">
        <f t="shared" si="71"/>
        <v>500000</v>
      </c>
      <c r="Y53" s="429">
        <f t="shared" si="71"/>
        <v>700000</v>
      </c>
      <c r="Z53" s="428">
        <f t="shared" si="71"/>
        <v>0</v>
      </c>
      <c r="AA53" s="429">
        <f t="shared" si="71"/>
        <v>0</v>
      </c>
      <c r="AB53" s="428">
        <f t="shared" si="71"/>
        <v>0</v>
      </c>
      <c r="AC53" s="429">
        <f t="shared" si="71"/>
        <v>0</v>
      </c>
      <c r="AD53" s="428">
        <f t="shared" si="71"/>
        <v>0</v>
      </c>
      <c r="AE53" s="429">
        <f t="shared" si="71"/>
        <v>0</v>
      </c>
      <c r="AF53" s="428">
        <f t="shared" si="71"/>
        <v>0</v>
      </c>
      <c r="AG53" s="429">
        <f t="shared" si="71"/>
        <v>0</v>
      </c>
      <c r="AH53" s="428">
        <f t="shared" si="71"/>
        <v>0</v>
      </c>
      <c r="AI53" s="429">
        <f t="shared" si="71"/>
        <v>0</v>
      </c>
      <c r="AJ53" s="428">
        <f t="shared" si="71"/>
        <v>0</v>
      </c>
      <c r="AK53" s="429">
        <f t="shared" si="71"/>
        <v>0</v>
      </c>
      <c r="AL53" s="428">
        <f t="shared" si="71"/>
        <v>0</v>
      </c>
      <c r="AM53" s="429">
        <f t="shared" si="71"/>
        <v>0</v>
      </c>
      <c r="AN53" s="428">
        <f t="shared" si="71"/>
        <v>0</v>
      </c>
      <c r="AO53" s="429">
        <f t="shared" si="71"/>
        <v>0</v>
      </c>
      <c r="AP53" s="428">
        <f t="shared" si="71"/>
        <v>0</v>
      </c>
      <c r="AQ53" s="429">
        <f t="shared" si="71"/>
        <v>0</v>
      </c>
      <c r="AR53" s="428">
        <f t="shared" si="71"/>
        <v>0</v>
      </c>
      <c r="AS53" s="429">
        <f t="shared" si="71"/>
        <v>0</v>
      </c>
      <c r="AT53" s="428">
        <f t="shared" si="71"/>
        <v>0</v>
      </c>
      <c r="AU53" s="429">
        <f t="shared" si="71"/>
        <v>0</v>
      </c>
      <c r="AV53" s="428">
        <f t="shared" si="71"/>
        <v>0</v>
      </c>
      <c r="AW53" s="429">
        <f t="shared" si="71"/>
        <v>0</v>
      </c>
      <c r="AX53" s="428">
        <f t="shared" si="71"/>
        <v>0</v>
      </c>
      <c r="AY53" s="429">
        <f t="shared" si="71"/>
        <v>0</v>
      </c>
      <c r="AZ53" s="428">
        <f t="shared" si="71"/>
        <v>0</v>
      </c>
      <c r="BA53" s="429">
        <f t="shared" si="71"/>
        <v>0</v>
      </c>
      <c r="BB53" s="428">
        <f t="shared" si="71"/>
        <v>0</v>
      </c>
      <c r="BC53" s="429">
        <f t="shared" si="71"/>
        <v>0</v>
      </c>
      <c r="BD53" s="428">
        <f t="shared" si="71"/>
        <v>0</v>
      </c>
      <c r="BE53" s="429">
        <f t="shared" si="71"/>
        <v>0</v>
      </c>
      <c r="BF53" s="428">
        <f t="shared" si="71"/>
        <v>0</v>
      </c>
      <c r="BG53" s="429">
        <f t="shared" si="71"/>
        <v>0</v>
      </c>
      <c r="BH53" s="428">
        <f t="shared" si="71"/>
        <v>3</v>
      </c>
      <c r="BI53" s="429">
        <f t="shared" si="71"/>
        <v>1900000</v>
      </c>
      <c r="BJ53" s="428">
        <f t="shared" si="71"/>
        <v>3</v>
      </c>
      <c r="BK53" s="430">
        <f t="shared" si="71"/>
        <v>1900000</v>
      </c>
      <c r="BL53" s="47"/>
      <c r="BN53" s="430">
        <f t="shared" ref="BN53:BU53" si="72">SUM(BN47:BN52)</f>
        <v>0</v>
      </c>
      <c r="BO53" s="430">
        <f t="shared" si="72"/>
        <v>0</v>
      </c>
      <c r="BP53" s="430">
        <f t="shared" si="72"/>
        <v>1900000</v>
      </c>
      <c r="BQ53" s="430">
        <f t="shared" si="72"/>
        <v>0</v>
      </c>
      <c r="BR53" s="430">
        <f t="shared" si="72"/>
        <v>1900000</v>
      </c>
      <c r="BS53" s="430">
        <f t="shared" si="72"/>
        <v>0</v>
      </c>
      <c r="BT53" s="430">
        <f t="shared" si="72"/>
        <v>0</v>
      </c>
      <c r="BU53" s="430">
        <f t="shared" si="72"/>
        <v>0</v>
      </c>
      <c r="BV53" s="380">
        <f t="shared" si="0"/>
        <v>1900000</v>
      </c>
    </row>
    <row r="54" spans="1:74" x14ac:dyDescent="0.25">
      <c r="A54" s="1023"/>
      <c r="B54" s="38">
        <v>41320</v>
      </c>
      <c r="C54" s="679" t="s">
        <v>281</v>
      </c>
      <c r="D54" s="38"/>
      <c r="E54" s="365"/>
      <c r="F54" s="38"/>
      <c r="G54" s="123"/>
      <c r="H54" s="123"/>
      <c r="I54" s="123"/>
      <c r="J54" s="123"/>
      <c r="K54" s="123"/>
      <c r="L54" s="123"/>
      <c r="M54" s="123"/>
      <c r="N54" s="123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179">
        <f t="shared" si="2"/>
        <v>0</v>
      </c>
      <c r="AD54" s="47"/>
      <c r="AE54" s="179">
        <f t="shared" si="3"/>
        <v>0</v>
      </c>
      <c r="AF54" s="47"/>
      <c r="AG54" s="179">
        <f t="shared" si="4"/>
        <v>0</v>
      </c>
      <c r="AH54" s="47"/>
      <c r="AI54" s="179">
        <f t="shared" si="5"/>
        <v>0</v>
      </c>
      <c r="AJ54" s="47"/>
      <c r="AK54" s="179">
        <f t="shared" si="6"/>
        <v>0</v>
      </c>
      <c r="AL54" s="47"/>
      <c r="AM54" s="179">
        <f t="shared" si="7"/>
        <v>0</v>
      </c>
      <c r="AN54" s="47"/>
      <c r="AO54" s="179">
        <f t="shared" si="8"/>
        <v>0</v>
      </c>
      <c r="AP54" s="47"/>
      <c r="AQ54" s="179">
        <f t="shared" si="9"/>
        <v>0</v>
      </c>
      <c r="AR54" s="47"/>
      <c r="AS54" s="179">
        <f t="shared" si="10"/>
        <v>0</v>
      </c>
      <c r="AT54" s="47"/>
      <c r="AU54" s="179">
        <f t="shared" si="11"/>
        <v>0</v>
      </c>
      <c r="AV54" s="47"/>
      <c r="AW54" s="179">
        <f t="shared" si="12"/>
        <v>0</v>
      </c>
      <c r="AX54" s="47"/>
      <c r="AY54" s="179">
        <f t="shared" si="13"/>
        <v>0</v>
      </c>
      <c r="AZ54" s="47"/>
      <c r="BA54" s="179">
        <f t="shared" si="14"/>
        <v>0</v>
      </c>
      <c r="BB54" s="47"/>
      <c r="BC54" s="179">
        <f t="shared" si="15"/>
        <v>0</v>
      </c>
      <c r="BD54" s="47"/>
      <c r="BE54" s="179">
        <f t="shared" si="16"/>
        <v>0</v>
      </c>
      <c r="BF54" s="47"/>
      <c r="BG54" s="179">
        <f t="shared" si="17"/>
        <v>0</v>
      </c>
      <c r="BH54" s="47"/>
      <c r="BI54" s="47"/>
      <c r="BJ54" s="47"/>
      <c r="BK54" s="123"/>
      <c r="BL54" s="47"/>
      <c r="BN54" s="113"/>
      <c r="BO54" s="113"/>
      <c r="BP54" s="113"/>
      <c r="BQ54" s="113"/>
      <c r="BR54" s="113"/>
      <c r="BS54" s="113"/>
      <c r="BT54" s="113"/>
      <c r="BU54" s="124"/>
      <c r="BV54" s="179">
        <f t="shared" si="0"/>
        <v>0</v>
      </c>
    </row>
    <row r="55" spans="1:74" x14ac:dyDescent="0.25">
      <c r="A55" s="1023"/>
      <c r="B55" s="38"/>
      <c r="C55" s="38" t="s">
        <v>793</v>
      </c>
      <c r="D55" s="38" t="s">
        <v>44</v>
      </c>
      <c r="E55" s="762">
        <v>1400000</v>
      </c>
      <c r="F55" s="636">
        <f>BJ55</f>
        <v>1</v>
      </c>
      <c r="G55" s="637">
        <f>E55*F55</f>
        <v>1400000</v>
      </c>
      <c r="H55" s="427">
        <f>G55*0.2</f>
        <v>280000</v>
      </c>
      <c r="I55" s="427">
        <f>G55*0.8</f>
        <v>1120000</v>
      </c>
      <c r="J55" s="427">
        <f>G55*0</f>
        <v>0</v>
      </c>
      <c r="K55" s="427">
        <f>G55*0</f>
        <v>0</v>
      </c>
      <c r="L55" s="427">
        <f>G55*0</f>
        <v>0</v>
      </c>
      <c r="M55" s="427">
        <f>G55*0</f>
        <v>0</v>
      </c>
      <c r="N55" s="427">
        <f>G55*0</f>
        <v>0</v>
      </c>
      <c r="O55" s="85">
        <f>G55*0</f>
        <v>0</v>
      </c>
      <c r="P55" s="85">
        <f>G55*0</f>
        <v>0</v>
      </c>
      <c r="Q55" s="85">
        <f>G55*0</f>
        <v>0</v>
      </c>
      <c r="R55" s="47"/>
      <c r="S55" s="47">
        <f>F55</f>
        <v>1</v>
      </c>
      <c r="T55" s="47"/>
      <c r="U55" s="47"/>
      <c r="V55" s="179">
        <f>R55*E55</f>
        <v>0</v>
      </c>
      <c r="W55" s="179">
        <f>S55*E55</f>
        <v>1400000</v>
      </c>
      <c r="X55" s="179">
        <f>T55*E55</f>
        <v>0</v>
      </c>
      <c r="Y55" s="179">
        <f>U55*E55</f>
        <v>0</v>
      </c>
      <c r="Z55" s="47">
        <v>0</v>
      </c>
      <c r="AA55" s="179">
        <f>Z55*E55</f>
        <v>0</v>
      </c>
      <c r="AB55" s="47">
        <v>0</v>
      </c>
      <c r="AC55" s="179">
        <f t="shared" si="2"/>
        <v>0</v>
      </c>
      <c r="AD55" s="47">
        <v>0</v>
      </c>
      <c r="AE55" s="179">
        <f t="shared" si="3"/>
        <v>0</v>
      </c>
      <c r="AF55" s="47">
        <v>0</v>
      </c>
      <c r="AG55" s="179">
        <f t="shared" si="4"/>
        <v>0</v>
      </c>
      <c r="AH55" s="47">
        <v>0</v>
      </c>
      <c r="AI55" s="179">
        <f t="shared" si="5"/>
        <v>0</v>
      </c>
      <c r="AJ55" s="47">
        <v>0</v>
      </c>
      <c r="AK55" s="179">
        <f t="shared" si="6"/>
        <v>0</v>
      </c>
      <c r="AL55" s="47">
        <v>0</v>
      </c>
      <c r="AM55" s="179">
        <f t="shared" si="7"/>
        <v>0</v>
      </c>
      <c r="AN55" s="47">
        <v>0</v>
      </c>
      <c r="AO55" s="179">
        <f t="shared" si="8"/>
        <v>0</v>
      </c>
      <c r="AP55" s="47">
        <v>0</v>
      </c>
      <c r="AQ55" s="179">
        <f t="shared" si="9"/>
        <v>0</v>
      </c>
      <c r="AR55" s="47">
        <v>0</v>
      </c>
      <c r="AS55" s="179">
        <f t="shared" si="10"/>
        <v>0</v>
      </c>
      <c r="AT55" s="47">
        <v>0</v>
      </c>
      <c r="AU55" s="179">
        <f t="shared" si="11"/>
        <v>0</v>
      </c>
      <c r="AV55" s="47">
        <v>0</v>
      </c>
      <c r="AW55" s="179">
        <f t="shared" si="12"/>
        <v>0</v>
      </c>
      <c r="AX55" s="47">
        <v>0</v>
      </c>
      <c r="AY55" s="179">
        <f t="shared" si="13"/>
        <v>0</v>
      </c>
      <c r="AZ55" s="47">
        <v>0</v>
      </c>
      <c r="BA55" s="179">
        <f t="shared" si="14"/>
        <v>0</v>
      </c>
      <c r="BB55" s="47">
        <v>0</v>
      </c>
      <c r="BC55" s="179">
        <f t="shared" si="15"/>
        <v>0</v>
      </c>
      <c r="BD55" s="47">
        <v>0</v>
      </c>
      <c r="BE55" s="179">
        <f t="shared" si="16"/>
        <v>0</v>
      </c>
      <c r="BF55" s="47">
        <v>0</v>
      </c>
      <c r="BG55" s="179">
        <f t="shared" si="17"/>
        <v>0</v>
      </c>
      <c r="BH55" s="47">
        <v>1</v>
      </c>
      <c r="BI55" s="179">
        <f>BH55*E55</f>
        <v>1400000</v>
      </c>
      <c r="BJ55" s="47">
        <f t="shared" ref="BJ55:BK59" si="73">Z55+AB55+AD55+AF55+AH55+AJ55+AL55+AN55+AP55+AR55+AT55+AV55+AX55+AZ55+BB55+BD55+BF55+BH55</f>
        <v>1</v>
      </c>
      <c r="BK55" s="117">
        <f t="shared" si="73"/>
        <v>1400000</v>
      </c>
      <c r="BL55" s="335" t="s">
        <v>467</v>
      </c>
      <c r="BN55" s="113"/>
      <c r="BO55" s="113"/>
      <c r="BP55" s="113">
        <f>G55</f>
        <v>1400000</v>
      </c>
      <c r="BQ55" s="113"/>
      <c r="BR55" s="113">
        <f>BN55+BO55+BP55+BQ55</f>
        <v>1400000</v>
      </c>
      <c r="BS55" s="113"/>
      <c r="BT55" s="113"/>
      <c r="BU55" s="124">
        <f>BS55+BT55</f>
        <v>0</v>
      </c>
      <c r="BV55" s="179">
        <f t="shared" si="0"/>
        <v>1400000</v>
      </c>
    </row>
    <row r="56" spans="1:74" x14ac:dyDescent="0.25">
      <c r="A56" s="1023"/>
      <c r="B56" s="38"/>
      <c r="C56" s="38" t="s">
        <v>282</v>
      </c>
      <c r="D56" s="38" t="s">
        <v>44</v>
      </c>
      <c r="E56" s="762">
        <v>400000</v>
      </c>
      <c r="F56" s="38">
        <f>BJ56</f>
        <v>1</v>
      </c>
      <c r="G56" s="427">
        <f>E56*F56</f>
        <v>400000</v>
      </c>
      <c r="H56" s="427">
        <f>G56*0.2</f>
        <v>80000</v>
      </c>
      <c r="I56" s="427">
        <f>G56*0.8</f>
        <v>320000</v>
      </c>
      <c r="J56" s="427">
        <f>G56*0</f>
        <v>0</v>
      </c>
      <c r="K56" s="427">
        <f>G56*0</f>
        <v>0</v>
      </c>
      <c r="L56" s="427">
        <f>G56*0</f>
        <v>0</v>
      </c>
      <c r="M56" s="427">
        <f>G56*0</f>
        <v>0</v>
      </c>
      <c r="N56" s="427">
        <f>G56*0</f>
        <v>0</v>
      </c>
      <c r="O56" s="85">
        <f>G56*0</f>
        <v>0</v>
      </c>
      <c r="P56" s="85">
        <f>G56*0</f>
        <v>0</v>
      </c>
      <c r="Q56" s="85">
        <f>G56*0</f>
        <v>0</v>
      </c>
      <c r="R56" s="47"/>
      <c r="S56" s="47">
        <f>F56</f>
        <v>1</v>
      </c>
      <c r="T56" s="47"/>
      <c r="U56" s="47"/>
      <c r="V56" s="179">
        <f>R56*E56</f>
        <v>0</v>
      </c>
      <c r="W56" s="179">
        <f>S56*E56</f>
        <v>400000</v>
      </c>
      <c r="X56" s="179">
        <f>T56*E56</f>
        <v>0</v>
      </c>
      <c r="Y56" s="179">
        <f>U56*E56</f>
        <v>0</v>
      </c>
      <c r="Z56" s="47">
        <v>0</v>
      </c>
      <c r="AA56" s="179">
        <f>Z56*E56</f>
        <v>0</v>
      </c>
      <c r="AB56" s="47">
        <v>0</v>
      </c>
      <c r="AC56" s="179">
        <f t="shared" si="2"/>
        <v>0</v>
      </c>
      <c r="AD56" s="47">
        <v>0</v>
      </c>
      <c r="AE56" s="179">
        <f t="shared" si="3"/>
        <v>0</v>
      </c>
      <c r="AF56" s="47">
        <v>0</v>
      </c>
      <c r="AG56" s="179">
        <f t="shared" si="4"/>
        <v>0</v>
      </c>
      <c r="AH56" s="47">
        <v>0</v>
      </c>
      <c r="AI56" s="179">
        <f t="shared" si="5"/>
        <v>0</v>
      </c>
      <c r="AJ56" s="47">
        <v>0</v>
      </c>
      <c r="AK56" s="179">
        <f t="shared" si="6"/>
        <v>0</v>
      </c>
      <c r="AL56" s="47">
        <v>0</v>
      </c>
      <c r="AM56" s="179">
        <f t="shared" si="7"/>
        <v>0</v>
      </c>
      <c r="AN56" s="47">
        <v>0</v>
      </c>
      <c r="AO56" s="179">
        <f t="shared" si="8"/>
        <v>0</v>
      </c>
      <c r="AP56" s="47">
        <v>0</v>
      </c>
      <c r="AQ56" s="179">
        <f t="shared" si="9"/>
        <v>0</v>
      </c>
      <c r="AR56" s="47">
        <v>0</v>
      </c>
      <c r="AS56" s="179">
        <f t="shared" si="10"/>
        <v>0</v>
      </c>
      <c r="AT56" s="47">
        <v>0</v>
      </c>
      <c r="AU56" s="179">
        <f t="shared" si="11"/>
        <v>0</v>
      </c>
      <c r="AV56" s="47">
        <v>0</v>
      </c>
      <c r="AW56" s="179">
        <f t="shared" si="12"/>
        <v>0</v>
      </c>
      <c r="AX56" s="47">
        <v>0</v>
      </c>
      <c r="AY56" s="179">
        <f t="shared" si="13"/>
        <v>0</v>
      </c>
      <c r="AZ56" s="47">
        <v>0</v>
      </c>
      <c r="BA56" s="179">
        <f t="shared" si="14"/>
        <v>0</v>
      </c>
      <c r="BB56" s="47">
        <v>0</v>
      </c>
      <c r="BC56" s="179">
        <f t="shared" si="15"/>
        <v>0</v>
      </c>
      <c r="BD56" s="47">
        <v>0</v>
      </c>
      <c r="BE56" s="179">
        <f t="shared" si="16"/>
        <v>0</v>
      </c>
      <c r="BF56" s="47">
        <v>0</v>
      </c>
      <c r="BG56" s="179">
        <f t="shared" si="17"/>
        <v>0</v>
      </c>
      <c r="BH56" s="47">
        <v>1</v>
      </c>
      <c r="BI56" s="179">
        <f>BH56*E56</f>
        <v>400000</v>
      </c>
      <c r="BJ56" s="47">
        <f t="shared" si="73"/>
        <v>1</v>
      </c>
      <c r="BK56" s="117">
        <f t="shared" si="73"/>
        <v>400000</v>
      </c>
      <c r="BL56" s="335" t="s">
        <v>467</v>
      </c>
      <c r="BN56" s="113"/>
      <c r="BO56" s="113"/>
      <c r="BP56" s="113">
        <f>G56</f>
        <v>400000</v>
      </c>
      <c r="BQ56" s="113"/>
      <c r="BR56" s="113">
        <f>BN56+BO56+BP56+BQ56</f>
        <v>400000</v>
      </c>
      <c r="BS56" s="113"/>
      <c r="BT56" s="113"/>
      <c r="BU56" s="124">
        <f>BS56+BT56</f>
        <v>0</v>
      </c>
      <c r="BV56" s="179">
        <f t="shared" si="0"/>
        <v>400000</v>
      </c>
    </row>
    <row r="57" spans="1:74" x14ac:dyDescent="0.25">
      <c r="A57" s="1023"/>
      <c r="B57" s="38"/>
      <c r="C57" s="38" t="s">
        <v>874</v>
      </c>
      <c r="D57" s="38" t="s">
        <v>44</v>
      </c>
      <c r="E57" s="365">
        <v>1800000</v>
      </c>
      <c r="F57" s="38">
        <v>1</v>
      </c>
      <c r="G57" s="427">
        <f>E57*F57</f>
        <v>1800000</v>
      </c>
      <c r="H57" s="427">
        <f>G57*0.2</f>
        <v>360000</v>
      </c>
      <c r="I57" s="427">
        <f>G57*0.8</f>
        <v>1440000</v>
      </c>
      <c r="J57" s="427"/>
      <c r="K57" s="427"/>
      <c r="L57" s="427"/>
      <c r="M57" s="427"/>
      <c r="N57" s="427"/>
      <c r="O57" s="85"/>
      <c r="P57" s="85"/>
      <c r="Q57" s="85"/>
      <c r="R57" s="47"/>
      <c r="S57" s="47"/>
      <c r="T57" s="47"/>
      <c r="U57" s="47">
        <v>1</v>
      </c>
      <c r="V57" s="179"/>
      <c r="W57" s="179"/>
      <c r="X57" s="179"/>
      <c r="Y57" s="179">
        <f>U57*E57</f>
        <v>1800000</v>
      </c>
      <c r="Z57" s="47"/>
      <c r="AA57" s="179"/>
      <c r="AB57" s="47"/>
      <c r="AC57" s="179"/>
      <c r="AD57" s="47"/>
      <c r="AE57" s="179"/>
      <c r="AF57" s="47"/>
      <c r="AG57" s="179"/>
      <c r="AH57" s="47"/>
      <c r="AI57" s="179"/>
      <c r="AJ57" s="47"/>
      <c r="AK57" s="179"/>
      <c r="AL57" s="47"/>
      <c r="AM57" s="179"/>
      <c r="AN57" s="47"/>
      <c r="AO57" s="179"/>
      <c r="AP57" s="47"/>
      <c r="AQ57" s="179"/>
      <c r="AR57" s="47"/>
      <c r="AS57" s="179"/>
      <c r="AT57" s="47"/>
      <c r="AU57" s="179"/>
      <c r="AV57" s="47"/>
      <c r="AW57" s="179"/>
      <c r="AX57" s="47"/>
      <c r="AY57" s="179"/>
      <c r="AZ57" s="47"/>
      <c r="BA57" s="179"/>
      <c r="BB57" s="47"/>
      <c r="BC57" s="179"/>
      <c r="BD57" s="47"/>
      <c r="BE57" s="179"/>
      <c r="BF57" s="47"/>
      <c r="BG57" s="179"/>
      <c r="BH57" s="47">
        <v>1</v>
      </c>
      <c r="BI57" s="179">
        <f>BH57*E57</f>
        <v>1800000</v>
      </c>
      <c r="BJ57" s="47">
        <f t="shared" si="73"/>
        <v>1</v>
      </c>
      <c r="BK57" s="117">
        <f t="shared" si="73"/>
        <v>1800000</v>
      </c>
      <c r="BL57" s="335" t="s">
        <v>467</v>
      </c>
      <c r="BN57" s="113"/>
      <c r="BO57" s="113"/>
      <c r="BP57" s="113">
        <f>G57</f>
        <v>1800000</v>
      </c>
      <c r="BQ57" s="113"/>
      <c r="BR57" s="113">
        <f>BN57+BO57+BP57+BQ57</f>
        <v>1800000</v>
      </c>
      <c r="BS57" s="113"/>
      <c r="BT57" s="113"/>
      <c r="BU57" s="124"/>
      <c r="BV57" s="179"/>
    </row>
    <row r="58" spans="1:74" ht="31.5" x14ac:dyDescent="0.25">
      <c r="A58" s="1023"/>
      <c r="B58" s="38"/>
      <c r="C58" s="38" t="s">
        <v>283</v>
      </c>
      <c r="D58" s="38" t="s">
        <v>150</v>
      </c>
      <c r="E58" s="365">
        <f>5*100000</f>
        <v>500000</v>
      </c>
      <c r="F58" s="38">
        <f>BJ58</f>
        <v>0</v>
      </c>
      <c r="G58" s="427">
        <f>E58*F58</f>
        <v>0</v>
      </c>
      <c r="H58" s="427">
        <f>G58*0.2</f>
        <v>0</v>
      </c>
      <c r="I58" s="427">
        <f>G58*0.8</f>
        <v>0</v>
      </c>
      <c r="J58" s="427">
        <f>G58*0</f>
        <v>0</v>
      </c>
      <c r="K58" s="427">
        <f>G58*0</f>
        <v>0</v>
      </c>
      <c r="L58" s="427">
        <f>G58*0</f>
        <v>0</v>
      </c>
      <c r="M58" s="427">
        <f>G58*0</f>
        <v>0</v>
      </c>
      <c r="N58" s="427">
        <f>G58*0</f>
        <v>0</v>
      </c>
      <c r="O58" s="85">
        <f>G58*0</f>
        <v>0</v>
      </c>
      <c r="P58" s="85">
        <f>G58*0</f>
        <v>0</v>
      </c>
      <c r="Q58" s="85">
        <f>G58*0</f>
        <v>0</v>
      </c>
      <c r="R58" s="47"/>
      <c r="S58" s="47"/>
      <c r="T58" s="47"/>
      <c r="U58" s="47"/>
      <c r="V58" s="179">
        <f>R58*E58</f>
        <v>0</v>
      </c>
      <c r="W58" s="179">
        <f>S58*E58</f>
        <v>0</v>
      </c>
      <c r="X58" s="179">
        <f>T58*E58</f>
        <v>0</v>
      </c>
      <c r="Y58" s="179">
        <f>U58*E58</f>
        <v>0</v>
      </c>
      <c r="Z58" s="47">
        <v>0</v>
      </c>
      <c r="AA58" s="179">
        <f>Z58*E58</f>
        <v>0</v>
      </c>
      <c r="AB58" s="47">
        <v>0</v>
      </c>
      <c r="AC58" s="179">
        <f t="shared" si="2"/>
        <v>0</v>
      </c>
      <c r="AD58" s="47">
        <v>0</v>
      </c>
      <c r="AE58" s="179">
        <f t="shared" si="3"/>
        <v>0</v>
      </c>
      <c r="AF58" s="47">
        <v>0</v>
      </c>
      <c r="AG58" s="179">
        <f t="shared" si="4"/>
        <v>0</v>
      </c>
      <c r="AH58" s="47">
        <v>0</v>
      </c>
      <c r="AI58" s="179">
        <f t="shared" si="5"/>
        <v>0</v>
      </c>
      <c r="AJ58" s="47">
        <v>0</v>
      </c>
      <c r="AK58" s="179">
        <f t="shared" si="6"/>
        <v>0</v>
      </c>
      <c r="AL58" s="47">
        <v>0</v>
      </c>
      <c r="AM58" s="179">
        <f t="shared" si="7"/>
        <v>0</v>
      </c>
      <c r="AN58" s="47">
        <v>0</v>
      </c>
      <c r="AO58" s="179">
        <f t="shared" si="8"/>
        <v>0</v>
      </c>
      <c r="AP58" s="47">
        <v>0</v>
      </c>
      <c r="AQ58" s="179">
        <f t="shared" si="9"/>
        <v>0</v>
      </c>
      <c r="AR58" s="47">
        <v>0</v>
      </c>
      <c r="AS58" s="179">
        <f t="shared" si="10"/>
        <v>0</v>
      </c>
      <c r="AT58" s="47">
        <v>0</v>
      </c>
      <c r="AU58" s="179">
        <f t="shared" si="11"/>
        <v>0</v>
      </c>
      <c r="AV58" s="47">
        <v>0</v>
      </c>
      <c r="AW58" s="179">
        <f t="shared" si="12"/>
        <v>0</v>
      </c>
      <c r="AX58" s="47">
        <v>0</v>
      </c>
      <c r="AY58" s="179">
        <f t="shared" si="13"/>
        <v>0</v>
      </c>
      <c r="AZ58" s="47">
        <v>0</v>
      </c>
      <c r="BA58" s="179">
        <f t="shared" si="14"/>
        <v>0</v>
      </c>
      <c r="BB58" s="47">
        <v>0</v>
      </c>
      <c r="BC58" s="179">
        <f t="shared" si="15"/>
        <v>0</v>
      </c>
      <c r="BD58" s="47">
        <v>0</v>
      </c>
      <c r="BE58" s="179">
        <f t="shared" si="16"/>
        <v>0</v>
      </c>
      <c r="BF58" s="47">
        <v>0</v>
      </c>
      <c r="BG58" s="179">
        <f t="shared" si="17"/>
        <v>0</v>
      </c>
      <c r="BH58" s="47">
        <v>0</v>
      </c>
      <c r="BI58" s="179">
        <f>BH58*E58</f>
        <v>0</v>
      </c>
      <c r="BJ58" s="47">
        <f t="shared" si="73"/>
        <v>0</v>
      </c>
      <c r="BK58" s="117">
        <f t="shared" si="73"/>
        <v>0</v>
      </c>
      <c r="BL58" s="335" t="s">
        <v>467</v>
      </c>
      <c r="BN58" s="113"/>
      <c r="BO58" s="113"/>
      <c r="BP58" s="113">
        <f>G58</f>
        <v>0</v>
      </c>
      <c r="BQ58" s="113"/>
      <c r="BR58" s="113">
        <f>BN58+BO58+BP58+BQ58</f>
        <v>0</v>
      </c>
      <c r="BS58" s="113"/>
      <c r="BT58" s="113"/>
      <c r="BU58" s="124">
        <f>BS58+BT58</f>
        <v>0</v>
      </c>
      <c r="BV58" s="179">
        <f t="shared" si="0"/>
        <v>0</v>
      </c>
    </row>
    <row r="59" spans="1:74" x14ac:dyDescent="0.25">
      <c r="A59" s="1023"/>
      <c r="B59" s="38"/>
      <c r="C59" s="38" t="s">
        <v>744</v>
      </c>
      <c r="D59" s="38" t="s">
        <v>150</v>
      </c>
      <c r="E59" s="365">
        <v>100000</v>
      </c>
      <c r="F59" s="38">
        <f>BJ59</f>
        <v>1</v>
      </c>
      <c r="G59" s="427">
        <f>E59*F59</f>
        <v>100000</v>
      </c>
      <c r="H59" s="427">
        <f>G59*0.2</f>
        <v>20000</v>
      </c>
      <c r="I59" s="427">
        <f>G59*0.8</f>
        <v>80000</v>
      </c>
      <c r="J59" s="427">
        <f>G59*0</f>
        <v>0</v>
      </c>
      <c r="K59" s="427">
        <f>G59*0</f>
        <v>0</v>
      </c>
      <c r="L59" s="427">
        <f>G59*0</f>
        <v>0</v>
      </c>
      <c r="M59" s="427">
        <f>G59*0</f>
        <v>0</v>
      </c>
      <c r="N59" s="427">
        <f>G59*0</f>
        <v>0</v>
      </c>
      <c r="O59" s="85">
        <f>G59*0</f>
        <v>0</v>
      </c>
      <c r="P59" s="85">
        <f>G59*0</f>
        <v>0</v>
      </c>
      <c r="Q59" s="85">
        <f>G59*0</f>
        <v>0</v>
      </c>
      <c r="R59" s="47">
        <v>1</v>
      </c>
      <c r="S59" s="47"/>
      <c r="T59" s="47"/>
      <c r="U59" s="47"/>
      <c r="V59" s="179">
        <f>R59*E59</f>
        <v>100000</v>
      </c>
      <c r="W59" s="179">
        <f>S59*E59</f>
        <v>0</v>
      </c>
      <c r="X59" s="179">
        <f>T59*E59</f>
        <v>0</v>
      </c>
      <c r="Y59" s="179">
        <f>U59*E59</f>
        <v>0</v>
      </c>
      <c r="Z59" s="47">
        <v>0</v>
      </c>
      <c r="AA59" s="179">
        <f>Z59*E59</f>
        <v>0</v>
      </c>
      <c r="AB59" s="47">
        <v>0</v>
      </c>
      <c r="AC59" s="179">
        <f t="shared" si="2"/>
        <v>0</v>
      </c>
      <c r="AD59" s="47">
        <v>0</v>
      </c>
      <c r="AE59" s="179">
        <f t="shared" si="3"/>
        <v>0</v>
      </c>
      <c r="AF59" s="47">
        <v>0</v>
      </c>
      <c r="AG59" s="179">
        <f t="shared" si="4"/>
        <v>0</v>
      </c>
      <c r="AH59" s="47">
        <v>0</v>
      </c>
      <c r="AI59" s="179">
        <f t="shared" si="5"/>
        <v>0</v>
      </c>
      <c r="AJ59" s="47">
        <v>0</v>
      </c>
      <c r="AK59" s="179">
        <f t="shared" si="6"/>
        <v>0</v>
      </c>
      <c r="AL59" s="47">
        <v>0</v>
      </c>
      <c r="AM59" s="179">
        <f t="shared" si="7"/>
        <v>0</v>
      </c>
      <c r="AN59" s="47">
        <v>0</v>
      </c>
      <c r="AO59" s="179">
        <f t="shared" si="8"/>
        <v>0</v>
      </c>
      <c r="AP59" s="47">
        <v>0</v>
      </c>
      <c r="AQ59" s="179">
        <f t="shared" si="9"/>
        <v>0</v>
      </c>
      <c r="AR59" s="47">
        <v>0</v>
      </c>
      <c r="AS59" s="179">
        <f t="shared" si="10"/>
        <v>0</v>
      </c>
      <c r="AT59" s="47">
        <v>0</v>
      </c>
      <c r="AU59" s="179">
        <f t="shared" si="11"/>
        <v>0</v>
      </c>
      <c r="AV59" s="47">
        <v>0</v>
      </c>
      <c r="AW59" s="179">
        <f t="shared" si="12"/>
        <v>0</v>
      </c>
      <c r="AX59" s="47">
        <v>0</v>
      </c>
      <c r="AY59" s="179">
        <f t="shared" si="13"/>
        <v>0</v>
      </c>
      <c r="AZ59" s="47">
        <v>0</v>
      </c>
      <c r="BA59" s="179">
        <f t="shared" si="14"/>
        <v>0</v>
      </c>
      <c r="BB59" s="47">
        <v>0</v>
      </c>
      <c r="BC59" s="179">
        <f t="shared" si="15"/>
        <v>0</v>
      </c>
      <c r="BD59" s="47">
        <v>0</v>
      </c>
      <c r="BE59" s="179">
        <f t="shared" si="16"/>
        <v>0</v>
      </c>
      <c r="BF59" s="47">
        <v>0</v>
      </c>
      <c r="BG59" s="179">
        <f t="shared" si="17"/>
        <v>0</v>
      </c>
      <c r="BH59" s="47">
        <v>1</v>
      </c>
      <c r="BI59" s="179">
        <f>BH59*E59</f>
        <v>100000</v>
      </c>
      <c r="BJ59" s="47">
        <f t="shared" si="73"/>
        <v>1</v>
      </c>
      <c r="BK59" s="117">
        <f t="shared" si="73"/>
        <v>100000</v>
      </c>
      <c r="BL59" s="335" t="s">
        <v>467</v>
      </c>
      <c r="BN59" s="113"/>
      <c r="BO59" s="113"/>
      <c r="BP59" s="113">
        <f>G59</f>
        <v>100000</v>
      </c>
      <c r="BQ59" s="113"/>
      <c r="BR59" s="113">
        <f>BN59+BO59+BP59+BQ59</f>
        <v>100000</v>
      </c>
      <c r="BS59" s="113"/>
      <c r="BT59" s="113"/>
      <c r="BU59" s="124">
        <f>BS59+BT59</f>
        <v>0</v>
      </c>
      <c r="BV59" s="179">
        <f t="shared" si="0"/>
        <v>100000</v>
      </c>
    </row>
    <row r="60" spans="1:74" x14ac:dyDescent="0.25">
      <c r="A60" s="1023"/>
      <c r="B60" s="428"/>
      <c r="C60" s="428" t="s">
        <v>284</v>
      </c>
      <c r="D60" s="428" t="s">
        <v>280</v>
      </c>
      <c r="E60" s="428" t="s">
        <v>280</v>
      </c>
      <c r="F60" s="428">
        <f>SUM(F55:F59)</f>
        <v>4</v>
      </c>
      <c r="G60" s="429">
        <f>SUM(G55:G59)</f>
        <v>3700000</v>
      </c>
      <c r="H60" s="429">
        <f t="shared" ref="H60:Q60" si="74">SUM(H55:H59)</f>
        <v>740000</v>
      </c>
      <c r="I60" s="429">
        <f t="shared" si="74"/>
        <v>2960000</v>
      </c>
      <c r="J60" s="429">
        <f t="shared" si="74"/>
        <v>0</v>
      </c>
      <c r="K60" s="429">
        <f t="shared" si="74"/>
        <v>0</v>
      </c>
      <c r="L60" s="429">
        <f t="shared" si="74"/>
        <v>0</v>
      </c>
      <c r="M60" s="429">
        <f t="shared" si="74"/>
        <v>0</v>
      </c>
      <c r="N60" s="429">
        <f t="shared" si="74"/>
        <v>0</v>
      </c>
      <c r="O60" s="429">
        <f t="shared" si="74"/>
        <v>0</v>
      </c>
      <c r="P60" s="429">
        <f t="shared" si="74"/>
        <v>0</v>
      </c>
      <c r="Q60" s="429">
        <f t="shared" si="74"/>
        <v>0</v>
      </c>
      <c r="R60" s="428">
        <f t="shared" ref="R60:BK60" si="75">SUM(R55:R59)</f>
        <v>1</v>
      </c>
      <c r="S60" s="428">
        <f t="shared" si="75"/>
        <v>2</v>
      </c>
      <c r="T60" s="428">
        <f t="shared" si="75"/>
        <v>0</v>
      </c>
      <c r="U60" s="428">
        <f t="shared" si="75"/>
        <v>1</v>
      </c>
      <c r="V60" s="429">
        <f t="shared" si="75"/>
        <v>100000</v>
      </c>
      <c r="W60" s="429">
        <f t="shared" si="75"/>
        <v>1800000</v>
      </c>
      <c r="X60" s="429">
        <f t="shared" si="75"/>
        <v>0</v>
      </c>
      <c r="Y60" s="429">
        <f t="shared" si="75"/>
        <v>1800000</v>
      </c>
      <c r="Z60" s="428">
        <f t="shared" si="75"/>
        <v>0</v>
      </c>
      <c r="AA60" s="429">
        <f t="shared" si="75"/>
        <v>0</v>
      </c>
      <c r="AB60" s="428">
        <f t="shared" si="75"/>
        <v>0</v>
      </c>
      <c r="AC60" s="429">
        <f t="shared" si="75"/>
        <v>0</v>
      </c>
      <c r="AD60" s="428">
        <f t="shared" si="75"/>
        <v>0</v>
      </c>
      <c r="AE60" s="429">
        <f t="shared" si="75"/>
        <v>0</v>
      </c>
      <c r="AF60" s="428">
        <f t="shared" si="75"/>
        <v>0</v>
      </c>
      <c r="AG60" s="429">
        <f t="shared" si="75"/>
        <v>0</v>
      </c>
      <c r="AH60" s="428">
        <f t="shared" si="75"/>
        <v>0</v>
      </c>
      <c r="AI60" s="429">
        <f t="shared" si="75"/>
        <v>0</v>
      </c>
      <c r="AJ60" s="428">
        <f t="shared" si="75"/>
        <v>0</v>
      </c>
      <c r="AK60" s="429">
        <f t="shared" si="75"/>
        <v>0</v>
      </c>
      <c r="AL60" s="428">
        <f t="shared" si="75"/>
        <v>0</v>
      </c>
      <c r="AM60" s="429">
        <f t="shared" si="75"/>
        <v>0</v>
      </c>
      <c r="AN60" s="428">
        <f t="shared" si="75"/>
        <v>0</v>
      </c>
      <c r="AO60" s="429">
        <f t="shared" si="75"/>
        <v>0</v>
      </c>
      <c r="AP60" s="428">
        <f t="shared" si="75"/>
        <v>0</v>
      </c>
      <c r="AQ60" s="429">
        <f t="shared" si="75"/>
        <v>0</v>
      </c>
      <c r="AR60" s="428">
        <f t="shared" si="75"/>
        <v>0</v>
      </c>
      <c r="AS60" s="429">
        <f t="shared" si="75"/>
        <v>0</v>
      </c>
      <c r="AT60" s="428">
        <f t="shared" si="75"/>
        <v>0</v>
      </c>
      <c r="AU60" s="429">
        <f t="shared" si="75"/>
        <v>0</v>
      </c>
      <c r="AV60" s="428">
        <f t="shared" si="75"/>
        <v>0</v>
      </c>
      <c r="AW60" s="429">
        <f t="shared" si="75"/>
        <v>0</v>
      </c>
      <c r="AX60" s="428">
        <f t="shared" si="75"/>
        <v>0</v>
      </c>
      <c r="AY60" s="429">
        <f t="shared" si="75"/>
        <v>0</v>
      </c>
      <c r="AZ60" s="428">
        <f t="shared" si="75"/>
        <v>0</v>
      </c>
      <c r="BA60" s="429">
        <f t="shared" si="75"/>
        <v>0</v>
      </c>
      <c r="BB60" s="428">
        <f t="shared" si="75"/>
        <v>0</v>
      </c>
      <c r="BC60" s="429">
        <f t="shared" si="75"/>
        <v>0</v>
      </c>
      <c r="BD60" s="428">
        <f t="shared" si="75"/>
        <v>0</v>
      </c>
      <c r="BE60" s="429">
        <f t="shared" si="75"/>
        <v>0</v>
      </c>
      <c r="BF60" s="428">
        <f t="shared" si="75"/>
        <v>0</v>
      </c>
      <c r="BG60" s="429">
        <f t="shared" si="75"/>
        <v>0</v>
      </c>
      <c r="BH60" s="428">
        <f t="shared" si="75"/>
        <v>4</v>
      </c>
      <c r="BI60" s="429">
        <f t="shared" si="75"/>
        <v>3700000</v>
      </c>
      <c r="BJ60" s="428">
        <f t="shared" si="75"/>
        <v>4</v>
      </c>
      <c r="BK60" s="430">
        <f t="shared" si="75"/>
        <v>3700000</v>
      </c>
      <c r="BL60" s="47"/>
      <c r="BN60" s="430">
        <f t="shared" ref="BN60:BU60" si="76">SUM(BN55:BN59)</f>
        <v>0</v>
      </c>
      <c r="BO60" s="430">
        <f t="shared" si="76"/>
        <v>0</v>
      </c>
      <c r="BP60" s="430">
        <f t="shared" si="76"/>
        <v>3700000</v>
      </c>
      <c r="BQ60" s="430">
        <f t="shared" si="76"/>
        <v>0</v>
      </c>
      <c r="BR60" s="430">
        <f t="shared" si="76"/>
        <v>3700000</v>
      </c>
      <c r="BS60" s="430">
        <f t="shared" si="76"/>
        <v>0</v>
      </c>
      <c r="BT60" s="430">
        <f t="shared" si="76"/>
        <v>0</v>
      </c>
      <c r="BU60" s="430">
        <f t="shared" si="76"/>
        <v>0</v>
      </c>
      <c r="BV60" s="380">
        <f t="shared" si="0"/>
        <v>3700000</v>
      </c>
    </row>
    <row r="61" spans="1:74" x14ac:dyDescent="0.25">
      <c r="A61" s="1023"/>
      <c r="B61" s="38">
        <v>41330</v>
      </c>
      <c r="C61" s="679" t="s">
        <v>285</v>
      </c>
      <c r="D61" s="38"/>
      <c r="E61" s="365"/>
      <c r="F61" s="38"/>
      <c r="G61" s="123"/>
      <c r="H61" s="123"/>
      <c r="I61" s="123"/>
      <c r="J61" s="123"/>
      <c r="K61" s="123"/>
      <c r="L61" s="123"/>
      <c r="M61" s="123"/>
      <c r="N61" s="123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179">
        <f t="shared" si="2"/>
        <v>0</v>
      </c>
      <c r="AD61" s="47"/>
      <c r="AE61" s="179">
        <f t="shared" si="3"/>
        <v>0</v>
      </c>
      <c r="AF61" s="47"/>
      <c r="AG61" s="179">
        <f t="shared" si="4"/>
        <v>0</v>
      </c>
      <c r="AH61" s="47"/>
      <c r="AI61" s="179">
        <f t="shared" si="5"/>
        <v>0</v>
      </c>
      <c r="AJ61" s="47"/>
      <c r="AK61" s="179">
        <f t="shared" si="6"/>
        <v>0</v>
      </c>
      <c r="AL61" s="47"/>
      <c r="AM61" s="179">
        <f t="shared" si="7"/>
        <v>0</v>
      </c>
      <c r="AN61" s="47"/>
      <c r="AO61" s="179">
        <f t="shared" si="8"/>
        <v>0</v>
      </c>
      <c r="AP61" s="47"/>
      <c r="AQ61" s="179">
        <f t="shared" si="9"/>
        <v>0</v>
      </c>
      <c r="AR61" s="47"/>
      <c r="AS61" s="179">
        <f t="shared" si="10"/>
        <v>0</v>
      </c>
      <c r="AT61" s="47"/>
      <c r="AU61" s="179">
        <f t="shared" si="11"/>
        <v>0</v>
      </c>
      <c r="AV61" s="47"/>
      <c r="AW61" s="179">
        <f t="shared" si="12"/>
        <v>0</v>
      </c>
      <c r="AX61" s="47"/>
      <c r="AY61" s="179">
        <f t="shared" si="13"/>
        <v>0</v>
      </c>
      <c r="AZ61" s="47"/>
      <c r="BA61" s="179">
        <f t="shared" si="14"/>
        <v>0</v>
      </c>
      <c r="BB61" s="47"/>
      <c r="BC61" s="179">
        <f t="shared" si="15"/>
        <v>0</v>
      </c>
      <c r="BD61" s="47"/>
      <c r="BE61" s="179">
        <f t="shared" si="16"/>
        <v>0</v>
      </c>
      <c r="BF61" s="47"/>
      <c r="BG61" s="179">
        <f t="shared" si="17"/>
        <v>0</v>
      </c>
      <c r="BH61" s="47"/>
      <c r="BI61" s="47"/>
      <c r="BJ61" s="47"/>
      <c r="BK61" s="123"/>
      <c r="BL61" s="47"/>
      <c r="BN61" s="113"/>
      <c r="BO61" s="113"/>
      <c r="BP61" s="113"/>
      <c r="BQ61" s="113"/>
      <c r="BR61" s="113"/>
      <c r="BS61" s="113"/>
      <c r="BT61" s="113"/>
      <c r="BU61" s="124"/>
      <c r="BV61" s="179">
        <f t="shared" si="0"/>
        <v>0</v>
      </c>
    </row>
    <row r="62" spans="1:74" ht="36.75" customHeight="1" x14ac:dyDescent="0.25">
      <c r="A62" s="1023"/>
      <c r="B62" s="38"/>
      <c r="C62" s="169" t="s">
        <v>873</v>
      </c>
      <c r="D62" s="169" t="s">
        <v>17</v>
      </c>
      <c r="E62" s="762">
        <v>7500000</v>
      </c>
      <c r="F62" s="38">
        <f>BJ62</f>
        <v>1</v>
      </c>
      <c r="G62" s="178">
        <f>E62</f>
        <v>7500000</v>
      </c>
      <c r="H62" s="431">
        <f>G62*0.2</f>
        <v>1500000</v>
      </c>
      <c r="I62" s="431">
        <f>G62*0.8</f>
        <v>6000000</v>
      </c>
      <c r="J62" s="431">
        <f>G62*0</f>
        <v>0</v>
      </c>
      <c r="K62" s="431">
        <f>G62*0</f>
        <v>0</v>
      </c>
      <c r="L62" s="431">
        <f>G62*0</f>
        <v>0</v>
      </c>
      <c r="M62" s="431">
        <f>G62*0</f>
        <v>0</v>
      </c>
      <c r="N62" s="431">
        <f>G62*0</f>
        <v>0</v>
      </c>
      <c r="O62" s="133">
        <f>G62*0</f>
        <v>0</v>
      </c>
      <c r="P62" s="133">
        <f>G62*0</f>
        <v>0</v>
      </c>
      <c r="Q62" s="133">
        <f>G62*0</f>
        <v>0</v>
      </c>
      <c r="R62" s="135">
        <v>1</v>
      </c>
      <c r="S62" s="135"/>
      <c r="T62" s="135"/>
      <c r="U62" s="135"/>
      <c r="V62" s="179">
        <f>R62*E62</f>
        <v>7500000</v>
      </c>
      <c r="W62" s="179">
        <f>S62*E62</f>
        <v>0</v>
      </c>
      <c r="X62" s="179">
        <f>T62*E62</f>
        <v>0</v>
      </c>
      <c r="Y62" s="179">
        <f>U62*E62</f>
        <v>0</v>
      </c>
      <c r="Z62" s="135">
        <v>0</v>
      </c>
      <c r="AA62" s="179">
        <f>Z62*E62</f>
        <v>0</v>
      </c>
      <c r="AB62" s="135">
        <v>0</v>
      </c>
      <c r="AC62" s="179">
        <f t="shared" si="2"/>
        <v>0</v>
      </c>
      <c r="AD62" s="135">
        <v>0</v>
      </c>
      <c r="AE62" s="179">
        <f t="shared" si="3"/>
        <v>0</v>
      </c>
      <c r="AF62" s="135">
        <v>0</v>
      </c>
      <c r="AG62" s="179">
        <f t="shared" si="4"/>
        <v>0</v>
      </c>
      <c r="AH62" s="135">
        <v>0</v>
      </c>
      <c r="AI62" s="179">
        <f t="shared" si="5"/>
        <v>0</v>
      </c>
      <c r="AJ62" s="135">
        <v>0</v>
      </c>
      <c r="AK62" s="179">
        <f t="shared" si="6"/>
        <v>0</v>
      </c>
      <c r="AL62" s="135">
        <v>0</v>
      </c>
      <c r="AM62" s="179">
        <f t="shared" si="7"/>
        <v>0</v>
      </c>
      <c r="AN62" s="135">
        <v>0</v>
      </c>
      <c r="AO62" s="179">
        <f t="shared" si="8"/>
        <v>0</v>
      </c>
      <c r="AP62" s="135">
        <v>0</v>
      </c>
      <c r="AQ62" s="179">
        <f t="shared" si="9"/>
        <v>0</v>
      </c>
      <c r="AR62" s="135">
        <v>0</v>
      </c>
      <c r="AS62" s="179">
        <f t="shared" si="10"/>
        <v>0</v>
      </c>
      <c r="AT62" s="135">
        <v>0</v>
      </c>
      <c r="AU62" s="179">
        <f t="shared" si="11"/>
        <v>0</v>
      </c>
      <c r="AV62" s="135">
        <v>0</v>
      </c>
      <c r="AW62" s="179">
        <f t="shared" si="12"/>
        <v>0</v>
      </c>
      <c r="AX62" s="135">
        <v>0</v>
      </c>
      <c r="AY62" s="179">
        <f t="shared" si="13"/>
        <v>0</v>
      </c>
      <c r="AZ62" s="135">
        <v>0</v>
      </c>
      <c r="BA62" s="179">
        <f t="shared" si="14"/>
        <v>0</v>
      </c>
      <c r="BB62" s="135">
        <v>0</v>
      </c>
      <c r="BC62" s="179">
        <f t="shared" si="15"/>
        <v>0</v>
      </c>
      <c r="BD62" s="135">
        <v>0</v>
      </c>
      <c r="BE62" s="179">
        <f t="shared" si="16"/>
        <v>0</v>
      </c>
      <c r="BF62" s="135">
        <v>0</v>
      </c>
      <c r="BG62" s="179">
        <f t="shared" si="17"/>
        <v>0</v>
      </c>
      <c r="BH62" s="178">
        <v>1</v>
      </c>
      <c r="BI62" s="179">
        <f>BH62*E62</f>
        <v>7500000</v>
      </c>
      <c r="BJ62" s="47">
        <f>Z62+AB62+AD62+AF62+AH62+AJ62+AL62+AN62+AP62+AR62+AT62+AV62+AX62+AZ62+BB62+BD62+BF62+BH62</f>
        <v>1</v>
      </c>
      <c r="BK62" s="117">
        <f t="shared" ref="BJ62:BK64" si="77">AA62+AC62+AE62+AG62+AI62+AK62+AM62+AO62+AQ62+AS62+AU62+AW62+AY62+BA62+BC62+BE62+BG62+BI62</f>
        <v>7500000</v>
      </c>
      <c r="BL62" s="335" t="s">
        <v>467</v>
      </c>
      <c r="BN62" s="113"/>
      <c r="BO62" s="113"/>
      <c r="BP62" s="113">
        <f>G62</f>
        <v>7500000</v>
      </c>
      <c r="BQ62" s="113"/>
      <c r="BR62" s="113">
        <f>BN62+BO62+BP62+BQ62</f>
        <v>7500000</v>
      </c>
      <c r="BS62" s="113"/>
      <c r="BT62" s="113"/>
      <c r="BU62" s="124">
        <f>BS62+BT62</f>
        <v>0</v>
      </c>
      <c r="BV62" s="179">
        <f t="shared" si="0"/>
        <v>7500000</v>
      </c>
    </row>
    <row r="63" spans="1:74" x14ac:dyDescent="0.25">
      <c r="A63" s="1023"/>
      <c r="B63" s="38"/>
      <c r="C63" s="38" t="s">
        <v>286</v>
      </c>
      <c r="D63" s="38" t="s">
        <v>17</v>
      </c>
      <c r="E63" s="365">
        <v>300000</v>
      </c>
      <c r="F63" s="38">
        <f>BJ63</f>
        <v>1</v>
      </c>
      <c r="G63" s="427">
        <f>E63*F63</f>
        <v>300000</v>
      </c>
      <c r="H63" s="427">
        <f>G63*0.2</f>
        <v>60000</v>
      </c>
      <c r="I63" s="427">
        <f>G63*0.8</f>
        <v>240000</v>
      </c>
      <c r="J63" s="427">
        <f>G63*0</f>
        <v>0</v>
      </c>
      <c r="K63" s="427">
        <f>G63*0</f>
        <v>0</v>
      </c>
      <c r="L63" s="427">
        <f>G63*0</f>
        <v>0</v>
      </c>
      <c r="M63" s="427">
        <f>G63*0</f>
        <v>0</v>
      </c>
      <c r="N63" s="427">
        <f>G63*0</f>
        <v>0</v>
      </c>
      <c r="O63" s="85">
        <f>G63*0</f>
        <v>0</v>
      </c>
      <c r="P63" s="85">
        <f>G63*0</f>
        <v>0</v>
      </c>
      <c r="Q63" s="85">
        <f>G63*0</f>
        <v>0</v>
      </c>
      <c r="R63" s="47"/>
      <c r="S63" s="47">
        <v>1</v>
      </c>
      <c r="T63" s="47"/>
      <c r="U63" s="47"/>
      <c r="V63" s="179">
        <f>R63*E63</f>
        <v>0</v>
      </c>
      <c r="W63" s="179">
        <f>S63*E63</f>
        <v>300000</v>
      </c>
      <c r="X63" s="179">
        <f>T63*E63</f>
        <v>0</v>
      </c>
      <c r="Y63" s="179">
        <f>U63*E63</f>
        <v>0</v>
      </c>
      <c r="Z63" s="47">
        <v>0</v>
      </c>
      <c r="AA63" s="179">
        <f>Z63*E63</f>
        <v>0</v>
      </c>
      <c r="AB63" s="47">
        <v>0</v>
      </c>
      <c r="AC63" s="179">
        <f t="shared" si="2"/>
        <v>0</v>
      </c>
      <c r="AD63" s="47">
        <v>0</v>
      </c>
      <c r="AE63" s="179">
        <f t="shared" si="3"/>
        <v>0</v>
      </c>
      <c r="AF63" s="47">
        <v>0</v>
      </c>
      <c r="AG63" s="179">
        <f t="shared" si="4"/>
        <v>0</v>
      </c>
      <c r="AH63" s="47">
        <v>0</v>
      </c>
      <c r="AI63" s="179">
        <f t="shared" si="5"/>
        <v>0</v>
      </c>
      <c r="AJ63" s="47">
        <v>0</v>
      </c>
      <c r="AK63" s="179">
        <f t="shared" si="6"/>
        <v>0</v>
      </c>
      <c r="AL63" s="47">
        <v>0</v>
      </c>
      <c r="AM63" s="179">
        <f t="shared" si="7"/>
        <v>0</v>
      </c>
      <c r="AN63" s="47">
        <v>0</v>
      </c>
      <c r="AO63" s="179">
        <f t="shared" si="8"/>
        <v>0</v>
      </c>
      <c r="AP63" s="47">
        <v>0</v>
      </c>
      <c r="AQ63" s="179">
        <f t="shared" si="9"/>
        <v>0</v>
      </c>
      <c r="AR63" s="47">
        <v>0</v>
      </c>
      <c r="AS63" s="179">
        <f t="shared" si="10"/>
        <v>0</v>
      </c>
      <c r="AT63" s="47">
        <v>0</v>
      </c>
      <c r="AU63" s="179">
        <f t="shared" si="11"/>
        <v>0</v>
      </c>
      <c r="AV63" s="47">
        <v>0</v>
      </c>
      <c r="AW63" s="179">
        <f t="shared" si="12"/>
        <v>0</v>
      </c>
      <c r="AX63" s="47">
        <v>0</v>
      </c>
      <c r="AY63" s="179">
        <f t="shared" si="13"/>
        <v>0</v>
      </c>
      <c r="AZ63" s="47">
        <v>0</v>
      </c>
      <c r="BA63" s="179">
        <f t="shared" si="14"/>
        <v>0</v>
      </c>
      <c r="BB63" s="47">
        <v>0</v>
      </c>
      <c r="BC63" s="179">
        <f t="shared" si="15"/>
        <v>0</v>
      </c>
      <c r="BD63" s="47">
        <v>0</v>
      </c>
      <c r="BE63" s="179">
        <f t="shared" si="16"/>
        <v>0</v>
      </c>
      <c r="BF63" s="47">
        <v>0</v>
      </c>
      <c r="BG63" s="179">
        <f t="shared" si="17"/>
        <v>0</v>
      </c>
      <c r="BH63" s="47">
        <v>1</v>
      </c>
      <c r="BI63" s="179">
        <f>BH63*E63</f>
        <v>300000</v>
      </c>
      <c r="BJ63" s="47">
        <f t="shared" si="77"/>
        <v>1</v>
      </c>
      <c r="BK63" s="117">
        <f t="shared" si="77"/>
        <v>300000</v>
      </c>
      <c r="BL63" s="335" t="s">
        <v>467</v>
      </c>
      <c r="BN63" s="113"/>
      <c r="BO63" s="113"/>
      <c r="BP63" s="113">
        <f>G63</f>
        <v>300000</v>
      </c>
      <c r="BQ63" s="113"/>
      <c r="BR63" s="113">
        <f>BN63+BO63+BP63+BQ63</f>
        <v>300000</v>
      </c>
      <c r="BS63" s="113"/>
      <c r="BT63" s="113"/>
      <c r="BU63" s="124">
        <f>BS63+BT63</f>
        <v>0</v>
      </c>
      <c r="BV63" s="179">
        <f t="shared" si="0"/>
        <v>300000</v>
      </c>
    </row>
    <row r="64" spans="1:74" ht="41.25" customHeight="1" x14ac:dyDescent="0.25">
      <c r="A64" s="1023"/>
      <c r="B64" s="38"/>
      <c r="C64" s="38" t="s">
        <v>287</v>
      </c>
      <c r="D64" s="38" t="s">
        <v>17</v>
      </c>
      <c r="E64" s="365">
        <f>5*100000</f>
        <v>500000</v>
      </c>
      <c r="F64" s="38">
        <f>BJ64</f>
        <v>0</v>
      </c>
      <c r="G64" s="427">
        <f>E64*F64</f>
        <v>0</v>
      </c>
      <c r="H64" s="427">
        <f>G64*0.2</f>
        <v>0</v>
      </c>
      <c r="I64" s="427">
        <f>G64*0.8</f>
        <v>0</v>
      </c>
      <c r="J64" s="427">
        <f>G64*0</f>
        <v>0</v>
      </c>
      <c r="K64" s="427">
        <f>G64*0</f>
        <v>0</v>
      </c>
      <c r="L64" s="427">
        <f>G64*0</f>
        <v>0</v>
      </c>
      <c r="M64" s="427">
        <f>G64*0</f>
        <v>0</v>
      </c>
      <c r="N64" s="427">
        <f>G64*0</f>
        <v>0</v>
      </c>
      <c r="O64" s="85">
        <f>G64*0</f>
        <v>0</v>
      </c>
      <c r="P64" s="85">
        <f>G64*0</f>
        <v>0</v>
      </c>
      <c r="Q64" s="85">
        <f>G64*0</f>
        <v>0</v>
      </c>
      <c r="R64" s="47"/>
      <c r="S64" s="47"/>
      <c r="T64" s="47"/>
      <c r="U64" s="47"/>
      <c r="V64" s="179">
        <f>R64*E64</f>
        <v>0</v>
      </c>
      <c r="W64" s="179">
        <f>S64*E64</f>
        <v>0</v>
      </c>
      <c r="X64" s="179">
        <f>T64*E64</f>
        <v>0</v>
      </c>
      <c r="Y64" s="179">
        <f>U64*E64</f>
        <v>0</v>
      </c>
      <c r="Z64" s="47">
        <v>0</v>
      </c>
      <c r="AA64" s="179">
        <f>Z64*E64</f>
        <v>0</v>
      </c>
      <c r="AB64" s="47">
        <v>0</v>
      </c>
      <c r="AC64" s="179">
        <f t="shared" si="2"/>
        <v>0</v>
      </c>
      <c r="AD64" s="47">
        <v>0</v>
      </c>
      <c r="AE64" s="179">
        <f t="shared" si="3"/>
        <v>0</v>
      </c>
      <c r="AF64" s="47">
        <v>0</v>
      </c>
      <c r="AG64" s="179">
        <f t="shared" si="4"/>
        <v>0</v>
      </c>
      <c r="AH64" s="47">
        <v>0</v>
      </c>
      <c r="AI64" s="179">
        <f t="shared" si="5"/>
        <v>0</v>
      </c>
      <c r="AJ64" s="47">
        <v>0</v>
      </c>
      <c r="AK64" s="179">
        <f t="shared" si="6"/>
        <v>0</v>
      </c>
      <c r="AL64" s="47">
        <v>0</v>
      </c>
      <c r="AM64" s="179">
        <f t="shared" si="7"/>
        <v>0</v>
      </c>
      <c r="AN64" s="47">
        <v>0</v>
      </c>
      <c r="AO64" s="179">
        <f t="shared" si="8"/>
        <v>0</v>
      </c>
      <c r="AP64" s="47">
        <v>0</v>
      </c>
      <c r="AQ64" s="179">
        <f t="shared" si="9"/>
        <v>0</v>
      </c>
      <c r="AR64" s="47">
        <v>0</v>
      </c>
      <c r="AS64" s="179">
        <f t="shared" si="10"/>
        <v>0</v>
      </c>
      <c r="AT64" s="47">
        <v>0</v>
      </c>
      <c r="AU64" s="179">
        <f t="shared" si="11"/>
        <v>0</v>
      </c>
      <c r="AV64" s="47">
        <v>0</v>
      </c>
      <c r="AW64" s="179">
        <f t="shared" si="12"/>
        <v>0</v>
      </c>
      <c r="AX64" s="47">
        <v>0</v>
      </c>
      <c r="AY64" s="179">
        <f t="shared" si="13"/>
        <v>0</v>
      </c>
      <c r="AZ64" s="47">
        <v>0</v>
      </c>
      <c r="BA64" s="179">
        <f t="shared" si="14"/>
        <v>0</v>
      </c>
      <c r="BB64" s="47">
        <v>0</v>
      </c>
      <c r="BC64" s="179">
        <f t="shared" si="15"/>
        <v>0</v>
      </c>
      <c r="BD64" s="47">
        <v>0</v>
      </c>
      <c r="BE64" s="179">
        <f t="shared" si="16"/>
        <v>0</v>
      </c>
      <c r="BF64" s="47">
        <v>0</v>
      </c>
      <c r="BG64" s="179">
        <f t="shared" si="17"/>
        <v>0</v>
      </c>
      <c r="BH64" s="47">
        <v>0</v>
      </c>
      <c r="BI64" s="179">
        <f>BH64*E64</f>
        <v>0</v>
      </c>
      <c r="BJ64" s="47">
        <f t="shared" si="77"/>
        <v>0</v>
      </c>
      <c r="BK64" s="117">
        <f t="shared" si="77"/>
        <v>0</v>
      </c>
      <c r="BL64" s="335" t="s">
        <v>467</v>
      </c>
      <c r="BN64" s="113"/>
      <c r="BO64" s="113"/>
      <c r="BP64" s="113">
        <f>G64</f>
        <v>0</v>
      </c>
      <c r="BQ64" s="113"/>
      <c r="BR64" s="113">
        <f>BN64+BO64+BP64+BQ64</f>
        <v>0</v>
      </c>
      <c r="BS64" s="113"/>
      <c r="BT64" s="113"/>
      <c r="BU64" s="124">
        <f>BS64+BT64</f>
        <v>0</v>
      </c>
      <c r="BV64" s="179">
        <f t="shared" si="0"/>
        <v>0</v>
      </c>
    </row>
    <row r="65" spans="1:74" ht="31.5" x14ac:dyDescent="0.25">
      <c r="A65" s="1023"/>
      <c r="B65" s="428"/>
      <c r="C65" s="428" t="s">
        <v>288</v>
      </c>
      <c r="D65" s="428" t="s">
        <v>280</v>
      </c>
      <c r="E65" s="428" t="s">
        <v>280</v>
      </c>
      <c r="F65" s="428">
        <f>SUM(F62:F64)</f>
        <v>2</v>
      </c>
      <c r="G65" s="429">
        <f>SUM(G62:G64)</f>
        <v>7800000</v>
      </c>
      <c r="H65" s="429">
        <f t="shared" ref="H65:Q65" si="78">SUM(H62:H64)</f>
        <v>1560000</v>
      </c>
      <c r="I65" s="429">
        <f t="shared" si="78"/>
        <v>6240000</v>
      </c>
      <c r="J65" s="429">
        <f t="shared" si="78"/>
        <v>0</v>
      </c>
      <c r="K65" s="429">
        <f t="shared" si="78"/>
        <v>0</v>
      </c>
      <c r="L65" s="429">
        <f t="shared" si="78"/>
        <v>0</v>
      </c>
      <c r="M65" s="429">
        <f t="shared" si="78"/>
        <v>0</v>
      </c>
      <c r="N65" s="429">
        <f t="shared" si="78"/>
        <v>0</v>
      </c>
      <c r="O65" s="429">
        <f t="shared" si="78"/>
        <v>0</v>
      </c>
      <c r="P65" s="429">
        <f t="shared" si="78"/>
        <v>0</v>
      </c>
      <c r="Q65" s="429">
        <f t="shared" si="78"/>
        <v>0</v>
      </c>
      <c r="R65" s="428">
        <f t="shared" ref="R65:BK65" si="79">SUM(R62:R64)</f>
        <v>1</v>
      </c>
      <c r="S65" s="428">
        <f t="shared" si="79"/>
        <v>1</v>
      </c>
      <c r="T65" s="428">
        <f t="shared" si="79"/>
        <v>0</v>
      </c>
      <c r="U65" s="428">
        <f t="shared" si="79"/>
        <v>0</v>
      </c>
      <c r="V65" s="429">
        <f t="shared" si="79"/>
        <v>7500000</v>
      </c>
      <c r="W65" s="429">
        <f t="shared" si="79"/>
        <v>300000</v>
      </c>
      <c r="X65" s="429">
        <f t="shared" si="79"/>
        <v>0</v>
      </c>
      <c r="Y65" s="429">
        <f t="shared" si="79"/>
        <v>0</v>
      </c>
      <c r="Z65" s="428">
        <f t="shared" si="79"/>
        <v>0</v>
      </c>
      <c r="AA65" s="429">
        <f t="shared" si="79"/>
        <v>0</v>
      </c>
      <c r="AB65" s="428">
        <f t="shared" si="79"/>
        <v>0</v>
      </c>
      <c r="AC65" s="429">
        <f t="shared" si="79"/>
        <v>0</v>
      </c>
      <c r="AD65" s="428">
        <f t="shared" si="79"/>
        <v>0</v>
      </c>
      <c r="AE65" s="429">
        <f t="shared" si="79"/>
        <v>0</v>
      </c>
      <c r="AF65" s="428">
        <f t="shared" si="79"/>
        <v>0</v>
      </c>
      <c r="AG65" s="429">
        <f t="shared" si="79"/>
        <v>0</v>
      </c>
      <c r="AH65" s="428">
        <f t="shared" si="79"/>
        <v>0</v>
      </c>
      <c r="AI65" s="429">
        <f t="shared" si="79"/>
        <v>0</v>
      </c>
      <c r="AJ65" s="428">
        <f t="shared" si="79"/>
        <v>0</v>
      </c>
      <c r="AK65" s="429">
        <f t="shared" si="79"/>
        <v>0</v>
      </c>
      <c r="AL65" s="428">
        <f t="shared" si="79"/>
        <v>0</v>
      </c>
      <c r="AM65" s="429">
        <f t="shared" si="79"/>
        <v>0</v>
      </c>
      <c r="AN65" s="428">
        <f t="shared" si="79"/>
        <v>0</v>
      </c>
      <c r="AO65" s="429">
        <f t="shared" si="79"/>
        <v>0</v>
      </c>
      <c r="AP65" s="428">
        <f t="shared" si="79"/>
        <v>0</v>
      </c>
      <c r="AQ65" s="429">
        <f t="shared" si="79"/>
        <v>0</v>
      </c>
      <c r="AR65" s="428">
        <f t="shared" si="79"/>
        <v>0</v>
      </c>
      <c r="AS65" s="429">
        <f t="shared" si="79"/>
        <v>0</v>
      </c>
      <c r="AT65" s="428">
        <f t="shared" si="79"/>
        <v>0</v>
      </c>
      <c r="AU65" s="429">
        <f t="shared" si="79"/>
        <v>0</v>
      </c>
      <c r="AV65" s="428">
        <f t="shared" si="79"/>
        <v>0</v>
      </c>
      <c r="AW65" s="429">
        <f t="shared" si="79"/>
        <v>0</v>
      </c>
      <c r="AX65" s="428">
        <f t="shared" si="79"/>
        <v>0</v>
      </c>
      <c r="AY65" s="429">
        <f t="shared" si="79"/>
        <v>0</v>
      </c>
      <c r="AZ65" s="428">
        <f t="shared" si="79"/>
        <v>0</v>
      </c>
      <c r="BA65" s="429">
        <f t="shared" si="79"/>
        <v>0</v>
      </c>
      <c r="BB65" s="428">
        <f t="shared" si="79"/>
        <v>0</v>
      </c>
      <c r="BC65" s="429">
        <f t="shared" si="79"/>
        <v>0</v>
      </c>
      <c r="BD65" s="428">
        <f t="shared" si="79"/>
        <v>0</v>
      </c>
      <c r="BE65" s="429">
        <f t="shared" si="79"/>
        <v>0</v>
      </c>
      <c r="BF65" s="428">
        <f t="shared" si="79"/>
        <v>0</v>
      </c>
      <c r="BG65" s="429">
        <f t="shared" si="79"/>
        <v>0</v>
      </c>
      <c r="BH65" s="428">
        <f t="shared" si="79"/>
        <v>2</v>
      </c>
      <c r="BI65" s="429">
        <f>SUM(BI62:BI64)</f>
        <v>7800000</v>
      </c>
      <c r="BJ65" s="428">
        <f>SUM(BJ62:BJ64)</f>
        <v>2</v>
      </c>
      <c r="BK65" s="430">
        <f t="shared" si="79"/>
        <v>7800000</v>
      </c>
      <c r="BL65" s="47"/>
      <c r="BN65" s="430">
        <f t="shared" ref="BN65:BU65" si="80">SUM(BN62:BN64)</f>
        <v>0</v>
      </c>
      <c r="BO65" s="430">
        <f t="shared" si="80"/>
        <v>0</v>
      </c>
      <c r="BP65" s="430">
        <f t="shared" si="80"/>
        <v>7800000</v>
      </c>
      <c r="BQ65" s="430">
        <f t="shared" si="80"/>
        <v>0</v>
      </c>
      <c r="BR65" s="430">
        <f t="shared" si="80"/>
        <v>7800000</v>
      </c>
      <c r="BS65" s="430">
        <f t="shared" si="80"/>
        <v>0</v>
      </c>
      <c r="BT65" s="430">
        <f t="shared" si="80"/>
        <v>0</v>
      </c>
      <c r="BU65" s="430">
        <f t="shared" si="80"/>
        <v>0</v>
      </c>
      <c r="BV65" s="380">
        <f t="shared" si="0"/>
        <v>7800000</v>
      </c>
    </row>
    <row r="66" spans="1:74" x14ac:dyDescent="0.25">
      <c r="A66" s="1023"/>
      <c r="B66" s="38"/>
      <c r="C66" s="432" t="s">
        <v>289</v>
      </c>
      <c r="D66" s="432"/>
      <c r="E66" s="432"/>
      <c r="F66" s="433">
        <f>F65+F60+F53</f>
        <v>9</v>
      </c>
      <c r="G66" s="128">
        <f>G65+G60+G53</f>
        <v>13400000</v>
      </c>
      <c r="H66" s="128">
        <f t="shared" ref="H66:Q66" si="81">H65+H60+H53</f>
        <v>2680000</v>
      </c>
      <c r="I66" s="128">
        <f t="shared" si="81"/>
        <v>10720000</v>
      </c>
      <c r="J66" s="128">
        <f t="shared" si="81"/>
        <v>0</v>
      </c>
      <c r="K66" s="128">
        <f t="shared" si="81"/>
        <v>0</v>
      </c>
      <c r="L66" s="128">
        <f t="shared" si="81"/>
        <v>0</v>
      </c>
      <c r="M66" s="128">
        <f t="shared" si="81"/>
        <v>0</v>
      </c>
      <c r="N66" s="128">
        <f t="shared" si="81"/>
        <v>0</v>
      </c>
      <c r="O66" s="128">
        <f t="shared" si="81"/>
        <v>0</v>
      </c>
      <c r="P66" s="128">
        <f t="shared" si="81"/>
        <v>0</v>
      </c>
      <c r="Q66" s="128">
        <f t="shared" si="81"/>
        <v>0</v>
      </c>
      <c r="R66" s="433">
        <f t="shared" ref="R66:BK66" si="82">R65+R60+R53</f>
        <v>2</v>
      </c>
      <c r="S66" s="433">
        <f t="shared" si="82"/>
        <v>4</v>
      </c>
      <c r="T66" s="433">
        <f t="shared" si="82"/>
        <v>1</v>
      </c>
      <c r="U66" s="433">
        <f t="shared" si="82"/>
        <v>2</v>
      </c>
      <c r="V66" s="128">
        <f t="shared" si="82"/>
        <v>7600000</v>
      </c>
      <c r="W66" s="128">
        <f t="shared" si="82"/>
        <v>2800000</v>
      </c>
      <c r="X66" s="128">
        <f t="shared" si="82"/>
        <v>500000</v>
      </c>
      <c r="Y66" s="128">
        <f t="shared" si="82"/>
        <v>2500000</v>
      </c>
      <c r="Z66" s="433">
        <f t="shared" si="82"/>
        <v>0</v>
      </c>
      <c r="AA66" s="128">
        <f t="shared" si="82"/>
        <v>0</v>
      </c>
      <c r="AB66" s="433">
        <f t="shared" si="82"/>
        <v>0</v>
      </c>
      <c r="AC66" s="128">
        <f t="shared" si="82"/>
        <v>0</v>
      </c>
      <c r="AD66" s="433">
        <f t="shared" si="82"/>
        <v>0</v>
      </c>
      <c r="AE66" s="128">
        <f t="shared" si="82"/>
        <v>0</v>
      </c>
      <c r="AF66" s="433">
        <f t="shared" si="82"/>
        <v>0</v>
      </c>
      <c r="AG66" s="128">
        <f t="shared" si="82"/>
        <v>0</v>
      </c>
      <c r="AH66" s="433">
        <f t="shared" si="82"/>
        <v>0</v>
      </c>
      <c r="AI66" s="128">
        <f t="shared" si="82"/>
        <v>0</v>
      </c>
      <c r="AJ66" s="433">
        <f t="shared" si="82"/>
        <v>0</v>
      </c>
      <c r="AK66" s="128">
        <f t="shared" si="82"/>
        <v>0</v>
      </c>
      <c r="AL66" s="433">
        <f t="shared" si="82"/>
        <v>0</v>
      </c>
      <c r="AM66" s="128">
        <f t="shared" si="82"/>
        <v>0</v>
      </c>
      <c r="AN66" s="433">
        <f t="shared" si="82"/>
        <v>0</v>
      </c>
      <c r="AO66" s="128">
        <f t="shared" si="82"/>
        <v>0</v>
      </c>
      <c r="AP66" s="433">
        <f t="shared" si="82"/>
        <v>0</v>
      </c>
      <c r="AQ66" s="128">
        <f t="shared" si="82"/>
        <v>0</v>
      </c>
      <c r="AR66" s="433">
        <f t="shared" si="82"/>
        <v>0</v>
      </c>
      <c r="AS66" s="128">
        <f t="shared" si="82"/>
        <v>0</v>
      </c>
      <c r="AT66" s="433">
        <f t="shared" si="82"/>
        <v>0</v>
      </c>
      <c r="AU66" s="128">
        <f t="shared" si="82"/>
        <v>0</v>
      </c>
      <c r="AV66" s="433">
        <f t="shared" si="82"/>
        <v>0</v>
      </c>
      <c r="AW66" s="128">
        <f t="shared" si="82"/>
        <v>0</v>
      </c>
      <c r="AX66" s="433">
        <f t="shared" si="82"/>
        <v>0</v>
      </c>
      <c r="AY66" s="128">
        <f t="shared" si="82"/>
        <v>0</v>
      </c>
      <c r="AZ66" s="433">
        <f t="shared" si="82"/>
        <v>0</v>
      </c>
      <c r="BA66" s="128">
        <f t="shared" si="82"/>
        <v>0</v>
      </c>
      <c r="BB66" s="433">
        <f t="shared" si="82"/>
        <v>0</v>
      </c>
      <c r="BC66" s="128">
        <f t="shared" si="82"/>
        <v>0</v>
      </c>
      <c r="BD66" s="433">
        <f t="shared" si="82"/>
        <v>0</v>
      </c>
      <c r="BE66" s="128">
        <f t="shared" si="82"/>
        <v>0</v>
      </c>
      <c r="BF66" s="433">
        <f t="shared" si="82"/>
        <v>0</v>
      </c>
      <c r="BG66" s="128">
        <f t="shared" si="82"/>
        <v>0</v>
      </c>
      <c r="BH66" s="433">
        <f t="shared" si="82"/>
        <v>9</v>
      </c>
      <c r="BI66" s="128">
        <f t="shared" si="82"/>
        <v>13400000</v>
      </c>
      <c r="BJ66" s="433">
        <f t="shared" si="82"/>
        <v>9</v>
      </c>
      <c r="BK66" s="434">
        <f t="shared" si="82"/>
        <v>13400000</v>
      </c>
      <c r="BL66" s="47"/>
      <c r="BN66" s="434">
        <f t="shared" ref="BN66:BU66" si="83">BN65+BN60+BN53</f>
        <v>0</v>
      </c>
      <c r="BO66" s="434">
        <f t="shared" si="83"/>
        <v>0</v>
      </c>
      <c r="BP66" s="434">
        <f t="shared" si="83"/>
        <v>13400000</v>
      </c>
      <c r="BQ66" s="434">
        <f t="shared" si="83"/>
        <v>0</v>
      </c>
      <c r="BR66" s="434">
        <f t="shared" si="83"/>
        <v>13400000</v>
      </c>
      <c r="BS66" s="434">
        <f t="shared" si="83"/>
        <v>0</v>
      </c>
      <c r="BT66" s="434">
        <f t="shared" si="83"/>
        <v>0</v>
      </c>
      <c r="BU66" s="434">
        <f t="shared" si="83"/>
        <v>0</v>
      </c>
      <c r="BV66" s="435">
        <f t="shared" si="0"/>
        <v>13400000</v>
      </c>
    </row>
    <row r="67" spans="1:74" ht="31.5" x14ac:dyDescent="0.25">
      <c r="A67" s="1023"/>
      <c r="B67" s="211">
        <v>41400</v>
      </c>
      <c r="C67" s="211" t="s">
        <v>290</v>
      </c>
      <c r="D67" s="38"/>
      <c r="E67" s="365"/>
      <c r="F67" s="38"/>
      <c r="G67" s="123"/>
      <c r="H67" s="123"/>
      <c r="I67" s="123"/>
      <c r="J67" s="123"/>
      <c r="K67" s="123"/>
      <c r="L67" s="123"/>
      <c r="M67" s="123"/>
      <c r="N67" s="123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179">
        <f t="shared" si="2"/>
        <v>0</v>
      </c>
      <c r="AD67" s="47"/>
      <c r="AE67" s="179">
        <f t="shared" si="3"/>
        <v>0</v>
      </c>
      <c r="AF67" s="47"/>
      <c r="AG67" s="179">
        <f t="shared" si="4"/>
        <v>0</v>
      </c>
      <c r="AH67" s="47"/>
      <c r="AI67" s="179">
        <f t="shared" si="5"/>
        <v>0</v>
      </c>
      <c r="AJ67" s="47"/>
      <c r="AK67" s="179">
        <f t="shared" si="6"/>
        <v>0</v>
      </c>
      <c r="AL67" s="47"/>
      <c r="AM67" s="179">
        <f t="shared" si="7"/>
        <v>0</v>
      </c>
      <c r="AN67" s="47"/>
      <c r="AO67" s="179">
        <f t="shared" si="8"/>
        <v>0</v>
      </c>
      <c r="AP67" s="47"/>
      <c r="AQ67" s="179">
        <f t="shared" si="9"/>
        <v>0</v>
      </c>
      <c r="AR67" s="47"/>
      <c r="AS67" s="179">
        <f t="shared" si="10"/>
        <v>0</v>
      </c>
      <c r="AT67" s="47"/>
      <c r="AU67" s="179">
        <f t="shared" si="11"/>
        <v>0</v>
      </c>
      <c r="AV67" s="47"/>
      <c r="AW67" s="179">
        <f t="shared" si="12"/>
        <v>0</v>
      </c>
      <c r="AX67" s="47"/>
      <c r="AY67" s="179">
        <f t="shared" si="13"/>
        <v>0</v>
      </c>
      <c r="AZ67" s="47"/>
      <c r="BA67" s="179">
        <f t="shared" si="14"/>
        <v>0</v>
      </c>
      <c r="BB67" s="47"/>
      <c r="BC67" s="179">
        <f t="shared" si="15"/>
        <v>0</v>
      </c>
      <c r="BD67" s="47"/>
      <c r="BE67" s="179">
        <f t="shared" si="16"/>
        <v>0</v>
      </c>
      <c r="BF67" s="47"/>
      <c r="BG67" s="179">
        <f t="shared" si="17"/>
        <v>0</v>
      </c>
      <c r="BH67" s="47"/>
      <c r="BI67" s="47"/>
      <c r="BJ67" s="47"/>
      <c r="BK67" s="123"/>
      <c r="BL67" s="47"/>
      <c r="BN67" s="113"/>
      <c r="BO67" s="113"/>
      <c r="BP67" s="113"/>
      <c r="BQ67" s="113"/>
      <c r="BR67" s="113"/>
      <c r="BS67" s="113"/>
      <c r="BT67" s="113"/>
      <c r="BU67" s="124"/>
      <c r="BV67" s="179">
        <f t="shared" si="0"/>
        <v>0</v>
      </c>
    </row>
    <row r="68" spans="1:74" x14ac:dyDescent="0.25">
      <c r="A68" s="1023"/>
      <c r="B68" s="38">
        <v>41410</v>
      </c>
      <c r="C68" s="381" t="s">
        <v>291</v>
      </c>
      <c r="D68" s="38"/>
      <c r="E68" s="365"/>
      <c r="F68" s="38"/>
      <c r="G68" s="123"/>
      <c r="H68" s="123"/>
      <c r="I68" s="123"/>
      <c r="J68" s="123"/>
      <c r="K68" s="123"/>
      <c r="L68" s="123"/>
      <c r="M68" s="123"/>
      <c r="N68" s="123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179">
        <f t="shared" si="2"/>
        <v>0</v>
      </c>
      <c r="AD68" s="47"/>
      <c r="AE68" s="179">
        <f t="shared" si="3"/>
        <v>0</v>
      </c>
      <c r="AF68" s="47"/>
      <c r="AG68" s="179">
        <f t="shared" si="4"/>
        <v>0</v>
      </c>
      <c r="AH68" s="47"/>
      <c r="AI68" s="179">
        <f t="shared" si="5"/>
        <v>0</v>
      </c>
      <c r="AJ68" s="47"/>
      <c r="AK68" s="179">
        <f t="shared" si="6"/>
        <v>0</v>
      </c>
      <c r="AL68" s="47"/>
      <c r="AM68" s="179">
        <f t="shared" si="7"/>
        <v>0</v>
      </c>
      <c r="AN68" s="47"/>
      <c r="AO68" s="179">
        <f t="shared" si="8"/>
        <v>0</v>
      </c>
      <c r="AP68" s="47"/>
      <c r="AQ68" s="179">
        <f t="shared" si="9"/>
        <v>0</v>
      </c>
      <c r="AR68" s="47"/>
      <c r="AS68" s="179">
        <f t="shared" si="10"/>
        <v>0</v>
      </c>
      <c r="AT68" s="47"/>
      <c r="AU68" s="179">
        <f t="shared" si="11"/>
        <v>0</v>
      </c>
      <c r="AV68" s="47"/>
      <c r="AW68" s="179">
        <f t="shared" si="12"/>
        <v>0</v>
      </c>
      <c r="AX68" s="47"/>
      <c r="AY68" s="179">
        <f t="shared" si="13"/>
        <v>0</v>
      </c>
      <c r="AZ68" s="47"/>
      <c r="BA68" s="179">
        <f t="shared" si="14"/>
        <v>0</v>
      </c>
      <c r="BB68" s="47"/>
      <c r="BC68" s="179">
        <f t="shared" si="15"/>
        <v>0</v>
      </c>
      <c r="BD68" s="47"/>
      <c r="BE68" s="179">
        <f t="shared" si="16"/>
        <v>0</v>
      </c>
      <c r="BF68" s="47"/>
      <c r="BG68" s="179">
        <f t="shared" si="17"/>
        <v>0</v>
      </c>
      <c r="BH68" s="47"/>
      <c r="BI68" s="47"/>
      <c r="BJ68" s="47"/>
      <c r="BK68" s="123"/>
      <c r="BL68" s="47"/>
      <c r="BN68" s="113"/>
      <c r="BO68" s="113"/>
      <c r="BP68" s="113"/>
      <c r="BQ68" s="113"/>
      <c r="BR68" s="113"/>
      <c r="BS68" s="113"/>
      <c r="BT68" s="113"/>
      <c r="BU68" s="124"/>
      <c r="BV68" s="179">
        <f t="shared" si="0"/>
        <v>0</v>
      </c>
    </row>
    <row r="69" spans="1:74" x14ac:dyDescent="0.25">
      <c r="A69" s="1023"/>
      <c r="B69" s="38"/>
      <c r="C69" s="38" t="s">
        <v>292</v>
      </c>
      <c r="D69" s="38" t="s">
        <v>73</v>
      </c>
      <c r="E69" s="365">
        <v>100000</v>
      </c>
      <c r="F69" s="685">
        <f>BJ69</f>
        <v>0</v>
      </c>
      <c r="G69" s="427">
        <f t="shared" ref="G69:G86" si="84">E69*F69</f>
        <v>0</v>
      </c>
      <c r="H69" s="427">
        <f>G69*0.5</f>
        <v>0</v>
      </c>
      <c r="I69" s="427">
        <f>G69*0.5</f>
        <v>0</v>
      </c>
      <c r="J69" s="427">
        <f t="shared" ref="J69:J86" si="85">G69*0</f>
        <v>0</v>
      </c>
      <c r="K69" s="427">
        <f t="shared" ref="K69:K86" si="86">G69*0</f>
        <v>0</v>
      </c>
      <c r="L69" s="427">
        <f t="shared" ref="L69:L86" si="87">G69*0</f>
        <v>0</v>
      </c>
      <c r="M69" s="427">
        <f t="shared" ref="M69:M86" si="88">G69*0</f>
        <v>0</v>
      </c>
      <c r="N69" s="427">
        <f t="shared" ref="N69:N86" si="89">G69*0</f>
        <v>0</v>
      </c>
      <c r="O69" s="85">
        <f t="shared" ref="O69:O86" si="90">G69*0</f>
        <v>0</v>
      </c>
      <c r="P69" s="85">
        <f t="shared" ref="P69:P86" si="91">G69*0</f>
        <v>0</v>
      </c>
      <c r="Q69" s="85">
        <f t="shared" ref="Q69:Q86" si="92">G69*0</f>
        <v>0</v>
      </c>
      <c r="R69" s="47">
        <v>0</v>
      </c>
      <c r="S69" s="47">
        <v>0</v>
      </c>
      <c r="T69" s="47">
        <v>0</v>
      </c>
      <c r="U69" s="47">
        <v>0</v>
      </c>
      <c r="V69" s="179">
        <f>R69*E69</f>
        <v>0</v>
      </c>
      <c r="W69" s="179">
        <f>S69*E69</f>
        <v>0</v>
      </c>
      <c r="X69" s="179">
        <f>T69*E69</f>
        <v>0</v>
      </c>
      <c r="Y69" s="179">
        <f>U69*E69</f>
        <v>0</v>
      </c>
      <c r="Z69" s="47">
        <v>0</v>
      </c>
      <c r="AA69" s="179">
        <f t="shared" ref="AA69:AA86" si="93">Z69*E69</f>
        <v>0</v>
      </c>
      <c r="AB69" s="47">
        <v>0</v>
      </c>
      <c r="AC69" s="179">
        <f t="shared" si="2"/>
        <v>0</v>
      </c>
      <c r="AD69" s="47">
        <v>0</v>
      </c>
      <c r="AE69" s="179">
        <f t="shared" si="3"/>
        <v>0</v>
      </c>
      <c r="AF69" s="47">
        <v>0</v>
      </c>
      <c r="AG69" s="179">
        <f t="shared" si="4"/>
        <v>0</v>
      </c>
      <c r="AH69" s="47">
        <v>0</v>
      </c>
      <c r="AI69" s="179">
        <f t="shared" si="5"/>
        <v>0</v>
      </c>
      <c r="AJ69" s="47">
        <v>0</v>
      </c>
      <c r="AK69" s="179">
        <f t="shared" si="6"/>
        <v>0</v>
      </c>
      <c r="AL69" s="47">
        <v>0</v>
      </c>
      <c r="AM69" s="179">
        <f t="shared" si="7"/>
        <v>0</v>
      </c>
      <c r="AN69" s="47">
        <v>0</v>
      </c>
      <c r="AO69" s="179">
        <f t="shared" si="8"/>
        <v>0</v>
      </c>
      <c r="AP69" s="47">
        <v>0</v>
      </c>
      <c r="AQ69" s="179">
        <f t="shared" si="9"/>
        <v>0</v>
      </c>
      <c r="AR69" s="47">
        <v>0</v>
      </c>
      <c r="AS69" s="179">
        <f t="shared" si="10"/>
        <v>0</v>
      </c>
      <c r="AT69" s="47">
        <v>0</v>
      </c>
      <c r="AU69" s="179">
        <f t="shared" si="11"/>
        <v>0</v>
      </c>
      <c r="AV69" s="47">
        <v>0</v>
      </c>
      <c r="AW69" s="179">
        <f t="shared" si="12"/>
        <v>0</v>
      </c>
      <c r="AX69" s="47">
        <v>0</v>
      </c>
      <c r="AY69" s="179">
        <f t="shared" si="13"/>
        <v>0</v>
      </c>
      <c r="AZ69" s="47">
        <v>0</v>
      </c>
      <c r="BA69" s="179">
        <f t="shared" si="14"/>
        <v>0</v>
      </c>
      <c r="BB69" s="47">
        <v>0</v>
      </c>
      <c r="BC69" s="179">
        <f t="shared" si="15"/>
        <v>0</v>
      </c>
      <c r="BD69" s="47">
        <v>0</v>
      </c>
      <c r="BE69" s="179">
        <f t="shared" si="16"/>
        <v>0</v>
      </c>
      <c r="BF69" s="47">
        <v>0</v>
      </c>
      <c r="BG69" s="179">
        <f t="shared" si="17"/>
        <v>0</v>
      </c>
      <c r="BH69" s="47">
        <v>0</v>
      </c>
      <c r="BI69" s="179">
        <f t="shared" ref="BI69:BI86" si="94">BH69*E69</f>
        <v>0</v>
      </c>
      <c r="BJ69" s="47">
        <f t="shared" ref="BJ69:BK86" si="95">Z69+AB69+AD69+AF69+AH69+AJ69+AL69+AN69+AP69+AR69+AT69+AV69+AX69+AZ69+BB69+BD69+BF69+BH69</f>
        <v>0</v>
      </c>
      <c r="BK69" s="117">
        <f t="shared" si="95"/>
        <v>0</v>
      </c>
      <c r="BL69" s="335" t="s">
        <v>470</v>
      </c>
      <c r="BN69" s="113"/>
      <c r="BO69" s="113"/>
      <c r="BP69" s="113"/>
      <c r="BQ69" s="113"/>
      <c r="BR69" s="113">
        <f>BN69+BO69+BP69+BQ69</f>
        <v>0</v>
      </c>
      <c r="BS69" s="113">
        <f>G69</f>
        <v>0</v>
      </c>
      <c r="BT69" s="113"/>
      <c r="BU69" s="124">
        <f>BS69+BT69</f>
        <v>0</v>
      </c>
      <c r="BV69" s="179">
        <f t="shared" si="0"/>
        <v>0</v>
      </c>
    </row>
    <row r="70" spans="1:74" x14ac:dyDescent="0.25">
      <c r="A70" s="1023"/>
      <c r="B70" s="38"/>
      <c r="C70" s="38" t="s">
        <v>293</v>
      </c>
      <c r="D70" s="38" t="s">
        <v>73</v>
      </c>
      <c r="E70" s="365">
        <v>80000</v>
      </c>
      <c r="F70" s="38">
        <f t="shared" ref="F70:F86" si="96">BJ70</f>
        <v>12</v>
      </c>
      <c r="G70" s="427">
        <f t="shared" si="84"/>
        <v>960000</v>
      </c>
      <c r="H70" s="427">
        <f t="shared" ref="H70:H86" si="97">G70*0.5</f>
        <v>480000</v>
      </c>
      <c r="I70" s="427">
        <f t="shared" ref="I70:I86" si="98">G70*0.5</f>
        <v>480000</v>
      </c>
      <c r="J70" s="427">
        <f t="shared" si="85"/>
        <v>0</v>
      </c>
      <c r="K70" s="427">
        <f t="shared" si="86"/>
        <v>0</v>
      </c>
      <c r="L70" s="427">
        <f t="shared" si="87"/>
        <v>0</v>
      </c>
      <c r="M70" s="427">
        <f t="shared" si="88"/>
        <v>0</v>
      </c>
      <c r="N70" s="427">
        <f t="shared" si="89"/>
        <v>0</v>
      </c>
      <c r="O70" s="85">
        <f t="shared" si="90"/>
        <v>0</v>
      </c>
      <c r="P70" s="85">
        <f t="shared" si="91"/>
        <v>0</v>
      </c>
      <c r="Q70" s="85">
        <f t="shared" si="92"/>
        <v>0</v>
      </c>
      <c r="R70" s="47">
        <v>3</v>
      </c>
      <c r="S70" s="47">
        <v>3</v>
      </c>
      <c r="T70" s="47">
        <v>3</v>
      </c>
      <c r="U70" s="47">
        <v>3</v>
      </c>
      <c r="V70" s="179">
        <f t="shared" ref="V70:V86" si="99">R70*E70</f>
        <v>240000</v>
      </c>
      <c r="W70" s="179">
        <f t="shared" ref="W70:W86" si="100">S70*E70</f>
        <v>240000</v>
      </c>
      <c r="X70" s="179">
        <f t="shared" ref="X70:X86" si="101">T70*E70</f>
        <v>240000</v>
      </c>
      <c r="Y70" s="179">
        <f t="shared" ref="Y70:Y86" si="102">U70*E70</f>
        <v>240000</v>
      </c>
      <c r="Z70" s="47">
        <v>0</v>
      </c>
      <c r="AA70" s="179">
        <f t="shared" si="93"/>
        <v>0</v>
      </c>
      <c r="AB70" s="47">
        <v>0</v>
      </c>
      <c r="AC70" s="179">
        <f t="shared" si="2"/>
        <v>0</v>
      </c>
      <c r="AD70" s="47">
        <v>0</v>
      </c>
      <c r="AE70" s="179">
        <f t="shared" si="3"/>
        <v>0</v>
      </c>
      <c r="AF70" s="47">
        <v>0</v>
      </c>
      <c r="AG70" s="179">
        <f t="shared" si="4"/>
        <v>0</v>
      </c>
      <c r="AH70" s="47">
        <v>0</v>
      </c>
      <c r="AI70" s="179">
        <f t="shared" si="5"/>
        <v>0</v>
      </c>
      <c r="AJ70" s="47">
        <v>0</v>
      </c>
      <c r="AK70" s="179">
        <f t="shared" si="6"/>
        <v>0</v>
      </c>
      <c r="AL70" s="47">
        <v>0</v>
      </c>
      <c r="AM70" s="179">
        <f t="shared" si="7"/>
        <v>0</v>
      </c>
      <c r="AN70" s="47">
        <v>0</v>
      </c>
      <c r="AO70" s="179">
        <f t="shared" si="8"/>
        <v>0</v>
      </c>
      <c r="AP70" s="47">
        <v>0</v>
      </c>
      <c r="AQ70" s="179">
        <f t="shared" si="9"/>
        <v>0</v>
      </c>
      <c r="AR70" s="47">
        <v>0</v>
      </c>
      <c r="AS70" s="179">
        <f t="shared" si="10"/>
        <v>0</v>
      </c>
      <c r="AT70" s="47">
        <v>0</v>
      </c>
      <c r="AU70" s="179">
        <f t="shared" si="11"/>
        <v>0</v>
      </c>
      <c r="AV70" s="47">
        <v>0</v>
      </c>
      <c r="AW70" s="179">
        <f t="shared" si="12"/>
        <v>0</v>
      </c>
      <c r="AX70" s="47">
        <v>0</v>
      </c>
      <c r="AY70" s="179">
        <f t="shared" si="13"/>
        <v>0</v>
      </c>
      <c r="AZ70" s="47">
        <v>0</v>
      </c>
      <c r="BA70" s="179">
        <f t="shared" si="14"/>
        <v>0</v>
      </c>
      <c r="BB70" s="47">
        <v>0</v>
      </c>
      <c r="BC70" s="179">
        <f t="shared" si="15"/>
        <v>0</v>
      </c>
      <c r="BD70" s="47">
        <v>0</v>
      </c>
      <c r="BE70" s="179">
        <f t="shared" si="16"/>
        <v>0</v>
      </c>
      <c r="BF70" s="47">
        <v>0</v>
      </c>
      <c r="BG70" s="179">
        <f t="shared" si="17"/>
        <v>0</v>
      </c>
      <c r="BH70" s="47">
        <v>12</v>
      </c>
      <c r="BI70" s="179">
        <f t="shared" si="94"/>
        <v>960000</v>
      </c>
      <c r="BJ70" s="47">
        <f t="shared" si="95"/>
        <v>12</v>
      </c>
      <c r="BK70" s="117">
        <f t="shared" si="95"/>
        <v>960000</v>
      </c>
      <c r="BL70" s="335" t="s">
        <v>470</v>
      </c>
      <c r="BN70" s="113"/>
      <c r="BO70" s="113"/>
      <c r="BP70" s="113"/>
      <c r="BQ70" s="113"/>
      <c r="BR70" s="113">
        <f t="shared" ref="BR70:BR86" si="103">BN70+BO70+BP70+BQ70</f>
        <v>0</v>
      </c>
      <c r="BS70" s="113">
        <f t="shared" ref="BS70:BS86" si="104">G70</f>
        <v>960000</v>
      </c>
      <c r="BT70" s="113"/>
      <c r="BU70" s="124">
        <f t="shared" ref="BU70:BU86" si="105">BS70+BT70</f>
        <v>960000</v>
      </c>
      <c r="BV70" s="179">
        <f t="shared" si="0"/>
        <v>960000</v>
      </c>
    </row>
    <row r="71" spans="1:74" ht="31.5" x14ac:dyDescent="0.25">
      <c r="A71" s="1023"/>
      <c r="B71" s="38"/>
      <c r="C71" s="38" t="s">
        <v>294</v>
      </c>
      <c r="D71" s="38" t="s">
        <v>73</v>
      </c>
      <c r="E71" s="365">
        <f>0.5*100000</f>
        <v>50000</v>
      </c>
      <c r="F71" s="38">
        <f t="shared" si="96"/>
        <v>0</v>
      </c>
      <c r="G71" s="427">
        <f t="shared" si="84"/>
        <v>0</v>
      </c>
      <c r="H71" s="427">
        <f t="shared" si="97"/>
        <v>0</v>
      </c>
      <c r="I71" s="427">
        <f t="shared" si="98"/>
        <v>0</v>
      </c>
      <c r="J71" s="427">
        <f t="shared" si="85"/>
        <v>0</v>
      </c>
      <c r="K71" s="427">
        <f t="shared" si="86"/>
        <v>0</v>
      </c>
      <c r="L71" s="427">
        <f t="shared" si="87"/>
        <v>0</v>
      </c>
      <c r="M71" s="427">
        <f t="shared" si="88"/>
        <v>0</v>
      </c>
      <c r="N71" s="427">
        <f t="shared" si="89"/>
        <v>0</v>
      </c>
      <c r="O71" s="85">
        <f t="shared" si="90"/>
        <v>0</v>
      </c>
      <c r="P71" s="85">
        <f t="shared" si="91"/>
        <v>0</v>
      </c>
      <c r="Q71" s="85">
        <f t="shared" si="92"/>
        <v>0</v>
      </c>
      <c r="R71" s="47"/>
      <c r="S71" s="47"/>
      <c r="T71" s="47"/>
      <c r="U71" s="47"/>
      <c r="V71" s="179">
        <f t="shared" si="99"/>
        <v>0</v>
      </c>
      <c r="W71" s="179">
        <f t="shared" si="100"/>
        <v>0</v>
      </c>
      <c r="X71" s="179">
        <f t="shared" si="101"/>
        <v>0</v>
      </c>
      <c r="Y71" s="179">
        <f t="shared" si="102"/>
        <v>0</v>
      </c>
      <c r="Z71" s="47">
        <v>0</v>
      </c>
      <c r="AA71" s="179">
        <f t="shared" si="93"/>
        <v>0</v>
      </c>
      <c r="AB71" s="47">
        <v>0</v>
      </c>
      <c r="AC71" s="179">
        <f t="shared" si="2"/>
        <v>0</v>
      </c>
      <c r="AD71" s="47">
        <v>0</v>
      </c>
      <c r="AE71" s="179">
        <f t="shared" si="3"/>
        <v>0</v>
      </c>
      <c r="AF71" s="47">
        <v>0</v>
      </c>
      <c r="AG71" s="179">
        <f t="shared" si="4"/>
        <v>0</v>
      </c>
      <c r="AH71" s="47">
        <v>0</v>
      </c>
      <c r="AI71" s="179">
        <f t="shared" si="5"/>
        <v>0</v>
      </c>
      <c r="AJ71" s="47">
        <v>0</v>
      </c>
      <c r="AK71" s="179">
        <f t="shared" si="6"/>
        <v>0</v>
      </c>
      <c r="AL71" s="47">
        <v>0</v>
      </c>
      <c r="AM71" s="179">
        <f t="shared" si="7"/>
        <v>0</v>
      </c>
      <c r="AN71" s="47">
        <v>0</v>
      </c>
      <c r="AO71" s="179">
        <f t="shared" si="8"/>
        <v>0</v>
      </c>
      <c r="AP71" s="47">
        <v>0</v>
      </c>
      <c r="AQ71" s="179">
        <f t="shared" si="9"/>
        <v>0</v>
      </c>
      <c r="AR71" s="47">
        <v>0</v>
      </c>
      <c r="AS71" s="179">
        <f t="shared" si="10"/>
        <v>0</v>
      </c>
      <c r="AT71" s="47">
        <v>0</v>
      </c>
      <c r="AU71" s="179">
        <f t="shared" si="11"/>
        <v>0</v>
      </c>
      <c r="AV71" s="47">
        <v>0</v>
      </c>
      <c r="AW71" s="179">
        <f t="shared" si="12"/>
        <v>0</v>
      </c>
      <c r="AX71" s="47">
        <v>0</v>
      </c>
      <c r="AY71" s="179">
        <f t="shared" si="13"/>
        <v>0</v>
      </c>
      <c r="AZ71" s="47">
        <v>0</v>
      </c>
      <c r="BA71" s="179">
        <f t="shared" si="14"/>
        <v>0</v>
      </c>
      <c r="BB71" s="47">
        <v>0</v>
      </c>
      <c r="BC71" s="179">
        <f t="shared" si="15"/>
        <v>0</v>
      </c>
      <c r="BD71" s="47">
        <v>0</v>
      </c>
      <c r="BE71" s="179">
        <f t="shared" si="16"/>
        <v>0</v>
      </c>
      <c r="BF71" s="47">
        <v>0</v>
      </c>
      <c r="BG71" s="179">
        <f t="shared" si="17"/>
        <v>0</v>
      </c>
      <c r="BH71" s="47">
        <v>0</v>
      </c>
      <c r="BI71" s="179">
        <f t="shared" si="94"/>
        <v>0</v>
      </c>
      <c r="BJ71" s="47">
        <f t="shared" si="95"/>
        <v>0</v>
      </c>
      <c r="BK71" s="117">
        <f t="shared" si="95"/>
        <v>0</v>
      </c>
      <c r="BL71" s="335" t="s">
        <v>470</v>
      </c>
      <c r="BN71" s="113"/>
      <c r="BO71" s="113"/>
      <c r="BP71" s="113"/>
      <c r="BQ71" s="113"/>
      <c r="BR71" s="113">
        <f t="shared" si="103"/>
        <v>0</v>
      </c>
      <c r="BS71" s="113">
        <f t="shared" si="104"/>
        <v>0</v>
      </c>
      <c r="BT71" s="113"/>
      <c r="BU71" s="124">
        <f t="shared" si="105"/>
        <v>0</v>
      </c>
      <c r="BV71" s="179">
        <f t="shared" si="0"/>
        <v>0</v>
      </c>
    </row>
    <row r="72" spans="1:74" x14ac:dyDescent="0.25">
      <c r="A72" s="1023"/>
      <c r="B72" s="38"/>
      <c r="C72" s="38" t="s">
        <v>295</v>
      </c>
      <c r="D72" s="38" t="s">
        <v>73</v>
      </c>
      <c r="E72" s="365">
        <v>57500</v>
      </c>
      <c r="F72" s="38">
        <f t="shared" si="96"/>
        <v>12</v>
      </c>
      <c r="G72" s="427">
        <f t="shared" si="84"/>
        <v>690000</v>
      </c>
      <c r="H72" s="427">
        <f t="shared" si="97"/>
        <v>345000</v>
      </c>
      <c r="I72" s="427">
        <f t="shared" si="98"/>
        <v>345000</v>
      </c>
      <c r="J72" s="427">
        <f t="shared" si="85"/>
        <v>0</v>
      </c>
      <c r="K72" s="427">
        <f t="shared" si="86"/>
        <v>0</v>
      </c>
      <c r="L72" s="427">
        <f t="shared" si="87"/>
        <v>0</v>
      </c>
      <c r="M72" s="427">
        <f t="shared" si="88"/>
        <v>0</v>
      </c>
      <c r="N72" s="427">
        <f t="shared" si="89"/>
        <v>0</v>
      </c>
      <c r="O72" s="85">
        <f t="shared" si="90"/>
        <v>0</v>
      </c>
      <c r="P72" s="85">
        <f t="shared" si="91"/>
        <v>0</v>
      </c>
      <c r="Q72" s="85">
        <f t="shared" si="92"/>
        <v>0</v>
      </c>
      <c r="R72" s="47">
        <v>3</v>
      </c>
      <c r="S72" s="47">
        <v>3</v>
      </c>
      <c r="T72" s="47">
        <v>3</v>
      </c>
      <c r="U72" s="47">
        <v>3</v>
      </c>
      <c r="V72" s="179">
        <f t="shared" si="99"/>
        <v>172500</v>
      </c>
      <c r="W72" s="179">
        <f t="shared" si="100"/>
        <v>172500</v>
      </c>
      <c r="X72" s="179">
        <f t="shared" si="101"/>
        <v>172500</v>
      </c>
      <c r="Y72" s="179">
        <f t="shared" si="102"/>
        <v>172500</v>
      </c>
      <c r="Z72" s="47">
        <v>0</v>
      </c>
      <c r="AA72" s="179">
        <f t="shared" si="93"/>
        <v>0</v>
      </c>
      <c r="AB72" s="47">
        <v>0</v>
      </c>
      <c r="AC72" s="179">
        <f t="shared" si="2"/>
        <v>0</v>
      </c>
      <c r="AD72" s="47">
        <v>0</v>
      </c>
      <c r="AE72" s="179">
        <f t="shared" si="3"/>
        <v>0</v>
      </c>
      <c r="AF72" s="47">
        <v>0</v>
      </c>
      <c r="AG72" s="179">
        <f t="shared" si="4"/>
        <v>0</v>
      </c>
      <c r="AH72" s="47">
        <v>0</v>
      </c>
      <c r="AI72" s="179">
        <f t="shared" si="5"/>
        <v>0</v>
      </c>
      <c r="AJ72" s="47">
        <v>0</v>
      </c>
      <c r="AK72" s="179">
        <f t="shared" si="6"/>
        <v>0</v>
      </c>
      <c r="AL72" s="47">
        <v>0</v>
      </c>
      <c r="AM72" s="179">
        <f t="shared" si="7"/>
        <v>0</v>
      </c>
      <c r="AN72" s="47">
        <v>0</v>
      </c>
      <c r="AO72" s="179">
        <f t="shared" si="8"/>
        <v>0</v>
      </c>
      <c r="AP72" s="47">
        <v>0</v>
      </c>
      <c r="AQ72" s="179">
        <f t="shared" si="9"/>
        <v>0</v>
      </c>
      <c r="AR72" s="47">
        <v>0</v>
      </c>
      <c r="AS72" s="179">
        <f t="shared" si="10"/>
        <v>0</v>
      </c>
      <c r="AT72" s="47">
        <v>0</v>
      </c>
      <c r="AU72" s="179">
        <f t="shared" si="11"/>
        <v>0</v>
      </c>
      <c r="AV72" s="47">
        <v>0</v>
      </c>
      <c r="AW72" s="179">
        <f t="shared" si="12"/>
        <v>0</v>
      </c>
      <c r="AX72" s="47">
        <v>0</v>
      </c>
      <c r="AY72" s="179">
        <f t="shared" si="13"/>
        <v>0</v>
      </c>
      <c r="AZ72" s="47">
        <v>0</v>
      </c>
      <c r="BA72" s="179">
        <f t="shared" si="14"/>
        <v>0</v>
      </c>
      <c r="BB72" s="47">
        <v>0</v>
      </c>
      <c r="BC72" s="179">
        <f t="shared" si="15"/>
        <v>0</v>
      </c>
      <c r="BD72" s="47">
        <v>0</v>
      </c>
      <c r="BE72" s="179">
        <f t="shared" si="16"/>
        <v>0</v>
      </c>
      <c r="BF72" s="47">
        <v>0</v>
      </c>
      <c r="BG72" s="179">
        <f t="shared" si="17"/>
        <v>0</v>
      </c>
      <c r="BH72" s="47">
        <v>12</v>
      </c>
      <c r="BI72" s="179">
        <f t="shared" si="94"/>
        <v>690000</v>
      </c>
      <c r="BJ72" s="47">
        <f t="shared" si="95"/>
        <v>12</v>
      </c>
      <c r="BK72" s="117">
        <f t="shared" si="95"/>
        <v>690000</v>
      </c>
      <c r="BL72" s="335" t="s">
        <v>470</v>
      </c>
      <c r="BN72" s="113"/>
      <c r="BO72" s="113"/>
      <c r="BP72" s="113"/>
      <c r="BQ72" s="113"/>
      <c r="BR72" s="113">
        <f t="shared" si="103"/>
        <v>0</v>
      </c>
      <c r="BS72" s="113">
        <f t="shared" si="104"/>
        <v>690000</v>
      </c>
      <c r="BT72" s="113"/>
      <c r="BU72" s="124">
        <f t="shared" si="105"/>
        <v>690000</v>
      </c>
      <c r="BV72" s="179">
        <f t="shared" si="0"/>
        <v>690000</v>
      </c>
    </row>
    <row r="73" spans="1:74" x14ac:dyDescent="0.25">
      <c r="A73" s="1023"/>
      <c r="B73" s="38"/>
      <c r="C73" s="38" t="s">
        <v>296</v>
      </c>
      <c r="D73" s="38" t="s">
        <v>73</v>
      </c>
      <c r="E73" s="365">
        <v>57500</v>
      </c>
      <c r="F73" s="38">
        <f t="shared" si="96"/>
        <v>12</v>
      </c>
      <c r="G73" s="427">
        <f t="shared" si="84"/>
        <v>690000</v>
      </c>
      <c r="H73" s="427">
        <f t="shared" si="97"/>
        <v>345000</v>
      </c>
      <c r="I73" s="427">
        <f t="shared" si="98"/>
        <v>345000</v>
      </c>
      <c r="J73" s="427">
        <f t="shared" si="85"/>
        <v>0</v>
      </c>
      <c r="K73" s="427">
        <f t="shared" si="86"/>
        <v>0</v>
      </c>
      <c r="L73" s="427">
        <f t="shared" si="87"/>
        <v>0</v>
      </c>
      <c r="M73" s="427">
        <f t="shared" si="88"/>
        <v>0</v>
      </c>
      <c r="N73" s="427">
        <f t="shared" si="89"/>
        <v>0</v>
      </c>
      <c r="O73" s="85">
        <f t="shared" si="90"/>
        <v>0</v>
      </c>
      <c r="P73" s="85">
        <f t="shared" si="91"/>
        <v>0</v>
      </c>
      <c r="Q73" s="85">
        <f t="shared" si="92"/>
        <v>0</v>
      </c>
      <c r="R73" s="47">
        <v>3</v>
      </c>
      <c r="S73" s="47">
        <v>3</v>
      </c>
      <c r="T73" s="47">
        <v>3</v>
      </c>
      <c r="U73" s="47">
        <v>3</v>
      </c>
      <c r="V73" s="179">
        <f t="shared" si="99"/>
        <v>172500</v>
      </c>
      <c r="W73" s="179">
        <f t="shared" si="100"/>
        <v>172500</v>
      </c>
      <c r="X73" s="179">
        <f t="shared" si="101"/>
        <v>172500</v>
      </c>
      <c r="Y73" s="179">
        <f t="shared" si="102"/>
        <v>172500</v>
      </c>
      <c r="Z73" s="47">
        <v>0</v>
      </c>
      <c r="AA73" s="179">
        <f t="shared" si="93"/>
        <v>0</v>
      </c>
      <c r="AB73" s="47">
        <v>0</v>
      </c>
      <c r="AC73" s="179">
        <f t="shared" si="2"/>
        <v>0</v>
      </c>
      <c r="AD73" s="47">
        <v>0</v>
      </c>
      <c r="AE73" s="179">
        <f t="shared" si="3"/>
        <v>0</v>
      </c>
      <c r="AF73" s="47">
        <v>0</v>
      </c>
      <c r="AG73" s="179">
        <f t="shared" si="4"/>
        <v>0</v>
      </c>
      <c r="AH73" s="47">
        <v>0</v>
      </c>
      <c r="AI73" s="179">
        <f t="shared" si="5"/>
        <v>0</v>
      </c>
      <c r="AJ73" s="47">
        <v>0</v>
      </c>
      <c r="AK73" s="179">
        <f t="shared" si="6"/>
        <v>0</v>
      </c>
      <c r="AL73" s="47">
        <v>0</v>
      </c>
      <c r="AM73" s="179">
        <f t="shared" si="7"/>
        <v>0</v>
      </c>
      <c r="AN73" s="47">
        <v>0</v>
      </c>
      <c r="AO73" s="179">
        <f t="shared" si="8"/>
        <v>0</v>
      </c>
      <c r="AP73" s="47">
        <v>0</v>
      </c>
      <c r="AQ73" s="179">
        <f t="shared" si="9"/>
        <v>0</v>
      </c>
      <c r="AR73" s="47">
        <v>0</v>
      </c>
      <c r="AS73" s="179">
        <f t="shared" si="10"/>
        <v>0</v>
      </c>
      <c r="AT73" s="47">
        <v>0</v>
      </c>
      <c r="AU73" s="179">
        <f t="shared" si="11"/>
        <v>0</v>
      </c>
      <c r="AV73" s="47">
        <v>0</v>
      </c>
      <c r="AW73" s="179">
        <f t="shared" si="12"/>
        <v>0</v>
      </c>
      <c r="AX73" s="47">
        <v>0</v>
      </c>
      <c r="AY73" s="179">
        <f t="shared" si="13"/>
        <v>0</v>
      </c>
      <c r="AZ73" s="47">
        <v>0</v>
      </c>
      <c r="BA73" s="179">
        <f t="shared" si="14"/>
        <v>0</v>
      </c>
      <c r="BB73" s="47">
        <v>0</v>
      </c>
      <c r="BC73" s="179">
        <f t="shared" si="15"/>
        <v>0</v>
      </c>
      <c r="BD73" s="47">
        <v>0</v>
      </c>
      <c r="BE73" s="179">
        <f t="shared" si="16"/>
        <v>0</v>
      </c>
      <c r="BF73" s="47">
        <v>0</v>
      </c>
      <c r="BG73" s="179">
        <f t="shared" si="17"/>
        <v>0</v>
      </c>
      <c r="BH73" s="47">
        <v>12</v>
      </c>
      <c r="BI73" s="179">
        <f t="shared" si="94"/>
        <v>690000</v>
      </c>
      <c r="BJ73" s="47">
        <f t="shared" si="95"/>
        <v>12</v>
      </c>
      <c r="BK73" s="117">
        <f t="shared" si="95"/>
        <v>690000</v>
      </c>
      <c r="BL73" s="335" t="s">
        <v>470</v>
      </c>
      <c r="BN73" s="113"/>
      <c r="BO73" s="113"/>
      <c r="BP73" s="113"/>
      <c r="BQ73" s="113"/>
      <c r="BR73" s="113">
        <f t="shared" si="103"/>
        <v>0</v>
      </c>
      <c r="BS73" s="113">
        <f t="shared" si="104"/>
        <v>690000</v>
      </c>
      <c r="BT73" s="113"/>
      <c r="BU73" s="124">
        <f t="shared" si="105"/>
        <v>690000</v>
      </c>
      <c r="BV73" s="179">
        <f t="shared" si="0"/>
        <v>690000</v>
      </c>
    </row>
    <row r="74" spans="1:74" x14ac:dyDescent="0.25">
      <c r="A74" s="1023"/>
      <c r="B74" s="38"/>
      <c r="C74" s="38" t="s">
        <v>297</v>
      </c>
      <c r="D74" s="38" t="s">
        <v>73</v>
      </c>
      <c r="E74" s="365">
        <v>67000</v>
      </c>
      <c r="F74" s="38">
        <f t="shared" si="96"/>
        <v>12</v>
      </c>
      <c r="G74" s="427">
        <f t="shared" si="84"/>
        <v>804000</v>
      </c>
      <c r="H74" s="427">
        <f t="shared" si="97"/>
        <v>402000</v>
      </c>
      <c r="I74" s="427">
        <f t="shared" si="98"/>
        <v>402000</v>
      </c>
      <c r="J74" s="427">
        <f t="shared" si="85"/>
        <v>0</v>
      </c>
      <c r="K74" s="427">
        <f t="shared" si="86"/>
        <v>0</v>
      </c>
      <c r="L74" s="427">
        <f t="shared" si="87"/>
        <v>0</v>
      </c>
      <c r="M74" s="427">
        <f t="shared" si="88"/>
        <v>0</v>
      </c>
      <c r="N74" s="427">
        <f t="shared" si="89"/>
        <v>0</v>
      </c>
      <c r="O74" s="85">
        <f t="shared" si="90"/>
        <v>0</v>
      </c>
      <c r="P74" s="85">
        <f t="shared" si="91"/>
        <v>0</v>
      </c>
      <c r="Q74" s="85">
        <f t="shared" si="92"/>
        <v>0</v>
      </c>
      <c r="R74" s="47">
        <v>3</v>
      </c>
      <c r="S74" s="47">
        <v>3</v>
      </c>
      <c r="T74" s="47">
        <v>3</v>
      </c>
      <c r="U74" s="47">
        <v>3</v>
      </c>
      <c r="V74" s="179">
        <f t="shared" si="99"/>
        <v>201000</v>
      </c>
      <c r="W74" s="179">
        <f t="shared" si="100"/>
        <v>201000</v>
      </c>
      <c r="X74" s="179">
        <f t="shared" si="101"/>
        <v>201000</v>
      </c>
      <c r="Y74" s="179">
        <f t="shared" si="102"/>
        <v>201000</v>
      </c>
      <c r="Z74" s="47">
        <v>0</v>
      </c>
      <c r="AA74" s="179">
        <f t="shared" si="93"/>
        <v>0</v>
      </c>
      <c r="AB74" s="47">
        <v>0</v>
      </c>
      <c r="AC74" s="179">
        <f t="shared" si="2"/>
        <v>0</v>
      </c>
      <c r="AD74" s="47">
        <v>0</v>
      </c>
      <c r="AE74" s="179">
        <f t="shared" si="3"/>
        <v>0</v>
      </c>
      <c r="AF74" s="47">
        <v>0</v>
      </c>
      <c r="AG74" s="179">
        <f t="shared" si="4"/>
        <v>0</v>
      </c>
      <c r="AH74" s="47">
        <v>0</v>
      </c>
      <c r="AI74" s="179">
        <f t="shared" si="5"/>
        <v>0</v>
      </c>
      <c r="AJ74" s="47">
        <v>0</v>
      </c>
      <c r="AK74" s="179">
        <f t="shared" si="6"/>
        <v>0</v>
      </c>
      <c r="AL74" s="47">
        <v>0</v>
      </c>
      <c r="AM74" s="179">
        <f t="shared" si="7"/>
        <v>0</v>
      </c>
      <c r="AN74" s="47">
        <v>0</v>
      </c>
      <c r="AO74" s="179">
        <f t="shared" si="8"/>
        <v>0</v>
      </c>
      <c r="AP74" s="47">
        <v>0</v>
      </c>
      <c r="AQ74" s="179">
        <f t="shared" si="9"/>
        <v>0</v>
      </c>
      <c r="AR74" s="47">
        <v>0</v>
      </c>
      <c r="AS74" s="179">
        <f t="shared" si="10"/>
        <v>0</v>
      </c>
      <c r="AT74" s="47">
        <v>0</v>
      </c>
      <c r="AU74" s="179">
        <f t="shared" si="11"/>
        <v>0</v>
      </c>
      <c r="AV74" s="47">
        <v>0</v>
      </c>
      <c r="AW74" s="179">
        <f t="shared" si="12"/>
        <v>0</v>
      </c>
      <c r="AX74" s="47">
        <v>0</v>
      </c>
      <c r="AY74" s="179">
        <f t="shared" si="13"/>
        <v>0</v>
      </c>
      <c r="AZ74" s="47">
        <v>0</v>
      </c>
      <c r="BA74" s="179">
        <f t="shared" si="14"/>
        <v>0</v>
      </c>
      <c r="BB74" s="47">
        <v>0</v>
      </c>
      <c r="BC74" s="179">
        <f t="shared" si="15"/>
        <v>0</v>
      </c>
      <c r="BD74" s="47">
        <v>0</v>
      </c>
      <c r="BE74" s="179">
        <f t="shared" si="16"/>
        <v>0</v>
      </c>
      <c r="BF74" s="47">
        <v>0</v>
      </c>
      <c r="BG74" s="179">
        <f t="shared" si="17"/>
        <v>0</v>
      </c>
      <c r="BH74" s="47">
        <v>12</v>
      </c>
      <c r="BI74" s="179">
        <f t="shared" si="94"/>
        <v>804000</v>
      </c>
      <c r="BJ74" s="47">
        <f t="shared" si="95"/>
        <v>12</v>
      </c>
      <c r="BK74" s="117">
        <f t="shared" si="95"/>
        <v>804000</v>
      </c>
      <c r="BL74" s="335" t="s">
        <v>470</v>
      </c>
      <c r="BN74" s="113"/>
      <c r="BO74" s="113"/>
      <c r="BP74" s="113"/>
      <c r="BQ74" s="113"/>
      <c r="BR74" s="113">
        <f t="shared" si="103"/>
        <v>0</v>
      </c>
      <c r="BS74" s="113">
        <f t="shared" si="104"/>
        <v>804000</v>
      </c>
      <c r="BT74" s="113"/>
      <c r="BU74" s="124">
        <f t="shared" si="105"/>
        <v>804000</v>
      </c>
      <c r="BV74" s="179">
        <f t="shared" si="0"/>
        <v>804000</v>
      </c>
    </row>
    <row r="75" spans="1:74" x14ac:dyDescent="0.25">
      <c r="A75" s="1023"/>
      <c r="B75" s="38"/>
      <c r="C75" s="38" t="s">
        <v>298</v>
      </c>
      <c r="D75" s="38" t="s">
        <v>73</v>
      </c>
      <c r="E75" s="365">
        <v>57500</v>
      </c>
      <c r="F75" s="38">
        <f t="shared" si="96"/>
        <v>12</v>
      </c>
      <c r="G75" s="427">
        <f t="shared" si="84"/>
        <v>690000</v>
      </c>
      <c r="H75" s="427">
        <f t="shared" si="97"/>
        <v>345000</v>
      </c>
      <c r="I75" s="427">
        <f t="shared" si="98"/>
        <v>345000</v>
      </c>
      <c r="J75" s="427">
        <f t="shared" si="85"/>
        <v>0</v>
      </c>
      <c r="K75" s="427">
        <f t="shared" si="86"/>
        <v>0</v>
      </c>
      <c r="L75" s="427">
        <f t="shared" si="87"/>
        <v>0</v>
      </c>
      <c r="M75" s="427">
        <f t="shared" si="88"/>
        <v>0</v>
      </c>
      <c r="N75" s="427">
        <f t="shared" si="89"/>
        <v>0</v>
      </c>
      <c r="O75" s="85">
        <f t="shared" si="90"/>
        <v>0</v>
      </c>
      <c r="P75" s="85">
        <f t="shared" si="91"/>
        <v>0</v>
      </c>
      <c r="Q75" s="85">
        <f t="shared" si="92"/>
        <v>0</v>
      </c>
      <c r="R75" s="47">
        <v>3</v>
      </c>
      <c r="S75" s="47">
        <v>3</v>
      </c>
      <c r="T75" s="47">
        <v>3</v>
      </c>
      <c r="U75" s="47">
        <v>3</v>
      </c>
      <c r="V75" s="179">
        <f t="shared" si="99"/>
        <v>172500</v>
      </c>
      <c r="W75" s="179">
        <f t="shared" si="100"/>
        <v>172500</v>
      </c>
      <c r="X75" s="179">
        <f t="shared" si="101"/>
        <v>172500</v>
      </c>
      <c r="Y75" s="179">
        <f t="shared" si="102"/>
        <v>172500</v>
      </c>
      <c r="Z75" s="47">
        <v>0</v>
      </c>
      <c r="AA75" s="179">
        <f t="shared" si="93"/>
        <v>0</v>
      </c>
      <c r="AB75" s="47">
        <v>0</v>
      </c>
      <c r="AC75" s="179">
        <f t="shared" si="2"/>
        <v>0</v>
      </c>
      <c r="AD75" s="47">
        <v>0</v>
      </c>
      <c r="AE75" s="179">
        <f t="shared" si="3"/>
        <v>0</v>
      </c>
      <c r="AF75" s="47">
        <v>0</v>
      </c>
      <c r="AG75" s="179">
        <f t="shared" si="4"/>
        <v>0</v>
      </c>
      <c r="AH75" s="47">
        <v>0</v>
      </c>
      <c r="AI75" s="179">
        <f t="shared" si="5"/>
        <v>0</v>
      </c>
      <c r="AJ75" s="47">
        <v>0</v>
      </c>
      <c r="AK75" s="179">
        <f t="shared" si="6"/>
        <v>0</v>
      </c>
      <c r="AL75" s="47">
        <v>0</v>
      </c>
      <c r="AM75" s="179">
        <f t="shared" si="7"/>
        <v>0</v>
      </c>
      <c r="AN75" s="47">
        <v>0</v>
      </c>
      <c r="AO75" s="179">
        <f t="shared" si="8"/>
        <v>0</v>
      </c>
      <c r="AP75" s="47">
        <v>0</v>
      </c>
      <c r="AQ75" s="179">
        <f t="shared" si="9"/>
        <v>0</v>
      </c>
      <c r="AR75" s="47">
        <v>0</v>
      </c>
      <c r="AS75" s="179">
        <f t="shared" si="10"/>
        <v>0</v>
      </c>
      <c r="AT75" s="47">
        <v>0</v>
      </c>
      <c r="AU75" s="179">
        <f t="shared" si="11"/>
        <v>0</v>
      </c>
      <c r="AV75" s="47">
        <v>0</v>
      </c>
      <c r="AW75" s="179">
        <f t="shared" si="12"/>
        <v>0</v>
      </c>
      <c r="AX75" s="47">
        <v>0</v>
      </c>
      <c r="AY75" s="179">
        <f t="shared" si="13"/>
        <v>0</v>
      </c>
      <c r="AZ75" s="47">
        <v>0</v>
      </c>
      <c r="BA75" s="179">
        <f t="shared" si="14"/>
        <v>0</v>
      </c>
      <c r="BB75" s="47">
        <v>0</v>
      </c>
      <c r="BC75" s="179">
        <f t="shared" si="15"/>
        <v>0</v>
      </c>
      <c r="BD75" s="47">
        <v>0</v>
      </c>
      <c r="BE75" s="179">
        <f t="shared" si="16"/>
        <v>0</v>
      </c>
      <c r="BF75" s="47">
        <v>0</v>
      </c>
      <c r="BG75" s="179">
        <f t="shared" si="17"/>
        <v>0</v>
      </c>
      <c r="BH75" s="47">
        <v>12</v>
      </c>
      <c r="BI75" s="179">
        <f t="shared" si="94"/>
        <v>690000</v>
      </c>
      <c r="BJ75" s="47">
        <f t="shared" si="95"/>
        <v>12</v>
      </c>
      <c r="BK75" s="117">
        <f t="shared" si="95"/>
        <v>690000</v>
      </c>
      <c r="BL75" s="335" t="s">
        <v>470</v>
      </c>
      <c r="BN75" s="113"/>
      <c r="BO75" s="113"/>
      <c r="BP75" s="113"/>
      <c r="BQ75" s="113"/>
      <c r="BR75" s="113">
        <f t="shared" si="103"/>
        <v>0</v>
      </c>
      <c r="BS75" s="113">
        <f t="shared" si="104"/>
        <v>690000</v>
      </c>
      <c r="BT75" s="113"/>
      <c r="BU75" s="124">
        <f t="shared" si="105"/>
        <v>690000</v>
      </c>
      <c r="BV75" s="179">
        <f t="shared" si="0"/>
        <v>690000</v>
      </c>
    </row>
    <row r="76" spans="1:74" x14ac:dyDescent="0.25">
      <c r="A76" s="1023"/>
      <c r="B76" s="38"/>
      <c r="C76" s="38" t="s">
        <v>299</v>
      </c>
      <c r="D76" s="38" t="s">
        <v>73</v>
      </c>
      <c r="E76" s="365">
        <v>67000</v>
      </c>
      <c r="F76" s="38">
        <f t="shared" si="96"/>
        <v>12</v>
      </c>
      <c r="G76" s="427">
        <f t="shared" si="84"/>
        <v>804000</v>
      </c>
      <c r="H76" s="427">
        <f t="shared" si="97"/>
        <v>402000</v>
      </c>
      <c r="I76" s="427">
        <f t="shared" si="98"/>
        <v>402000</v>
      </c>
      <c r="J76" s="427">
        <f t="shared" si="85"/>
        <v>0</v>
      </c>
      <c r="K76" s="427">
        <f t="shared" si="86"/>
        <v>0</v>
      </c>
      <c r="L76" s="427">
        <f t="shared" si="87"/>
        <v>0</v>
      </c>
      <c r="M76" s="427">
        <f t="shared" si="88"/>
        <v>0</v>
      </c>
      <c r="N76" s="427">
        <f t="shared" si="89"/>
        <v>0</v>
      </c>
      <c r="O76" s="85">
        <f t="shared" si="90"/>
        <v>0</v>
      </c>
      <c r="P76" s="85">
        <f t="shared" si="91"/>
        <v>0</v>
      </c>
      <c r="Q76" s="85">
        <f t="shared" si="92"/>
        <v>0</v>
      </c>
      <c r="R76" s="47">
        <v>3</v>
      </c>
      <c r="S76" s="47">
        <v>3</v>
      </c>
      <c r="T76" s="47">
        <v>3</v>
      </c>
      <c r="U76" s="47">
        <v>3</v>
      </c>
      <c r="V76" s="179">
        <f t="shared" si="99"/>
        <v>201000</v>
      </c>
      <c r="W76" s="179">
        <f t="shared" si="100"/>
        <v>201000</v>
      </c>
      <c r="X76" s="179">
        <f t="shared" si="101"/>
        <v>201000</v>
      </c>
      <c r="Y76" s="179">
        <f t="shared" si="102"/>
        <v>201000</v>
      </c>
      <c r="Z76" s="47">
        <v>0</v>
      </c>
      <c r="AA76" s="179">
        <f t="shared" si="93"/>
        <v>0</v>
      </c>
      <c r="AB76" s="47">
        <v>0</v>
      </c>
      <c r="AC76" s="179">
        <f t="shared" si="2"/>
        <v>0</v>
      </c>
      <c r="AD76" s="47">
        <v>0</v>
      </c>
      <c r="AE76" s="179">
        <f t="shared" si="3"/>
        <v>0</v>
      </c>
      <c r="AF76" s="47">
        <v>0</v>
      </c>
      <c r="AG76" s="179">
        <f t="shared" si="4"/>
        <v>0</v>
      </c>
      <c r="AH76" s="47">
        <v>0</v>
      </c>
      <c r="AI76" s="179">
        <f t="shared" si="5"/>
        <v>0</v>
      </c>
      <c r="AJ76" s="47">
        <v>0</v>
      </c>
      <c r="AK76" s="179">
        <f t="shared" si="6"/>
        <v>0</v>
      </c>
      <c r="AL76" s="47">
        <v>0</v>
      </c>
      <c r="AM76" s="179">
        <f t="shared" si="7"/>
        <v>0</v>
      </c>
      <c r="AN76" s="47">
        <v>0</v>
      </c>
      <c r="AO76" s="179">
        <f t="shared" si="8"/>
        <v>0</v>
      </c>
      <c r="AP76" s="47">
        <v>0</v>
      </c>
      <c r="AQ76" s="179">
        <f t="shared" si="9"/>
        <v>0</v>
      </c>
      <c r="AR76" s="47">
        <v>0</v>
      </c>
      <c r="AS76" s="179">
        <f t="shared" si="10"/>
        <v>0</v>
      </c>
      <c r="AT76" s="47">
        <v>0</v>
      </c>
      <c r="AU76" s="179">
        <f t="shared" si="11"/>
        <v>0</v>
      </c>
      <c r="AV76" s="47">
        <v>0</v>
      </c>
      <c r="AW76" s="179">
        <f t="shared" si="12"/>
        <v>0</v>
      </c>
      <c r="AX76" s="47">
        <v>0</v>
      </c>
      <c r="AY76" s="179">
        <f t="shared" si="13"/>
        <v>0</v>
      </c>
      <c r="AZ76" s="47">
        <v>0</v>
      </c>
      <c r="BA76" s="179">
        <f t="shared" si="14"/>
        <v>0</v>
      </c>
      <c r="BB76" s="47">
        <v>0</v>
      </c>
      <c r="BC76" s="179">
        <f t="shared" si="15"/>
        <v>0</v>
      </c>
      <c r="BD76" s="47">
        <v>0</v>
      </c>
      <c r="BE76" s="179">
        <f t="shared" si="16"/>
        <v>0</v>
      </c>
      <c r="BF76" s="47">
        <v>0</v>
      </c>
      <c r="BG76" s="179">
        <f t="shared" si="17"/>
        <v>0</v>
      </c>
      <c r="BH76" s="47">
        <v>12</v>
      </c>
      <c r="BI76" s="179">
        <f t="shared" si="94"/>
        <v>804000</v>
      </c>
      <c r="BJ76" s="47">
        <f t="shared" si="95"/>
        <v>12</v>
      </c>
      <c r="BK76" s="117">
        <f t="shared" si="95"/>
        <v>804000</v>
      </c>
      <c r="BL76" s="335" t="s">
        <v>470</v>
      </c>
      <c r="BN76" s="113"/>
      <c r="BO76" s="113"/>
      <c r="BP76" s="113"/>
      <c r="BQ76" s="113"/>
      <c r="BR76" s="113">
        <f t="shared" si="103"/>
        <v>0</v>
      </c>
      <c r="BS76" s="113">
        <f t="shared" si="104"/>
        <v>804000</v>
      </c>
      <c r="BT76" s="113"/>
      <c r="BU76" s="124">
        <f t="shared" si="105"/>
        <v>804000</v>
      </c>
      <c r="BV76" s="179">
        <f t="shared" si="0"/>
        <v>804000</v>
      </c>
    </row>
    <row r="77" spans="1:74" s="163" customFormat="1" x14ac:dyDescent="0.25">
      <c r="A77" s="1023"/>
      <c r="B77" s="169"/>
      <c r="C77" s="169" t="s">
        <v>300</v>
      </c>
      <c r="D77" s="169" t="s">
        <v>73</v>
      </c>
      <c r="E77" s="365">
        <v>57500</v>
      </c>
      <c r="F77" s="38">
        <f t="shared" si="96"/>
        <v>12</v>
      </c>
      <c r="G77" s="431">
        <f t="shared" si="84"/>
        <v>690000</v>
      </c>
      <c r="H77" s="431">
        <f t="shared" si="97"/>
        <v>345000</v>
      </c>
      <c r="I77" s="431">
        <f t="shared" si="98"/>
        <v>345000</v>
      </c>
      <c r="J77" s="431">
        <f t="shared" si="85"/>
        <v>0</v>
      </c>
      <c r="K77" s="431">
        <f t="shared" si="86"/>
        <v>0</v>
      </c>
      <c r="L77" s="431">
        <f t="shared" si="87"/>
        <v>0</v>
      </c>
      <c r="M77" s="431">
        <f t="shared" si="88"/>
        <v>0</v>
      </c>
      <c r="N77" s="431">
        <f t="shared" si="89"/>
        <v>0</v>
      </c>
      <c r="O77" s="133">
        <f t="shared" si="90"/>
        <v>0</v>
      </c>
      <c r="P77" s="133">
        <f t="shared" si="91"/>
        <v>0</v>
      </c>
      <c r="Q77" s="133">
        <f t="shared" si="92"/>
        <v>0</v>
      </c>
      <c r="R77" s="47">
        <v>3</v>
      </c>
      <c r="S77" s="47">
        <v>3</v>
      </c>
      <c r="T77" s="47">
        <v>3</v>
      </c>
      <c r="U77" s="47">
        <v>3</v>
      </c>
      <c r="V77" s="179">
        <f t="shared" si="99"/>
        <v>172500</v>
      </c>
      <c r="W77" s="179">
        <f t="shared" si="100"/>
        <v>172500</v>
      </c>
      <c r="X77" s="179">
        <f t="shared" si="101"/>
        <v>172500</v>
      </c>
      <c r="Y77" s="179">
        <f t="shared" si="102"/>
        <v>172500</v>
      </c>
      <c r="Z77" s="135">
        <v>0</v>
      </c>
      <c r="AA77" s="179">
        <f t="shared" si="93"/>
        <v>0</v>
      </c>
      <c r="AB77" s="135">
        <v>0</v>
      </c>
      <c r="AC77" s="179">
        <f t="shared" si="2"/>
        <v>0</v>
      </c>
      <c r="AD77" s="135">
        <v>0</v>
      </c>
      <c r="AE77" s="179">
        <f t="shared" si="3"/>
        <v>0</v>
      </c>
      <c r="AF77" s="135">
        <v>0</v>
      </c>
      <c r="AG77" s="179">
        <f t="shared" si="4"/>
        <v>0</v>
      </c>
      <c r="AH77" s="135">
        <v>0</v>
      </c>
      <c r="AI77" s="179">
        <f t="shared" si="5"/>
        <v>0</v>
      </c>
      <c r="AJ77" s="135">
        <v>0</v>
      </c>
      <c r="AK77" s="179">
        <f t="shared" si="6"/>
        <v>0</v>
      </c>
      <c r="AL77" s="135">
        <v>0</v>
      </c>
      <c r="AM77" s="179">
        <f t="shared" si="7"/>
        <v>0</v>
      </c>
      <c r="AN77" s="135">
        <v>0</v>
      </c>
      <c r="AO77" s="179">
        <f t="shared" si="8"/>
        <v>0</v>
      </c>
      <c r="AP77" s="135">
        <v>0</v>
      </c>
      <c r="AQ77" s="179">
        <f t="shared" si="9"/>
        <v>0</v>
      </c>
      <c r="AR77" s="135">
        <v>0</v>
      </c>
      <c r="AS77" s="179">
        <f t="shared" si="10"/>
        <v>0</v>
      </c>
      <c r="AT77" s="135">
        <v>0</v>
      </c>
      <c r="AU77" s="179">
        <f t="shared" si="11"/>
        <v>0</v>
      </c>
      <c r="AV77" s="135">
        <v>0</v>
      </c>
      <c r="AW77" s="179">
        <f t="shared" si="12"/>
        <v>0</v>
      </c>
      <c r="AX77" s="135">
        <v>0</v>
      </c>
      <c r="AY77" s="179">
        <f t="shared" si="13"/>
        <v>0</v>
      </c>
      <c r="AZ77" s="135">
        <v>0</v>
      </c>
      <c r="BA77" s="179">
        <f t="shared" si="14"/>
        <v>0</v>
      </c>
      <c r="BB77" s="135">
        <v>0</v>
      </c>
      <c r="BC77" s="179">
        <f t="shared" si="15"/>
        <v>0</v>
      </c>
      <c r="BD77" s="135">
        <v>0</v>
      </c>
      <c r="BE77" s="179">
        <f t="shared" si="16"/>
        <v>0</v>
      </c>
      <c r="BF77" s="135">
        <v>0</v>
      </c>
      <c r="BG77" s="179">
        <f t="shared" si="17"/>
        <v>0</v>
      </c>
      <c r="BH77" s="135">
        <v>12</v>
      </c>
      <c r="BI77" s="179">
        <f t="shared" si="94"/>
        <v>690000</v>
      </c>
      <c r="BJ77" s="135">
        <f t="shared" si="95"/>
        <v>12</v>
      </c>
      <c r="BK77" s="322">
        <f t="shared" si="95"/>
        <v>690000</v>
      </c>
      <c r="BL77" s="336" t="s">
        <v>470</v>
      </c>
      <c r="BN77" s="176"/>
      <c r="BO77" s="176"/>
      <c r="BP77" s="176"/>
      <c r="BQ77" s="176"/>
      <c r="BR77" s="176">
        <f t="shared" si="103"/>
        <v>0</v>
      </c>
      <c r="BS77" s="176">
        <f t="shared" si="104"/>
        <v>690000</v>
      </c>
      <c r="BT77" s="176"/>
      <c r="BU77" s="164">
        <f t="shared" si="105"/>
        <v>690000</v>
      </c>
      <c r="BV77" s="189">
        <f t="shared" ref="BV77:BV117" si="106">BR77+BU77</f>
        <v>690000</v>
      </c>
    </row>
    <row r="78" spans="1:74" x14ac:dyDescent="0.25">
      <c r="A78" s="1023"/>
      <c r="B78" s="38"/>
      <c r="C78" s="38" t="s">
        <v>301</v>
      </c>
      <c r="D78" s="38" t="s">
        <v>73</v>
      </c>
      <c r="E78" s="365">
        <v>57500</v>
      </c>
      <c r="F78" s="38">
        <f t="shared" si="96"/>
        <v>12</v>
      </c>
      <c r="G78" s="427">
        <f t="shared" si="84"/>
        <v>690000</v>
      </c>
      <c r="H78" s="427">
        <f t="shared" si="97"/>
        <v>345000</v>
      </c>
      <c r="I78" s="427">
        <f t="shared" si="98"/>
        <v>345000</v>
      </c>
      <c r="J78" s="427">
        <f t="shared" si="85"/>
        <v>0</v>
      </c>
      <c r="K78" s="427">
        <f t="shared" si="86"/>
        <v>0</v>
      </c>
      <c r="L78" s="427">
        <f t="shared" si="87"/>
        <v>0</v>
      </c>
      <c r="M78" s="427">
        <f t="shared" si="88"/>
        <v>0</v>
      </c>
      <c r="N78" s="427">
        <f t="shared" si="89"/>
        <v>0</v>
      </c>
      <c r="O78" s="85">
        <f t="shared" si="90"/>
        <v>0</v>
      </c>
      <c r="P78" s="85">
        <f t="shared" si="91"/>
        <v>0</v>
      </c>
      <c r="Q78" s="85">
        <f t="shared" si="92"/>
        <v>0</v>
      </c>
      <c r="R78" s="47">
        <v>3</v>
      </c>
      <c r="S78" s="47">
        <v>3</v>
      </c>
      <c r="T78" s="47">
        <v>3</v>
      </c>
      <c r="U78" s="47">
        <v>3</v>
      </c>
      <c r="V78" s="179">
        <f t="shared" si="99"/>
        <v>172500</v>
      </c>
      <c r="W78" s="179">
        <f t="shared" si="100"/>
        <v>172500</v>
      </c>
      <c r="X78" s="179">
        <f t="shared" si="101"/>
        <v>172500</v>
      </c>
      <c r="Y78" s="179">
        <f t="shared" si="102"/>
        <v>172500</v>
      </c>
      <c r="Z78" s="47">
        <v>0</v>
      </c>
      <c r="AA78" s="179">
        <f t="shared" si="93"/>
        <v>0</v>
      </c>
      <c r="AB78" s="47">
        <v>0</v>
      </c>
      <c r="AC78" s="179">
        <f t="shared" ref="AC78:AC115" si="107">AB78*E78</f>
        <v>0</v>
      </c>
      <c r="AD78" s="47">
        <v>0</v>
      </c>
      <c r="AE78" s="179">
        <f t="shared" ref="AE78:AE115" si="108">AD78*E78</f>
        <v>0</v>
      </c>
      <c r="AF78" s="47">
        <v>0</v>
      </c>
      <c r="AG78" s="179">
        <f t="shared" ref="AG78:AG115" si="109">AF78*E78</f>
        <v>0</v>
      </c>
      <c r="AH78" s="47">
        <v>0</v>
      </c>
      <c r="AI78" s="179">
        <f t="shared" ref="AI78:AI115" si="110">AH78*E78</f>
        <v>0</v>
      </c>
      <c r="AJ78" s="47">
        <v>0</v>
      </c>
      <c r="AK78" s="179">
        <f t="shared" ref="AK78:AK115" si="111">AJ78*E78</f>
        <v>0</v>
      </c>
      <c r="AL78" s="47">
        <v>0</v>
      </c>
      <c r="AM78" s="179">
        <f t="shared" ref="AM78:AM115" si="112">AL78*E78</f>
        <v>0</v>
      </c>
      <c r="AN78" s="47">
        <v>0</v>
      </c>
      <c r="AO78" s="179">
        <f t="shared" ref="AO78:AO115" si="113">AN78*E78</f>
        <v>0</v>
      </c>
      <c r="AP78" s="47">
        <v>0</v>
      </c>
      <c r="AQ78" s="179">
        <f t="shared" ref="AQ78:AQ115" si="114">AP78*E78</f>
        <v>0</v>
      </c>
      <c r="AR78" s="47">
        <v>0</v>
      </c>
      <c r="AS78" s="179">
        <f t="shared" ref="AS78:AS115" si="115">AR78*E78</f>
        <v>0</v>
      </c>
      <c r="AT78" s="47">
        <v>0</v>
      </c>
      <c r="AU78" s="179">
        <f t="shared" ref="AU78:AU115" si="116">AT78*E78</f>
        <v>0</v>
      </c>
      <c r="AV78" s="47">
        <v>0</v>
      </c>
      <c r="AW78" s="179">
        <f t="shared" ref="AW78:AW115" si="117">AV78*E78</f>
        <v>0</v>
      </c>
      <c r="AX78" s="47">
        <v>0</v>
      </c>
      <c r="AY78" s="179">
        <f t="shared" ref="AY78:AY115" si="118">AX78*E78</f>
        <v>0</v>
      </c>
      <c r="AZ78" s="47">
        <v>0</v>
      </c>
      <c r="BA78" s="179">
        <f t="shared" ref="BA78:BA115" si="119">AZ78*E78</f>
        <v>0</v>
      </c>
      <c r="BB78" s="47">
        <v>0</v>
      </c>
      <c r="BC78" s="179">
        <f t="shared" ref="BC78:BC115" si="120">BB78*E78</f>
        <v>0</v>
      </c>
      <c r="BD78" s="47">
        <v>0</v>
      </c>
      <c r="BE78" s="179">
        <f t="shared" ref="BE78:BE115" si="121">BD78*E78</f>
        <v>0</v>
      </c>
      <c r="BF78" s="47">
        <v>0</v>
      </c>
      <c r="BG78" s="179">
        <f t="shared" ref="BG78:BG115" si="122">BF78*E78</f>
        <v>0</v>
      </c>
      <c r="BH78" s="47">
        <v>12</v>
      </c>
      <c r="BI78" s="179">
        <f t="shared" si="94"/>
        <v>690000</v>
      </c>
      <c r="BJ78" s="47">
        <f t="shared" si="95"/>
        <v>12</v>
      </c>
      <c r="BK78" s="117">
        <f t="shared" si="95"/>
        <v>690000</v>
      </c>
      <c r="BL78" s="335" t="s">
        <v>470</v>
      </c>
      <c r="BN78" s="113"/>
      <c r="BO78" s="113"/>
      <c r="BP78" s="113"/>
      <c r="BQ78" s="113"/>
      <c r="BR78" s="113">
        <f t="shared" si="103"/>
        <v>0</v>
      </c>
      <c r="BS78" s="113">
        <f t="shared" si="104"/>
        <v>690000</v>
      </c>
      <c r="BT78" s="113"/>
      <c r="BU78" s="124">
        <f t="shared" si="105"/>
        <v>690000</v>
      </c>
      <c r="BV78" s="179">
        <f t="shared" si="106"/>
        <v>690000</v>
      </c>
    </row>
    <row r="79" spans="1:74" x14ac:dyDescent="0.25">
      <c r="A79" s="1023"/>
      <c r="B79" s="38"/>
      <c r="C79" s="38" t="s">
        <v>302</v>
      </c>
      <c r="D79" s="38" t="s">
        <v>73</v>
      </c>
      <c r="E79" s="365">
        <v>57500</v>
      </c>
      <c r="F79" s="38">
        <f t="shared" si="96"/>
        <v>12</v>
      </c>
      <c r="G79" s="427">
        <f t="shared" si="84"/>
        <v>690000</v>
      </c>
      <c r="H79" s="427">
        <f t="shared" si="97"/>
        <v>345000</v>
      </c>
      <c r="I79" s="427">
        <f t="shared" si="98"/>
        <v>345000</v>
      </c>
      <c r="J79" s="427">
        <f t="shared" si="85"/>
        <v>0</v>
      </c>
      <c r="K79" s="427">
        <f t="shared" si="86"/>
        <v>0</v>
      </c>
      <c r="L79" s="427">
        <f t="shared" si="87"/>
        <v>0</v>
      </c>
      <c r="M79" s="427">
        <f t="shared" si="88"/>
        <v>0</v>
      </c>
      <c r="N79" s="427">
        <f t="shared" si="89"/>
        <v>0</v>
      </c>
      <c r="O79" s="85">
        <f t="shared" si="90"/>
        <v>0</v>
      </c>
      <c r="P79" s="85">
        <f t="shared" si="91"/>
        <v>0</v>
      </c>
      <c r="Q79" s="85">
        <f t="shared" si="92"/>
        <v>0</v>
      </c>
      <c r="R79" s="47">
        <v>3</v>
      </c>
      <c r="S79" s="47">
        <v>3</v>
      </c>
      <c r="T79" s="47">
        <v>3</v>
      </c>
      <c r="U79" s="47">
        <v>3</v>
      </c>
      <c r="V79" s="179">
        <f t="shared" si="99"/>
        <v>172500</v>
      </c>
      <c r="W79" s="179">
        <f t="shared" si="100"/>
        <v>172500</v>
      </c>
      <c r="X79" s="179">
        <f t="shared" si="101"/>
        <v>172500</v>
      </c>
      <c r="Y79" s="179">
        <f t="shared" si="102"/>
        <v>172500</v>
      </c>
      <c r="Z79" s="47">
        <v>0</v>
      </c>
      <c r="AA79" s="179">
        <f t="shared" si="93"/>
        <v>0</v>
      </c>
      <c r="AB79" s="47">
        <v>0</v>
      </c>
      <c r="AC79" s="179">
        <f t="shared" si="107"/>
        <v>0</v>
      </c>
      <c r="AD79" s="47">
        <v>0</v>
      </c>
      <c r="AE79" s="179">
        <f t="shared" si="108"/>
        <v>0</v>
      </c>
      <c r="AF79" s="47">
        <v>0</v>
      </c>
      <c r="AG79" s="179">
        <f t="shared" si="109"/>
        <v>0</v>
      </c>
      <c r="AH79" s="47">
        <v>0</v>
      </c>
      <c r="AI79" s="179">
        <f t="shared" si="110"/>
        <v>0</v>
      </c>
      <c r="AJ79" s="47">
        <v>0</v>
      </c>
      <c r="AK79" s="179">
        <f t="shared" si="111"/>
        <v>0</v>
      </c>
      <c r="AL79" s="47">
        <v>0</v>
      </c>
      <c r="AM79" s="179">
        <f t="shared" si="112"/>
        <v>0</v>
      </c>
      <c r="AN79" s="47">
        <v>0</v>
      </c>
      <c r="AO79" s="179">
        <f t="shared" si="113"/>
        <v>0</v>
      </c>
      <c r="AP79" s="47">
        <v>0</v>
      </c>
      <c r="AQ79" s="179">
        <f t="shared" si="114"/>
        <v>0</v>
      </c>
      <c r="AR79" s="47">
        <v>0</v>
      </c>
      <c r="AS79" s="179">
        <f t="shared" si="115"/>
        <v>0</v>
      </c>
      <c r="AT79" s="47">
        <v>0</v>
      </c>
      <c r="AU79" s="179">
        <f t="shared" si="116"/>
        <v>0</v>
      </c>
      <c r="AV79" s="47">
        <v>0</v>
      </c>
      <c r="AW79" s="179">
        <f t="shared" si="117"/>
        <v>0</v>
      </c>
      <c r="AX79" s="47">
        <v>0</v>
      </c>
      <c r="AY79" s="179">
        <f t="shared" si="118"/>
        <v>0</v>
      </c>
      <c r="AZ79" s="47">
        <v>0</v>
      </c>
      <c r="BA79" s="179">
        <f t="shared" si="119"/>
        <v>0</v>
      </c>
      <c r="BB79" s="47">
        <v>0</v>
      </c>
      <c r="BC79" s="179">
        <f t="shared" si="120"/>
        <v>0</v>
      </c>
      <c r="BD79" s="47">
        <v>0</v>
      </c>
      <c r="BE79" s="179">
        <f t="shared" si="121"/>
        <v>0</v>
      </c>
      <c r="BF79" s="47">
        <v>0</v>
      </c>
      <c r="BG79" s="179">
        <f t="shared" si="122"/>
        <v>0</v>
      </c>
      <c r="BH79" s="47">
        <v>12</v>
      </c>
      <c r="BI79" s="179">
        <f t="shared" si="94"/>
        <v>690000</v>
      </c>
      <c r="BJ79" s="47">
        <f t="shared" si="95"/>
        <v>12</v>
      </c>
      <c r="BK79" s="117">
        <f t="shared" si="95"/>
        <v>690000</v>
      </c>
      <c r="BL79" s="335" t="s">
        <v>470</v>
      </c>
      <c r="BN79" s="113"/>
      <c r="BO79" s="113"/>
      <c r="BP79" s="113"/>
      <c r="BQ79" s="113"/>
      <c r="BR79" s="113">
        <f t="shared" si="103"/>
        <v>0</v>
      </c>
      <c r="BS79" s="113">
        <f t="shared" si="104"/>
        <v>690000</v>
      </c>
      <c r="BT79" s="113"/>
      <c r="BU79" s="124">
        <f t="shared" si="105"/>
        <v>690000</v>
      </c>
      <c r="BV79" s="179">
        <f t="shared" si="106"/>
        <v>690000</v>
      </c>
    </row>
    <row r="80" spans="1:74" x14ac:dyDescent="0.25">
      <c r="A80" s="1023"/>
      <c r="B80" s="38"/>
      <c r="C80" s="38" t="s">
        <v>303</v>
      </c>
      <c r="D80" s="38" t="s">
        <v>73</v>
      </c>
      <c r="E80" s="365">
        <v>33000</v>
      </c>
      <c r="F80" s="38">
        <f t="shared" si="96"/>
        <v>12</v>
      </c>
      <c r="G80" s="427">
        <f t="shared" si="84"/>
        <v>396000</v>
      </c>
      <c r="H80" s="427">
        <f t="shared" si="97"/>
        <v>198000</v>
      </c>
      <c r="I80" s="427">
        <f t="shared" si="98"/>
        <v>198000</v>
      </c>
      <c r="J80" s="427">
        <f t="shared" si="85"/>
        <v>0</v>
      </c>
      <c r="K80" s="427">
        <f t="shared" si="86"/>
        <v>0</v>
      </c>
      <c r="L80" s="427">
        <f t="shared" si="87"/>
        <v>0</v>
      </c>
      <c r="M80" s="427">
        <f t="shared" si="88"/>
        <v>0</v>
      </c>
      <c r="N80" s="427">
        <f t="shared" si="89"/>
        <v>0</v>
      </c>
      <c r="O80" s="85">
        <f t="shared" si="90"/>
        <v>0</v>
      </c>
      <c r="P80" s="85">
        <f t="shared" si="91"/>
        <v>0</v>
      </c>
      <c r="Q80" s="85">
        <f t="shared" si="92"/>
        <v>0</v>
      </c>
      <c r="R80" s="47">
        <v>3</v>
      </c>
      <c r="S80" s="47">
        <v>3</v>
      </c>
      <c r="T80" s="47">
        <v>3</v>
      </c>
      <c r="U80" s="47">
        <v>3</v>
      </c>
      <c r="V80" s="179">
        <f t="shared" si="99"/>
        <v>99000</v>
      </c>
      <c r="W80" s="179">
        <f t="shared" si="100"/>
        <v>99000</v>
      </c>
      <c r="X80" s="179">
        <f t="shared" si="101"/>
        <v>99000</v>
      </c>
      <c r="Y80" s="179">
        <f t="shared" si="102"/>
        <v>99000</v>
      </c>
      <c r="Z80" s="47">
        <v>0</v>
      </c>
      <c r="AA80" s="179">
        <f t="shared" si="93"/>
        <v>0</v>
      </c>
      <c r="AB80" s="47">
        <v>0</v>
      </c>
      <c r="AC80" s="179">
        <f t="shared" si="107"/>
        <v>0</v>
      </c>
      <c r="AD80" s="47">
        <v>0</v>
      </c>
      <c r="AE80" s="179">
        <f t="shared" si="108"/>
        <v>0</v>
      </c>
      <c r="AF80" s="47">
        <v>0</v>
      </c>
      <c r="AG80" s="179">
        <f t="shared" si="109"/>
        <v>0</v>
      </c>
      <c r="AH80" s="47">
        <v>0</v>
      </c>
      <c r="AI80" s="179">
        <f t="shared" si="110"/>
        <v>0</v>
      </c>
      <c r="AJ80" s="47">
        <v>0</v>
      </c>
      <c r="AK80" s="179">
        <f t="shared" si="111"/>
        <v>0</v>
      </c>
      <c r="AL80" s="47">
        <v>0</v>
      </c>
      <c r="AM80" s="179">
        <f t="shared" si="112"/>
        <v>0</v>
      </c>
      <c r="AN80" s="47">
        <v>0</v>
      </c>
      <c r="AO80" s="179">
        <f t="shared" si="113"/>
        <v>0</v>
      </c>
      <c r="AP80" s="47">
        <v>0</v>
      </c>
      <c r="AQ80" s="179">
        <f t="shared" si="114"/>
        <v>0</v>
      </c>
      <c r="AR80" s="47">
        <v>0</v>
      </c>
      <c r="AS80" s="179">
        <f t="shared" si="115"/>
        <v>0</v>
      </c>
      <c r="AT80" s="47">
        <v>0</v>
      </c>
      <c r="AU80" s="179">
        <f t="shared" si="116"/>
        <v>0</v>
      </c>
      <c r="AV80" s="47">
        <v>0</v>
      </c>
      <c r="AW80" s="179">
        <f t="shared" si="117"/>
        <v>0</v>
      </c>
      <c r="AX80" s="47">
        <v>0</v>
      </c>
      <c r="AY80" s="179">
        <f t="shared" si="118"/>
        <v>0</v>
      </c>
      <c r="AZ80" s="47">
        <v>0</v>
      </c>
      <c r="BA80" s="179">
        <f t="shared" si="119"/>
        <v>0</v>
      </c>
      <c r="BB80" s="47">
        <v>0</v>
      </c>
      <c r="BC80" s="179">
        <f t="shared" si="120"/>
        <v>0</v>
      </c>
      <c r="BD80" s="47">
        <v>0</v>
      </c>
      <c r="BE80" s="179">
        <f t="shared" si="121"/>
        <v>0</v>
      </c>
      <c r="BF80" s="47">
        <v>0</v>
      </c>
      <c r="BG80" s="179">
        <f t="shared" si="122"/>
        <v>0</v>
      </c>
      <c r="BH80" s="47">
        <v>12</v>
      </c>
      <c r="BI80" s="179">
        <f t="shared" si="94"/>
        <v>396000</v>
      </c>
      <c r="BJ80" s="47">
        <f t="shared" si="95"/>
        <v>12</v>
      </c>
      <c r="BK80" s="117">
        <f t="shared" si="95"/>
        <v>396000</v>
      </c>
      <c r="BL80" s="335" t="s">
        <v>470</v>
      </c>
      <c r="BN80" s="113"/>
      <c r="BO80" s="113"/>
      <c r="BP80" s="113"/>
      <c r="BQ80" s="113"/>
      <c r="BR80" s="113">
        <f t="shared" si="103"/>
        <v>0</v>
      </c>
      <c r="BS80" s="113">
        <f t="shared" si="104"/>
        <v>396000</v>
      </c>
      <c r="BT80" s="113"/>
      <c r="BU80" s="124">
        <f t="shared" si="105"/>
        <v>396000</v>
      </c>
      <c r="BV80" s="179">
        <f t="shared" si="106"/>
        <v>396000</v>
      </c>
    </row>
    <row r="81" spans="1:74" ht="35.25" customHeight="1" x14ac:dyDescent="0.25">
      <c r="A81" s="1023"/>
      <c r="B81" s="38"/>
      <c r="C81" s="38" t="s">
        <v>304</v>
      </c>
      <c r="D81" s="38" t="s">
        <v>73</v>
      </c>
      <c r="E81" s="365">
        <v>50000</v>
      </c>
      <c r="F81" s="38">
        <f t="shared" si="96"/>
        <v>0</v>
      </c>
      <c r="G81" s="427">
        <f t="shared" si="84"/>
        <v>0</v>
      </c>
      <c r="H81" s="427">
        <f t="shared" si="97"/>
        <v>0</v>
      </c>
      <c r="I81" s="427">
        <f t="shared" si="98"/>
        <v>0</v>
      </c>
      <c r="J81" s="427">
        <f t="shared" si="85"/>
        <v>0</v>
      </c>
      <c r="K81" s="427">
        <f t="shared" si="86"/>
        <v>0</v>
      </c>
      <c r="L81" s="427">
        <f t="shared" si="87"/>
        <v>0</v>
      </c>
      <c r="M81" s="427">
        <f t="shared" si="88"/>
        <v>0</v>
      </c>
      <c r="N81" s="427">
        <f t="shared" si="89"/>
        <v>0</v>
      </c>
      <c r="O81" s="85">
        <f t="shared" si="90"/>
        <v>0</v>
      </c>
      <c r="P81" s="85">
        <f t="shared" si="91"/>
        <v>0</v>
      </c>
      <c r="Q81" s="85">
        <f t="shared" si="92"/>
        <v>0</v>
      </c>
      <c r="R81" s="47"/>
      <c r="S81" s="47"/>
      <c r="T81" s="47"/>
      <c r="U81" s="47"/>
      <c r="V81" s="179">
        <f t="shared" si="99"/>
        <v>0</v>
      </c>
      <c r="W81" s="179">
        <f t="shared" si="100"/>
        <v>0</v>
      </c>
      <c r="X81" s="179">
        <f t="shared" si="101"/>
        <v>0</v>
      </c>
      <c r="Y81" s="179">
        <f t="shared" si="102"/>
        <v>0</v>
      </c>
      <c r="Z81" s="47">
        <v>0</v>
      </c>
      <c r="AA81" s="179">
        <f t="shared" si="93"/>
        <v>0</v>
      </c>
      <c r="AB81" s="47">
        <v>0</v>
      </c>
      <c r="AC81" s="179">
        <f t="shared" si="107"/>
        <v>0</v>
      </c>
      <c r="AD81" s="47">
        <v>0</v>
      </c>
      <c r="AE81" s="179">
        <f t="shared" si="108"/>
        <v>0</v>
      </c>
      <c r="AF81" s="47">
        <v>0</v>
      </c>
      <c r="AG81" s="179">
        <f t="shared" si="109"/>
        <v>0</v>
      </c>
      <c r="AH81" s="47">
        <v>0</v>
      </c>
      <c r="AI81" s="179">
        <f t="shared" si="110"/>
        <v>0</v>
      </c>
      <c r="AJ81" s="47">
        <v>0</v>
      </c>
      <c r="AK81" s="179">
        <f t="shared" si="111"/>
        <v>0</v>
      </c>
      <c r="AL81" s="47">
        <v>0</v>
      </c>
      <c r="AM81" s="179">
        <f t="shared" si="112"/>
        <v>0</v>
      </c>
      <c r="AN81" s="47">
        <v>0</v>
      </c>
      <c r="AO81" s="179">
        <f t="shared" si="113"/>
        <v>0</v>
      </c>
      <c r="AP81" s="47">
        <v>0</v>
      </c>
      <c r="AQ81" s="179">
        <f t="shared" si="114"/>
        <v>0</v>
      </c>
      <c r="AR81" s="47">
        <v>0</v>
      </c>
      <c r="AS81" s="179">
        <f t="shared" si="115"/>
        <v>0</v>
      </c>
      <c r="AT81" s="47">
        <v>0</v>
      </c>
      <c r="AU81" s="179">
        <f t="shared" si="116"/>
        <v>0</v>
      </c>
      <c r="AV81" s="47">
        <v>0</v>
      </c>
      <c r="AW81" s="179">
        <f t="shared" si="117"/>
        <v>0</v>
      </c>
      <c r="AX81" s="47">
        <v>0</v>
      </c>
      <c r="AY81" s="179">
        <f t="shared" si="118"/>
        <v>0</v>
      </c>
      <c r="AZ81" s="47">
        <v>0</v>
      </c>
      <c r="BA81" s="179">
        <f t="shared" si="119"/>
        <v>0</v>
      </c>
      <c r="BB81" s="47">
        <v>0</v>
      </c>
      <c r="BC81" s="179">
        <f t="shared" si="120"/>
        <v>0</v>
      </c>
      <c r="BD81" s="47">
        <v>0</v>
      </c>
      <c r="BE81" s="179">
        <f t="shared" si="121"/>
        <v>0</v>
      </c>
      <c r="BF81" s="47">
        <v>0</v>
      </c>
      <c r="BG81" s="179">
        <f t="shared" si="122"/>
        <v>0</v>
      </c>
      <c r="BH81" s="47">
        <v>0</v>
      </c>
      <c r="BI81" s="179">
        <f t="shared" si="94"/>
        <v>0</v>
      </c>
      <c r="BJ81" s="47">
        <f t="shared" si="95"/>
        <v>0</v>
      </c>
      <c r="BK81" s="117">
        <f t="shared" si="95"/>
        <v>0</v>
      </c>
      <c r="BL81" s="335" t="s">
        <v>470</v>
      </c>
      <c r="BN81" s="113"/>
      <c r="BO81" s="113"/>
      <c r="BP81" s="113"/>
      <c r="BQ81" s="113"/>
      <c r="BR81" s="113">
        <f t="shared" si="103"/>
        <v>0</v>
      </c>
      <c r="BS81" s="113">
        <f t="shared" si="104"/>
        <v>0</v>
      </c>
      <c r="BT81" s="113"/>
      <c r="BU81" s="124">
        <f t="shared" si="105"/>
        <v>0</v>
      </c>
      <c r="BV81" s="179">
        <f t="shared" si="106"/>
        <v>0</v>
      </c>
    </row>
    <row r="82" spans="1:74" x14ac:dyDescent="0.25">
      <c r="A82" s="1023"/>
      <c r="B82" s="38"/>
      <c r="C82" s="38" t="s">
        <v>305</v>
      </c>
      <c r="D82" s="38" t="s">
        <v>73</v>
      </c>
      <c r="E82" s="365">
        <v>29000</v>
      </c>
      <c r="F82" s="38">
        <f t="shared" si="96"/>
        <v>24</v>
      </c>
      <c r="G82" s="427">
        <f t="shared" si="84"/>
        <v>696000</v>
      </c>
      <c r="H82" s="427">
        <f t="shared" si="97"/>
        <v>348000</v>
      </c>
      <c r="I82" s="427">
        <f t="shared" si="98"/>
        <v>348000</v>
      </c>
      <c r="J82" s="427">
        <f t="shared" si="85"/>
        <v>0</v>
      </c>
      <c r="K82" s="427">
        <f t="shared" si="86"/>
        <v>0</v>
      </c>
      <c r="L82" s="427">
        <f t="shared" si="87"/>
        <v>0</v>
      </c>
      <c r="M82" s="427">
        <f t="shared" si="88"/>
        <v>0</v>
      </c>
      <c r="N82" s="427">
        <f t="shared" si="89"/>
        <v>0</v>
      </c>
      <c r="O82" s="85">
        <f t="shared" si="90"/>
        <v>0</v>
      </c>
      <c r="P82" s="85">
        <f t="shared" si="91"/>
        <v>0</v>
      </c>
      <c r="Q82" s="85">
        <f t="shared" si="92"/>
        <v>0</v>
      </c>
      <c r="R82" s="47">
        <v>6</v>
      </c>
      <c r="S82" s="47">
        <v>6</v>
      </c>
      <c r="T82" s="47">
        <v>6</v>
      </c>
      <c r="U82" s="47">
        <v>6</v>
      </c>
      <c r="V82" s="179">
        <f t="shared" si="99"/>
        <v>174000</v>
      </c>
      <c r="W82" s="179">
        <f t="shared" si="100"/>
        <v>174000</v>
      </c>
      <c r="X82" s="179">
        <f t="shared" si="101"/>
        <v>174000</v>
      </c>
      <c r="Y82" s="179">
        <f t="shared" si="102"/>
        <v>174000</v>
      </c>
      <c r="Z82" s="47">
        <v>0</v>
      </c>
      <c r="AA82" s="179">
        <f t="shared" si="93"/>
        <v>0</v>
      </c>
      <c r="AB82" s="47">
        <v>0</v>
      </c>
      <c r="AC82" s="179">
        <f t="shared" si="107"/>
        <v>0</v>
      </c>
      <c r="AD82" s="47">
        <v>0</v>
      </c>
      <c r="AE82" s="179">
        <f t="shared" si="108"/>
        <v>0</v>
      </c>
      <c r="AF82" s="47">
        <v>0</v>
      </c>
      <c r="AG82" s="179">
        <f t="shared" si="109"/>
        <v>0</v>
      </c>
      <c r="AH82" s="47">
        <v>0</v>
      </c>
      <c r="AI82" s="179">
        <f t="shared" si="110"/>
        <v>0</v>
      </c>
      <c r="AJ82" s="47">
        <v>0</v>
      </c>
      <c r="AK82" s="179">
        <f t="shared" si="111"/>
        <v>0</v>
      </c>
      <c r="AL82" s="47">
        <v>0</v>
      </c>
      <c r="AM82" s="179">
        <f t="shared" si="112"/>
        <v>0</v>
      </c>
      <c r="AN82" s="47">
        <v>0</v>
      </c>
      <c r="AO82" s="179">
        <f t="shared" si="113"/>
        <v>0</v>
      </c>
      <c r="AP82" s="47">
        <v>0</v>
      </c>
      <c r="AQ82" s="179">
        <f t="shared" si="114"/>
        <v>0</v>
      </c>
      <c r="AR82" s="47">
        <v>0</v>
      </c>
      <c r="AS82" s="179">
        <f t="shared" si="115"/>
        <v>0</v>
      </c>
      <c r="AT82" s="47">
        <v>0</v>
      </c>
      <c r="AU82" s="179">
        <f t="shared" si="116"/>
        <v>0</v>
      </c>
      <c r="AV82" s="47">
        <v>0</v>
      </c>
      <c r="AW82" s="179">
        <f t="shared" si="117"/>
        <v>0</v>
      </c>
      <c r="AX82" s="47">
        <v>0</v>
      </c>
      <c r="AY82" s="179">
        <f t="shared" si="118"/>
        <v>0</v>
      </c>
      <c r="AZ82" s="47">
        <v>0</v>
      </c>
      <c r="BA82" s="179">
        <f t="shared" si="119"/>
        <v>0</v>
      </c>
      <c r="BB82" s="47">
        <v>0</v>
      </c>
      <c r="BC82" s="179">
        <f t="shared" si="120"/>
        <v>0</v>
      </c>
      <c r="BD82" s="47">
        <v>0</v>
      </c>
      <c r="BE82" s="179">
        <f t="shared" si="121"/>
        <v>0</v>
      </c>
      <c r="BF82" s="47">
        <v>0</v>
      </c>
      <c r="BG82" s="179">
        <f t="shared" si="122"/>
        <v>0</v>
      </c>
      <c r="BH82" s="47">
        <v>24</v>
      </c>
      <c r="BI82" s="179">
        <f t="shared" si="94"/>
        <v>696000</v>
      </c>
      <c r="BJ82" s="47">
        <f t="shared" si="95"/>
        <v>24</v>
      </c>
      <c r="BK82" s="117">
        <f t="shared" si="95"/>
        <v>696000</v>
      </c>
      <c r="BL82" s="335" t="s">
        <v>470</v>
      </c>
      <c r="BN82" s="113"/>
      <c r="BO82" s="113"/>
      <c r="BP82" s="113"/>
      <c r="BQ82" s="113"/>
      <c r="BR82" s="113">
        <f t="shared" si="103"/>
        <v>0</v>
      </c>
      <c r="BS82" s="113">
        <f t="shared" si="104"/>
        <v>696000</v>
      </c>
      <c r="BT82" s="113"/>
      <c r="BU82" s="124">
        <f t="shared" si="105"/>
        <v>696000</v>
      </c>
      <c r="BV82" s="179">
        <f t="shared" si="106"/>
        <v>696000</v>
      </c>
    </row>
    <row r="83" spans="1:74" x14ac:dyDescent="0.25">
      <c r="A83" s="1023"/>
      <c r="B83" s="38"/>
      <c r="C83" s="38" t="s">
        <v>306</v>
      </c>
      <c r="D83" s="38" t="s">
        <v>73</v>
      </c>
      <c r="E83" s="365">
        <v>10000</v>
      </c>
      <c r="F83" s="38">
        <f t="shared" si="96"/>
        <v>12</v>
      </c>
      <c r="G83" s="427">
        <f t="shared" si="84"/>
        <v>120000</v>
      </c>
      <c r="H83" s="427">
        <f t="shared" si="97"/>
        <v>60000</v>
      </c>
      <c r="I83" s="427">
        <f t="shared" si="98"/>
        <v>60000</v>
      </c>
      <c r="J83" s="427">
        <f t="shared" si="85"/>
        <v>0</v>
      </c>
      <c r="K83" s="427">
        <f t="shared" si="86"/>
        <v>0</v>
      </c>
      <c r="L83" s="427">
        <f t="shared" si="87"/>
        <v>0</v>
      </c>
      <c r="M83" s="427">
        <f t="shared" si="88"/>
        <v>0</v>
      </c>
      <c r="N83" s="427">
        <f t="shared" si="89"/>
        <v>0</v>
      </c>
      <c r="O83" s="85">
        <f t="shared" si="90"/>
        <v>0</v>
      </c>
      <c r="P83" s="85">
        <f t="shared" si="91"/>
        <v>0</v>
      </c>
      <c r="Q83" s="85">
        <f t="shared" si="92"/>
        <v>0</v>
      </c>
      <c r="R83" s="47">
        <v>3</v>
      </c>
      <c r="S83" s="47">
        <v>3</v>
      </c>
      <c r="T83" s="47">
        <v>3</v>
      </c>
      <c r="U83" s="47">
        <v>3</v>
      </c>
      <c r="V83" s="179">
        <f t="shared" si="99"/>
        <v>30000</v>
      </c>
      <c r="W83" s="179">
        <f t="shared" si="100"/>
        <v>30000</v>
      </c>
      <c r="X83" s="179">
        <f t="shared" si="101"/>
        <v>30000</v>
      </c>
      <c r="Y83" s="179">
        <f t="shared" si="102"/>
        <v>30000</v>
      </c>
      <c r="Z83" s="47">
        <v>0</v>
      </c>
      <c r="AA83" s="179">
        <f t="shared" si="93"/>
        <v>0</v>
      </c>
      <c r="AB83" s="47">
        <v>0</v>
      </c>
      <c r="AC83" s="179">
        <f t="shared" si="107"/>
        <v>0</v>
      </c>
      <c r="AD83" s="47">
        <v>0</v>
      </c>
      <c r="AE83" s="179">
        <f t="shared" si="108"/>
        <v>0</v>
      </c>
      <c r="AF83" s="47">
        <v>0</v>
      </c>
      <c r="AG83" s="179">
        <f t="shared" si="109"/>
        <v>0</v>
      </c>
      <c r="AH83" s="47">
        <v>0</v>
      </c>
      <c r="AI83" s="179">
        <f t="shared" si="110"/>
        <v>0</v>
      </c>
      <c r="AJ83" s="47">
        <v>0</v>
      </c>
      <c r="AK83" s="179">
        <f t="shared" si="111"/>
        <v>0</v>
      </c>
      <c r="AL83" s="47">
        <v>0</v>
      </c>
      <c r="AM83" s="179">
        <f t="shared" si="112"/>
        <v>0</v>
      </c>
      <c r="AN83" s="47">
        <v>0</v>
      </c>
      <c r="AO83" s="179">
        <f t="shared" si="113"/>
        <v>0</v>
      </c>
      <c r="AP83" s="47">
        <v>0</v>
      </c>
      <c r="AQ83" s="179">
        <f t="shared" si="114"/>
        <v>0</v>
      </c>
      <c r="AR83" s="47">
        <v>0</v>
      </c>
      <c r="AS83" s="179">
        <f t="shared" si="115"/>
        <v>0</v>
      </c>
      <c r="AT83" s="47">
        <v>0</v>
      </c>
      <c r="AU83" s="179">
        <f t="shared" si="116"/>
        <v>0</v>
      </c>
      <c r="AV83" s="47">
        <v>0</v>
      </c>
      <c r="AW83" s="179">
        <f t="shared" si="117"/>
        <v>0</v>
      </c>
      <c r="AX83" s="47">
        <v>0</v>
      </c>
      <c r="AY83" s="179">
        <f t="shared" si="118"/>
        <v>0</v>
      </c>
      <c r="AZ83" s="47">
        <v>0</v>
      </c>
      <c r="BA83" s="179">
        <f t="shared" si="119"/>
        <v>0</v>
      </c>
      <c r="BB83" s="47">
        <v>0</v>
      </c>
      <c r="BC83" s="179">
        <f t="shared" si="120"/>
        <v>0</v>
      </c>
      <c r="BD83" s="47">
        <v>0</v>
      </c>
      <c r="BE83" s="179">
        <f t="shared" si="121"/>
        <v>0</v>
      </c>
      <c r="BF83" s="47">
        <v>0</v>
      </c>
      <c r="BG83" s="179">
        <f t="shared" si="122"/>
        <v>0</v>
      </c>
      <c r="BH83" s="47">
        <v>12</v>
      </c>
      <c r="BI83" s="179">
        <f t="shared" si="94"/>
        <v>120000</v>
      </c>
      <c r="BJ83" s="47">
        <f t="shared" si="95"/>
        <v>12</v>
      </c>
      <c r="BK83" s="117">
        <f t="shared" si="95"/>
        <v>120000</v>
      </c>
      <c r="BL83" s="335" t="s">
        <v>470</v>
      </c>
      <c r="BN83" s="113"/>
      <c r="BO83" s="113"/>
      <c r="BP83" s="113"/>
      <c r="BQ83" s="113"/>
      <c r="BR83" s="113">
        <f t="shared" si="103"/>
        <v>0</v>
      </c>
      <c r="BS83" s="113">
        <f t="shared" si="104"/>
        <v>120000</v>
      </c>
      <c r="BT83" s="113"/>
      <c r="BU83" s="124">
        <f t="shared" si="105"/>
        <v>120000</v>
      </c>
      <c r="BV83" s="179">
        <f t="shared" si="106"/>
        <v>120000</v>
      </c>
    </row>
    <row r="84" spans="1:74" x14ac:dyDescent="0.25">
      <c r="A84" s="1023"/>
      <c r="B84" s="38"/>
      <c r="C84" s="38" t="s">
        <v>307</v>
      </c>
      <c r="D84" s="38" t="s">
        <v>73</v>
      </c>
      <c r="E84" s="365">
        <v>18000</v>
      </c>
      <c r="F84" s="38">
        <f t="shared" si="96"/>
        <v>12</v>
      </c>
      <c r="G84" s="427">
        <f t="shared" si="84"/>
        <v>216000</v>
      </c>
      <c r="H84" s="427">
        <f t="shared" si="97"/>
        <v>108000</v>
      </c>
      <c r="I84" s="427">
        <f t="shared" si="98"/>
        <v>108000</v>
      </c>
      <c r="J84" s="427">
        <f t="shared" si="85"/>
        <v>0</v>
      </c>
      <c r="K84" s="427">
        <f t="shared" si="86"/>
        <v>0</v>
      </c>
      <c r="L84" s="427">
        <f t="shared" si="87"/>
        <v>0</v>
      </c>
      <c r="M84" s="427">
        <f t="shared" si="88"/>
        <v>0</v>
      </c>
      <c r="N84" s="427">
        <f t="shared" si="89"/>
        <v>0</v>
      </c>
      <c r="O84" s="85">
        <f t="shared" si="90"/>
        <v>0</v>
      </c>
      <c r="P84" s="85">
        <f t="shared" si="91"/>
        <v>0</v>
      </c>
      <c r="Q84" s="85">
        <f t="shared" si="92"/>
        <v>0</v>
      </c>
      <c r="R84" s="47">
        <v>3</v>
      </c>
      <c r="S84" s="47">
        <v>3</v>
      </c>
      <c r="T84" s="47">
        <v>3</v>
      </c>
      <c r="U84" s="47">
        <v>3</v>
      </c>
      <c r="V84" s="179">
        <f t="shared" si="99"/>
        <v>54000</v>
      </c>
      <c r="W84" s="179">
        <f t="shared" si="100"/>
        <v>54000</v>
      </c>
      <c r="X84" s="179">
        <f t="shared" si="101"/>
        <v>54000</v>
      </c>
      <c r="Y84" s="179">
        <f t="shared" si="102"/>
        <v>54000</v>
      </c>
      <c r="Z84" s="47">
        <v>0</v>
      </c>
      <c r="AA84" s="179">
        <f t="shared" si="93"/>
        <v>0</v>
      </c>
      <c r="AB84" s="47">
        <v>0</v>
      </c>
      <c r="AC84" s="179">
        <f t="shared" si="107"/>
        <v>0</v>
      </c>
      <c r="AD84" s="47">
        <v>0</v>
      </c>
      <c r="AE84" s="179">
        <f t="shared" si="108"/>
        <v>0</v>
      </c>
      <c r="AF84" s="47">
        <v>0</v>
      </c>
      <c r="AG84" s="179">
        <f t="shared" si="109"/>
        <v>0</v>
      </c>
      <c r="AH84" s="47">
        <v>0</v>
      </c>
      <c r="AI84" s="179">
        <f t="shared" si="110"/>
        <v>0</v>
      </c>
      <c r="AJ84" s="47">
        <v>0</v>
      </c>
      <c r="AK84" s="179">
        <f t="shared" si="111"/>
        <v>0</v>
      </c>
      <c r="AL84" s="47">
        <v>0</v>
      </c>
      <c r="AM84" s="179">
        <f t="shared" si="112"/>
        <v>0</v>
      </c>
      <c r="AN84" s="47">
        <v>0</v>
      </c>
      <c r="AO84" s="179">
        <f t="shared" si="113"/>
        <v>0</v>
      </c>
      <c r="AP84" s="47">
        <v>0</v>
      </c>
      <c r="AQ84" s="179">
        <f t="shared" si="114"/>
        <v>0</v>
      </c>
      <c r="AR84" s="47">
        <v>0</v>
      </c>
      <c r="AS84" s="179">
        <f t="shared" si="115"/>
        <v>0</v>
      </c>
      <c r="AT84" s="47">
        <v>0</v>
      </c>
      <c r="AU84" s="179">
        <f t="shared" si="116"/>
        <v>0</v>
      </c>
      <c r="AV84" s="47">
        <v>0</v>
      </c>
      <c r="AW84" s="179">
        <f t="shared" si="117"/>
        <v>0</v>
      </c>
      <c r="AX84" s="47">
        <v>0</v>
      </c>
      <c r="AY84" s="179">
        <f t="shared" si="118"/>
        <v>0</v>
      </c>
      <c r="AZ84" s="47">
        <v>0</v>
      </c>
      <c r="BA84" s="179">
        <f t="shared" si="119"/>
        <v>0</v>
      </c>
      <c r="BB84" s="47">
        <v>0</v>
      </c>
      <c r="BC84" s="179">
        <f t="shared" si="120"/>
        <v>0</v>
      </c>
      <c r="BD84" s="47">
        <v>0</v>
      </c>
      <c r="BE84" s="179">
        <f t="shared" si="121"/>
        <v>0</v>
      </c>
      <c r="BF84" s="47">
        <v>0</v>
      </c>
      <c r="BG84" s="179">
        <f t="shared" si="122"/>
        <v>0</v>
      </c>
      <c r="BH84" s="47">
        <v>12</v>
      </c>
      <c r="BI84" s="179">
        <f t="shared" si="94"/>
        <v>216000</v>
      </c>
      <c r="BJ84" s="47">
        <f t="shared" si="95"/>
        <v>12</v>
      </c>
      <c r="BK84" s="117">
        <f t="shared" si="95"/>
        <v>216000</v>
      </c>
      <c r="BL84" s="335" t="s">
        <v>470</v>
      </c>
      <c r="BN84" s="113"/>
      <c r="BO84" s="113"/>
      <c r="BP84" s="113"/>
      <c r="BQ84" s="113"/>
      <c r="BR84" s="113">
        <f t="shared" si="103"/>
        <v>0</v>
      </c>
      <c r="BS84" s="113">
        <f t="shared" si="104"/>
        <v>216000</v>
      </c>
      <c r="BT84" s="113"/>
      <c r="BU84" s="124">
        <f t="shared" si="105"/>
        <v>216000</v>
      </c>
      <c r="BV84" s="179">
        <f t="shared" si="106"/>
        <v>216000</v>
      </c>
    </row>
    <row r="85" spans="1:74" x14ac:dyDescent="0.25">
      <c r="A85" s="1023"/>
      <c r="B85" s="38"/>
      <c r="C85" s="38" t="s">
        <v>308</v>
      </c>
      <c r="D85" s="38" t="s">
        <v>73</v>
      </c>
      <c r="E85" s="365">
        <f>0.1*100000</f>
        <v>10000</v>
      </c>
      <c r="F85" s="38">
        <f t="shared" si="96"/>
        <v>24</v>
      </c>
      <c r="G85" s="427">
        <f t="shared" si="84"/>
        <v>240000</v>
      </c>
      <c r="H85" s="427">
        <f t="shared" si="97"/>
        <v>120000</v>
      </c>
      <c r="I85" s="427">
        <f t="shared" si="98"/>
        <v>120000</v>
      </c>
      <c r="J85" s="427">
        <f t="shared" si="85"/>
        <v>0</v>
      </c>
      <c r="K85" s="427">
        <f t="shared" si="86"/>
        <v>0</v>
      </c>
      <c r="L85" s="427">
        <f t="shared" si="87"/>
        <v>0</v>
      </c>
      <c r="M85" s="427">
        <f t="shared" si="88"/>
        <v>0</v>
      </c>
      <c r="N85" s="427">
        <f t="shared" si="89"/>
        <v>0</v>
      </c>
      <c r="O85" s="85">
        <f t="shared" si="90"/>
        <v>0</v>
      </c>
      <c r="P85" s="85">
        <f t="shared" si="91"/>
        <v>0</v>
      </c>
      <c r="Q85" s="85">
        <f t="shared" si="92"/>
        <v>0</v>
      </c>
      <c r="R85" s="47">
        <v>6</v>
      </c>
      <c r="S85" s="47">
        <v>6</v>
      </c>
      <c r="T85" s="47">
        <v>6</v>
      </c>
      <c r="U85" s="47">
        <v>6</v>
      </c>
      <c r="V85" s="179">
        <f t="shared" si="99"/>
        <v>60000</v>
      </c>
      <c r="W85" s="179">
        <f t="shared" si="100"/>
        <v>60000</v>
      </c>
      <c r="X85" s="179">
        <f t="shared" si="101"/>
        <v>60000</v>
      </c>
      <c r="Y85" s="179">
        <f t="shared" si="102"/>
        <v>60000</v>
      </c>
      <c r="Z85" s="47">
        <v>0</v>
      </c>
      <c r="AA85" s="179">
        <f t="shared" si="93"/>
        <v>0</v>
      </c>
      <c r="AB85" s="47">
        <v>0</v>
      </c>
      <c r="AC85" s="179">
        <f t="shared" si="107"/>
        <v>0</v>
      </c>
      <c r="AD85" s="47">
        <v>0</v>
      </c>
      <c r="AE85" s="179">
        <f t="shared" si="108"/>
        <v>0</v>
      </c>
      <c r="AF85" s="47">
        <v>0</v>
      </c>
      <c r="AG85" s="179">
        <f t="shared" si="109"/>
        <v>0</v>
      </c>
      <c r="AH85" s="47">
        <v>0</v>
      </c>
      <c r="AI85" s="179">
        <f t="shared" si="110"/>
        <v>0</v>
      </c>
      <c r="AJ85" s="47">
        <v>0</v>
      </c>
      <c r="AK85" s="179">
        <f t="shared" si="111"/>
        <v>0</v>
      </c>
      <c r="AL85" s="47">
        <v>0</v>
      </c>
      <c r="AM85" s="179">
        <f t="shared" si="112"/>
        <v>0</v>
      </c>
      <c r="AN85" s="47">
        <v>0</v>
      </c>
      <c r="AO85" s="179">
        <f t="shared" si="113"/>
        <v>0</v>
      </c>
      <c r="AP85" s="47">
        <v>0</v>
      </c>
      <c r="AQ85" s="179">
        <f t="shared" si="114"/>
        <v>0</v>
      </c>
      <c r="AR85" s="47">
        <v>0</v>
      </c>
      <c r="AS85" s="179">
        <f t="shared" si="115"/>
        <v>0</v>
      </c>
      <c r="AT85" s="47">
        <v>0</v>
      </c>
      <c r="AU85" s="179">
        <f t="shared" si="116"/>
        <v>0</v>
      </c>
      <c r="AV85" s="47">
        <v>0</v>
      </c>
      <c r="AW85" s="179">
        <f t="shared" si="117"/>
        <v>0</v>
      </c>
      <c r="AX85" s="47">
        <v>0</v>
      </c>
      <c r="AY85" s="179">
        <f t="shared" si="118"/>
        <v>0</v>
      </c>
      <c r="AZ85" s="47">
        <v>0</v>
      </c>
      <c r="BA85" s="179">
        <f t="shared" si="119"/>
        <v>0</v>
      </c>
      <c r="BB85" s="47">
        <v>0</v>
      </c>
      <c r="BC85" s="179">
        <f t="shared" si="120"/>
        <v>0</v>
      </c>
      <c r="BD85" s="47">
        <v>0</v>
      </c>
      <c r="BE85" s="179">
        <f t="shared" si="121"/>
        <v>0</v>
      </c>
      <c r="BF85" s="47">
        <v>0</v>
      </c>
      <c r="BG85" s="179">
        <f t="shared" si="122"/>
        <v>0</v>
      </c>
      <c r="BH85" s="47">
        <v>24</v>
      </c>
      <c r="BI85" s="179">
        <f t="shared" si="94"/>
        <v>240000</v>
      </c>
      <c r="BJ85" s="47">
        <f t="shared" si="95"/>
        <v>24</v>
      </c>
      <c r="BK85" s="117">
        <f t="shared" si="95"/>
        <v>240000</v>
      </c>
      <c r="BL85" s="335" t="s">
        <v>470</v>
      </c>
      <c r="BN85" s="113"/>
      <c r="BO85" s="113"/>
      <c r="BP85" s="113"/>
      <c r="BQ85" s="113"/>
      <c r="BR85" s="113">
        <f t="shared" si="103"/>
        <v>0</v>
      </c>
      <c r="BS85" s="113">
        <f t="shared" si="104"/>
        <v>240000</v>
      </c>
      <c r="BT85" s="113"/>
      <c r="BU85" s="124">
        <f t="shared" si="105"/>
        <v>240000</v>
      </c>
      <c r="BV85" s="179">
        <f t="shared" si="106"/>
        <v>240000</v>
      </c>
    </row>
    <row r="86" spans="1:74" ht="31.5" x14ac:dyDescent="0.25">
      <c r="A86" s="1023"/>
      <c r="B86" s="38"/>
      <c r="C86" s="38" t="s">
        <v>745</v>
      </c>
      <c r="D86" s="38" t="s">
        <v>73</v>
      </c>
      <c r="E86" s="365">
        <f>0.15*100000</f>
        <v>15000</v>
      </c>
      <c r="F86" s="38">
        <f t="shared" si="96"/>
        <v>24</v>
      </c>
      <c r="G86" s="427">
        <f t="shared" si="84"/>
        <v>360000</v>
      </c>
      <c r="H86" s="427">
        <f t="shared" si="97"/>
        <v>180000</v>
      </c>
      <c r="I86" s="427">
        <f t="shared" si="98"/>
        <v>180000</v>
      </c>
      <c r="J86" s="427">
        <f t="shared" si="85"/>
        <v>0</v>
      </c>
      <c r="K86" s="427">
        <f t="shared" si="86"/>
        <v>0</v>
      </c>
      <c r="L86" s="427">
        <f t="shared" si="87"/>
        <v>0</v>
      </c>
      <c r="M86" s="427">
        <f t="shared" si="88"/>
        <v>0</v>
      </c>
      <c r="N86" s="427">
        <f t="shared" si="89"/>
        <v>0</v>
      </c>
      <c r="O86" s="85">
        <f t="shared" si="90"/>
        <v>0</v>
      </c>
      <c r="P86" s="85">
        <f t="shared" si="91"/>
        <v>0</v>
      </c>
      <c r="Q86" s="85">
        <f t="shared" si="92"/>
        <v>0</v>
      </c>
      <c r="R86" s="47">
        <v>6</v>
      </c>
      <c r="S86" s="47">
        <v>6</v>
      </c>
      <c r="T86" s="47">
        <v>6</v>
      </c>
      <c r="U86" s="47">
        <v>6</v>
      </c>
      <c r="V86" s="179">
        <f t="shared" si="99"/>
        <v>90000</v>
      </c>
      <c r="W86" s="179">
        <f t="shared" si="100"/>
        <v>90000</v>
      </c>
      <c r="X86" s="179">
        <f t="shared" si="101"/>
        <v>90000</v>
      </c>
      <c r="Y86" s="179">
        <f t="shared" si="102"/>
        <v>90000</v>
      </c>
      <c r="Z86" s="47">
        <v>0</v>
      </c>
      <c r="AA86" s="179">
        <f t="shared" si="93"/>
        <v>0</v>
      </c>
      <c r="AB86" s="47">
        <v>0</v>
      </c>
      <c r="AC86" s="179">
        <f t="shared" si="107"/>
        <v>0</v>
      </c>
      <c r="AD86" s="47">
        <v>0</v>
      </c>
      <c r="AE86" s="179">
        <f t="shared" si="108"/>
        <v>0</v>
      </c>
      <c r="AF86" s="47">
        <v>0</v>
      </c>
      <c r="AG86" s="179">
        <f t="shared" si="109"/>
        <v>0</v>
      </c>
      <c r="AH86" s="47">
        <v>0</v>
      </c>
      <c r="AI86" s="179">
        <f t="shared" si="110"/>
        <v>0</v>
      </c>
      <c r="AJ86" s="47">
        <v>0</v>
      </c>
      <c r="AK86" s="179">
        <f t="shared" si="111"/>
        <v>0</v>
      </c>
      <c r="AL86" s="47">
        <v>0</v>
      </c>
      <c r="AM86" s="179">
        <f t="shared" si="112"/>
        <v>0</v>
      </c>
      <c r="AN86" s="47">
        <v>0</v>
      </c>
      <c r="AO86" s="179">
        <f t="shared" si="113"/>
        <v>0</v>
      </c>
      <c r="AP86" s="47">
        <v>0</v>
      </c>
      <c r="AQ86" s="179">
        <f t="shared" si="114"/>
        <v>0</v>
      </c>
      <c r="AR86" s="47">
        <v>0</v>
      </c>
      <c r="AS86" s="179">
        <f t="shared" si="115"/>
        <v>0</v>
      </c>
      <c r="AT86" s="47">
        <v>0</v>
      </c>
      <c r="AU86" s="179">
        <f t="shared" si="116"/>
        <v>0</v>
      </c>
      <c r="AV86" s="47">
        <v>0</v>
      </c>
      <c r="AW86" s="179">
        <f t="shared" si="117"/>
        <v>0</v>
      </c>
      <c r="AX86" s="47">
        <v>0</v>
      </c>
      <c r="AY86" s="179">
        <f t="shared" si="118"/>
        <v>0</v>
      </c>
      <c r="AZ86" s="47">
        <v>0</v>
      </c>
      <c r="BA86" s="179">
        <f t="shared" si="119"/>
        <v>0</v>
      </c>
      <c r="BB86" s="47">
        <v>0</v>
      </c>
      <c r="BC86" s="179">
        <f t="shared" si="120"/>
        <v>0</v>
      </c>
      <c r="BD86" s="47">
        <v>0</v>
      </c>
      <c r="BE86" s="179">
        <f t="shared" si="121"/>
        <v>0</v>
      </c>
      <c r="BF86" s="47">
        <v>0</v>
      </c>
      <c r="BG86" s="179">
        <f t="shared" si="122"/>
        <v>0</v>
      </c>
      <c r="BH86" s="47">
        <v>24</v>
      </c>
      <c r="BI86" s="179">
        <f t="shared" si="94"/>
        <v>360000</v>
      </c>
      <c r="BJ86" s="47">
        <f t="shared" si="95"/>
        <v>24</v>
      </c>
      <c r="BK86" s="117">
        <f t="shared" si="95"/>
        <v>360000</v>
      </c>
      <c r="BL86" s="335" t="s">
        <v>470</v>
      </c>
      <c r="BN86" s="113"/>
      <c r="BO86" s="113"/>
      <c r="BP86" s="113"/>
      <c r="BQ86" s="113"/>
      <c r="BR86" s="113">
        <f t="shared" si="103"/>
        <v>0</v>
      </c>
      <c r="BS86" s="113">
        <f t="shared" si="104"/>
        <v>360000</v>
      </c>
      <c r="BT86" s="113"/>
      <c r="BU86" s="124">
        <f t="shared" si="105"/>
        <v>360000</v>
      </c>
      <c r="BV86" s="179">
        <f t="shared" si="106"/>
        <v>360000</v>
      </c>
    </row>
    <row r="87" spans="1:74" x14ac:dyDescent="0.25">
      <c r="A87" s="1023"/>
      <c r="B87" s="428"/>
      <c r="C87" s="428" t="s">
        <v>309</v>
      </c>
      <c r="D87" s="428"/>
      <c r="E87" s="428"/>
      <c r="F87" s="428">
        <f>SUM(F69:F86)</f>
        <v>216</v>
      </c>
      <c r="G87" s="429">
        <f>SUM(G69:G86)</f>
        <v>8736000</v>
      </c>
      <c r="H87" s="429">
        <f t="shared" ref="H87:Q87" si="123">SUM(H69:H86)</f>
        <v>4368000</v>
      </c>
      <c r="I87" s="429">
        <f t="shared" si="123"/>
        <v>4368000</v>
      </c>
      <c r="J87" s="429">
        <f t="shared" si="123"/>
        <v>0</v>
      </c>
      <c r="K87" s="429">
        <f t="shared" si="123"/>
        <v>0</v>
      </c>
      <c r="L87" s="429">
        <f t="shared" si="123"/>
        <v>0</v>
      </c>
      <c r="M87" s="429">
        <f t="shared" si="123"/>
        <v>0</v>
      </c>
      <c r="N87" s="429">
        <f t="shared" si="123"/>
        <v>0</v>
      </c>
      <c r="O87" s="429">
        <f t="shared" si="123"/>
        <v>0</v>
      </c>
      <c r="P87" s="429">
        <f t="shared" si="123"/>
        <v>0</v>
      </c>
      <c r="Q87" s="429">
        <f t="shared" si="123"/>
        <v>0</v>
      </c>
      <c r="R87" s="428">
        <f>SUM(R69:R86)</f>
        <v>54</v>
      </c>
      <c r="S87" s="428">
        <f>SUM(S69:S86)</f>
        <v>54</v>
      </c>
      <c r="T87" s="428">
        <f>SUM(T69:T86)</f>
        <v>54</v>
      </c>
      <c r="U87" s="428">
        <f>SUM(U69:U86)</f>
        <v>54</v>
      </c>
      <c r="V87" s="429">
        <f>SUM(V69:V86)</f>
        <v>2184000</v>
      </c>
      <c r="W87" s="429">
        <f t="shared" ref="W87:BK87" si="124">SUM(W69:W86)</f>
        <v>2184000</v>
      </c>
      <c r="X87" s="429">
        <f t="shared" si="124"/>
        <v>2184000</v>
      </c>
      <c r="Y87" s="429">
        <f t="shared" si="124"/>
        <v>2184000</v>
      </c>
      <c r="Z87" s="428">
        <f t="shared" si="124"/>
        <v>0</v>
      </c>
      <c r="AA87" s="429">
        <f t="shared" si="124"/>
        <v>0</v>
      </c>
      <c r="AB87" s="428">
        <f t="shared" si="124"/>
        <v>0</v>
      </c>
      <c r="AC87" s="429">
        <f t="shared" si="124"/>
        <v>0</v>
      </c>
      <c r="AD87" s="428">
        <f t="shared" si="124"/>
        <v>0</v>
      </c>
      <c r="AE87" s="429">
        <f t="shared" si="124"/>
        <v>0</v>
      </c>
      <c r="AF87" s="428">
        <f t="shared" si="124"/>
        <v>0</v>
      </c>
      <c r="AG87" s="429">
        <f t="shared" si="124"/>
        <v>0</v>
      </c>
      <c r="AH87" s="428">
        <f t="shared" si="124"/>
        <v>0</v>
      </c>
      <c r="AI87" s="429">
        <f t="shared" si="124"/>
        <v>0</v>
      </c>
      <c r="AJ87" s="428">
        <f t="shared" si="124"/>
        <v>0</v>
      </c>
      <c r="AK87" s="429">
        <f t="shared" si="124"/>
        <v>0</v>
      </c>
      <c r="AL87" s="428">
        <f t="shared" si="124"/>
        <v>0</v>
      </c>
      <c r="AM87" s="429">
        <f t="shared" si="124"/>
        <v>0</v>
      </c>
      <c r="AN87" s="428">
        <f t="shared" si="124"/>
        <v>0</v>
      </c>
      <c r="AO87" s="429">
        <f t="shared" si="124"/>
        <v>0</v>
      </c>
      <c r="AP87" s="428">
        <f t="shared" si="124"/>
        <v>0</v>
      </c>
      <c r="AQ87" s="429">
        <f t="shared" si="124"/>
        <v>0</v>
      </c>
      <c r="AR87" s="428">
        <f t="shared" si="124"/>
        <v>0</v>
      </c>
      <c r="AS87" s="429">
        <f t="shared" si="124"/>
        <v>0</v>
      </c>
      <c r="AT87" s="428">
        <f t="shared" si="124"/>
        <v>0</v>
      </c>
      <c r="AU87" s="429">
        <f t="shared" si="124"/>
        <v>0</v>
      </c>
      <c r="AV87" s="428">
        <f t="shared" si="124"/>
        <v>0</v>
      </c>
      <c r="AW87" s="429">
        <f t="shared" si="124"/>
        <v>0</v>
      </c>
      <c r="AX87" s="428">
        <f t="shared" si="124"/>
        <v>0</v>
      </c>
      <c r="AY87" s="429">
        <f t="shared" si="124"/>
        <v>0</v>
      </c>
      <c r="AZ87" s="428">
        <f t="shared" si="124"/>
        <v>0</v>
      </c>
      <c r="BA87" s="429">
        <f t="shared" si="124"/>
        <v>0</v>
      </c>
      <c r="BB87" s="428">
        <f t="shared" si="124"/>
        <v>0</v>
      </c>
      <c r="BC87" s="429">
        <f t="shared" si="124"/>
        <v>0</v>
      </c>
      <c r="BD87" s="428">
        <f t="shared" si="124"/>
        <v>0</v>
      </c>
      <c r="BE87" s="429">
        <f t="shared" si="124"/>
        <v>0</v>
      </c>
      <c r="BF87" s="428">
        <f t="shared" si="124"/>
        <v>0</v>
      </c>
      <c r="BG87" s="429">
        <f t="shared" si="124"/>
        <v>0</v>
      </c>
      <c r="BH87" s="428">
        <f t="shared" si="124"/>
        <v>216</v>
      </c>
      <c r="BI87" s="429">
        <f t="shared" si="124"/>
        <v>8736000</v>
      </c>
      <c r="BJ87" s="428">
        <f t="shared" si="124"/>
        <v>216</v>
      </c>
      <c r="BK87" s="430">
        <f t="shared" si="124"/>
        <v>8736000</v>
      </c>
      <c r="BL87" s="335"/>
      <c r="BN87" s="430">
        <f t="shared" ref="BN87:BU87" si="125">SUM(BN69:BN86)</f>
        <v>0</v>
      </c>
      <c r="BO87" s="430">
        <f t="shared" si="125"/>
        <v>0</v>
      </c>
      <c r="BP87" s="430">
        <f t="shared" si="125"/>
        <v>0</v>
      </c>
      <c r="BQ87" s="430">
        <f t="shared" si="125"/>
        <v>0</v>
      </c>
      <c r="BR87" s="430">
        <f t="shared" si="125"/>
        <v>0</v>
      </c>
      <c r="BS87" s="430">
        <f t="shared" si="125"/>
        <v>8736000</v>
      </c>
      <c r="BT87" s="430">
        <f t="shared" si="125"/>
        <v>0</v>
      </c>
      <c r="BU87" s="430">
        <f t="shared" si="125"/>
        <v>8736000</v>
      </c>
      <c r="BV87" s="380">
        <f t="shared" si="106"/>
        <v>8736000</v>
      </c>
    </row>
    <row r="88" spans="1:74" ht="31.5" x14ac:dyDescent="0.25">
      <c r="A88" s="1023"/>
      <c r="B88" s="38">
        <v>41420</v>
      </c>
      <c r="C88" s="381" t="s">
        <v>310</v>
      </c>
      <c r="D88" s="38"/>
      <c r="E88" s="365"/>
      <c r="F88" s="38"/>
      <c r="G88" s="123"/>
      <c r="H88" s="123"/>
      <c r="I88" s="123"/>
      <c r="J88" s="123"/>
      <c r="K88" s="123"/>
      <c r="L88" s="123"/>
      <c r="M88" s="123"/>
      <c r="N88" s="123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179">
        <f t="shared" si="107"/>
        <v>0</v>
      </c>
      <c r="AD88" s="47"/>
      <c r="AE88" s="179">
        <f t="shared" si="108"/>
        <v>0</v>
      </c>
      <c r="AF88" s="47"/>
      <c r="AG88" s="179">
        <f t="shared" si="109"/>
        <v>0</v>
      </c>
      <c r="AH88" s="47"/>
      <c r="AI88" s="179">
        <f t="shared" si="110"/>
        <v>0</v>
      </c>
      <c r="AJ88" s="47"/>
      <c r="AK88" s="179">
        <f t="shared" si="111"/>
        <v>0</v>
      </c>
      <c r="AL88" s="47"/>
      <c r="AM88" s="179">
        <f t="shared" si="112"/>
        <v>0</v>
      </c>
      <c r="AN88" s="47"/>
      <c r="AO88" s="179">
        <f t="shared" si="113"/>
        <v>0</v>
      </c>
      <c r="AP88" s="47"/>
      <c r="AQ88" s="179">
        <f t="shared" si="114"/>
        <v>0</v>
      </c>
      <c r="AR88" s="47"/>
      <c r="AS88" s="179">
        <f t="shared" si="115"/>
        <v>0</v>
      </c>
      <c r="AT88" s="47"/>
      <c r="AU88" s="179">
        <f t="shared" si="116"/>
        <v>0</v>
      </c>
      <c r="AV88" s="47"/>
      <c r="AW88" s="179">
        <f t="shared" si="117"/>
        <v>0</v>
      </c>
      <c r="AX88" s="47"/>
      <c r="AY88" s="179">
        <f t="shared" si="118"/>
        <v>0</v>
      </c>
      <c r="AZ88" s="47"/>
      <c r="BA88" s="179">
        <f t="shared" si="119"/>
        <v>0</v>
      </c>
      <c r="BB88" s="47"/>
      <c r="BC88" s="179">
        <f t="shared" si="120"/>
        <v>0</v>
      </c>
      <c r="BD88" s="47"/>
      <c r="BE88" s="179">
        <f t="shared" si="121"/>
        <v>0</v>
      </c>
      <c r="BF88" s="47"/>
      <c r="BG88" s="179">
        <f t="shared" si="122"/>
        <v>0</v>
      </c>
      <c r="BH88" s="47"/>
      <c r="BI88" s="47"/>
      <c r="BJ88" s="47"/>
      <c r="BK88" s="123"/>
      <c r="BL88" s="335"/>
      <c r="BN88" s="113"/>
      <c r="BO88" s="113"/>
      <c r="BP88" s="113"/>
      <c r="BQ88" s="113"/>
      <c r="BR88" s="113"/>
      <c r="BS88" s="113"/>
      <c r="BT88" s="113"/>
      <c r="BU88" s="124"/>
      <c r="BV88" s="179">
        <f t="shared" si="106"/>
        <v>0</v>
      </c>
    </row>
    <row r="89" spans="1:74" ht="31.5" x14ac:dyDescent="0.25">
      <c r="A89" s="1023"/>
      <c r="B89" s="205">
        <v>41421</v>
      </c>
      <c r="C89" s="205" t="s">
        <v>741</v>
      </c>
      <c r="D89" s="205" t="s">
        <v>73</v>
      </c>
      <c r="E89" s="378">
        <f>2*100000</f>
        <v>200000</v>
      </c>
      <c r="F89" s="38">
        <f t="shared" ref="F89:F96" si="126">BJ89</f>
        <v>12</v>
      </c>
      <c r="G89" s="427">
        <f t="shared" ref="G89:G96" si="127">E89*F89</f>
        <v>2400000</v>
      </c>
      <c r="H89" s="427">
        <f t="shared" ref="H89:H96" si="128">G89*0.5</f>
        <v>1200000</v>
      </c>
      <c r="I89" s="427">
        <f t="shared" ref="I89:I96" si="129">G89*0.5</f>
        <v>1200000</v>
      </c>
      <c r="J89" s="427">
        <f t="shared" ref="J89:J96" si="130">G89*0</f>
        <v>0</v>
      </c>
      <c r="K89" s="427">
        <f t="shared" ref="K89:K96" si="131">G89*0</f>
        <v>0</v>
      </c>
      <c r="L89" s="427">
        <f t="shared" ref="L89:L96" si="132">G89*0</f>
        <v>0</v>
      </c>
      <c r="M89" s="427">
        <f t="shared" ref="M89:M96" si="133">G89*0</f>
        <v>0</v>
      </c>
      <c r="N89" s="427">
        <f t="shared" ref="N89:N96" si="134">G89*0</f>
        <v>0</v>
      </c>
      <c r="O89" s="85">
        <f t="shared" ref="O89:O96" si="135">G89*0</f>
        <v>0</v>
      </c>
      <c r="P89" s="85">
        <f t="shared" ref="P89:P96" si="136">G89*0</f>
        <v>0</v>
      </c>
      <c r="Q89" s="85">
        <f t="shared" ref="Q89:Q96" si="137">G89*0</f>
        <v>0</v>
      </c>
      <c r="R89" s="47">
        <v>3</v>
      </c>
      <c r="S89" s="47">
        <v>3</v>
      </c>
      <c r="T89" s="47">
        <v>3</v>
      </c>
      <c r="U89" s="47">
        <v>3</v>
      </c>
      <c r="V89" s="179">
        <f>R89*E89</f>
        <v>600000</v>
      </c>
      <c r="W89" s="179">
        <f>S89*E89</f>
        <v>600000</v>
      </c>
      <c r="X89" s="179">
        <f>T89*E89</f>
        <v>600000</v>
      </c>
      <c r="Y89" s="179">
        <f>U89*E89</f>
        <v>600000</v>
      </c>
      <c r="Z89" s="47">
        <v>0</v>
      </c>
      <c r="AA89" s="179">
        <f t="shared" ref="AA89:AA96" si="138">Z89*E89</f>
        <v>0</v>
      </c>
      <c r="AB89" s="47">
        <v>0</v>
      </c>
      <c r="AC89" s="179">
        <f t="shared" si="107"/>
        <v>0</v>
      </c>
      <c r="AD89" s="47">
        <v>0</v>
      </c>
      <c r="AE89" s="179">
        <f t="shared" si="108"/>
        <v>0</v>
      </c>
      <c r="AF89" s="47">
        <v>0</v>
      </c>
      <c r="AG89" s="179">
        <f t="shared" si="109"/>
        <v>0</v>
      </c>
      <c r="AH89" s="47">
        <v>0</v>
      </c>
      <c r="AI89" s="179">
        <f t="shared" si="110"/>
        <v>0</v>
      </c>
      <c r="AJ89" s="47">
        <v>0</v>
      </c>
      <c r="AK89" s="179">
        <f t="shared" si="111"/>
        <v>0</v>
      </c>
      <c r="AL89" s="47">
        <v>0</v>
      </c>
      <c r="AM89" s="179">
        <f t="shared" si="112"/>
        <v>0</v>
      </c>
      <c r="AN89" s="47">
        <v>0</v>
      </c>
      <c r="AO89" s="179">
        <f t="shared" si="113"/>
        <v>0</v>
      </c>
      <c r="AP89" s="47">
        <v>0</v>
      </c>
      <c r="AQ89" s="179">
        <f t="shared" si="114"/>
        <v>0</v>
      </c>
      <c r="AR89" s="47">
        <v>0</v>
      </c>
      <c r="AS89" s="179">
        <f t="shared" si="115"/>
        <v>0</v>
      </c>
      <c r="AT89" s="47">
        <v>0</v>
      </c>
      <c r="AU89" s="179">
        <f t="shared" si="116"/>
        <v>0</v>
      </c>
      <c r="AV89" s="47">
        <v>0</v>
      </c>
      <c r="AW89" s="179">
        <f t="shared" si="117"/>
        <v>0</v>
      </c>
      <c r="AX89" s="47">
        <v>0</v>
      </c>
      <c r="AY89" s="179">
        <f t="shared" si="118"/>
        <v>0</v>
      </c>
      <c r="AZ89" s="47">
        <v>0</v>
      </c>
      <c r="BA89" s="179">
        <f t="shared" si="119"/>
        <v>0</v>
      </c>
      <c r="BB89" s="47">
        <v>0</v>
      </c>
      <c r="BC89" s="179">
        <f t="shared" si="120"/>
        <v>0</v>
      </c>
      <c r="BD89" s="47">
        <v>0</v>
      </c>
      <c r="BE89" s="179">
        <f t="shared" si="121"/>
        <v>0</v>
      </c>
      <c r="BF89" s="47">
        <v>0</v>
      </c>
      <c r="BG89" s="179">
        <f t="shared" si="122"/>
        <v>0</v>
      </c>
      <c r="BH89" s="47">
        <v>12</v>
      </c>
      <c r="BI89" s="179">
        <f t="shared" ref="BI89:BI96" si="139">BH89*E89</f>
        <v>2400000</v>
      </c>
      <c r="BJ89" s="47">
        <f t="shared" ref="BJ89:BK96" si="140">Z89+AB89+AD89+AF89+AH89+AJ89+AL89+AN89+AP89+AR89+AT89+AV89+AX89+AZ89+BB89+BD89+BF89+BH89</f>
        <v>12</v>
      </c>
      <c r="BK89" s="117">
        <f t="shared" si="140"/>
        <v>2400000</v>
      </c>
      <c r="BL89" s="335" t="s">
        <v>470</v>
      </c>
      <c r="BN89" s="113"/>
      <c r="BO89" s="113"/>
      <c r="BP89" s="113"/>
      <c r="BQ89" s="113"/>
      <c r="BR89" s="113">
        <f>BN89+BO89+BP89+BQ89</f>
        <v>0</v>
      </c>
      <c r="BS89" s="113">
        <f t="shared" ref="BS89:BS96" si="141">G89</f>
        <v>2400000</v>
      </c>
      <c r="BT89" s="113"/>
      <c r="BU89" s="124">
        <f>BS89+BT89</f>
        <v>2400000</v>
      </c>
      <c r="BV89" s="179">
        <f t="shared" si="106"/>
        <v>2400000</v>
      </c>
    </row>
    <row r="90" spans="1:74" x14ac:dyDescent="0.25">
      <c r="A90" s="1023"/>
      <c r="B90" s="38">
        <v>41422</v>
      </c>
      <c r="C90" s="38" t="s">
        <v>742</v>
      </c>
      <c r="D90" s="38" t="s">
        <v>73</v>
      </c>
      <c r="E90" s="365">
        <v>50000</v>
      </c>
      <c r="F90" s="38">
        <f t="shared" si="126"/>
        <v>12</v>
      </c>
      <c r="G90" s="427">
        <f t="shared" si="127"/>
        <v>600000</v>
      </c>
      <c r="H90" s="427">
        <f t="shared" si="128"/>
        <v>300000</v>
      </c>
      <c r="I90" s="427">
        <f t="shared" si="129"/>
        <v>300000</v>
      </c>
      <c r="J90" s="427">
        <f t="shared" si="130"/>
        <v>0</v>
      </c>
      <c r="K90" s="427">
        <f t="shared" si="131"/>
        <v>0</v>
      </c>
      <c r="L90" s="427">
        <f t="shared" si="132"/>
        <v>0</v>
      </c>
      <c r="M90" s="427">
        <f t="shared" si="133"/>
        <v>0</v>
      </c>
      <c r="N90" s="427">
        <f t="shared" si="134"/>
        <v>0</v>
      </c>
      <c r="O90" s="85">
        <f t="shared" si="135"/>
        <v>0</v>
      </c>
      <c r="P90" s="85">
        <f t="shared" si="136"/>
        <v>0</v>
      </c>
      <c r="Q90" s="85">
        <f t="shared" si="137"/>
        <v>0</v>
      </c>
      <c r="R90" s="47">
        <v>3</v>
      </c>
      <c r="S90" s="47">
        <v>3</v>
      </c>
      <c r="T90" s="47">
        <v>3</v>
      </c>
      <c r="U90" s="47">
        <v>3</v>
      </c>
      <c r="V90" s="179">
        <f t="shared" ref="V90:V96" si="142">R90*E90</f>
        <v>150000</v>
      </c>
      <c r="W90" s="179">
        <f t="shared" ref="W90:W96" si="143">S90*E90</f>
        <v>150000</v>
      </c>
      <c r="X90" s="179">
        <f t="shared" ref="X90:X96" si="144">T90*E90</f>
        <v>150000</v>
      </c>
      <c r="Y90" s="179">
        <f t="shared" ref="Y90:Y96" si="145">U90*E90</f>
        <v>150000</v>
      </c>
      <c r="Z90" s="47">
        <v>0</v>
      </c>
      <c r="AA90" s="179">
        <f t="shared" si="138"/>
        <v>0</v>
      </c>
      <c r="AB90" s="47">
        <v>0</v>
      </c>
      <c r="AC90" s="179">
        <f t="shared" si="107"/>
        <v>0</v>
      </c>
      <c r="AD90" s="47">
        <v>0</v>
      </c>
      <c r="AE90" s="179">
        <f t="shared" si="108"/>
        <v>0</v>
      </c>
      <c r="AF90" s="47">
        <v>0</v>
      </c>
      <c r="AG90" s="179">
        <f t="shared" si="109"/>
        <v>0</v>
      </c>
      <c r="AH90" s="47">
        <v>0</v>
      </c>
      <c r="AI90" s="179">
        <f t="shared" si="110"/>
        <v>0</v>
      </c>
      <c r="AJ90" s="47">
        <v>0</v>
      </c>
      <c r="AK90" s="179">
        <f t="shared" si="111"/>
        <v>0</v>
      </c>
      <c r="AL90" s="47">
        <v>0</v>
      </c>
      <c r="AM90" s="179">
        <f t="shared" si="112"/>
        <v>0</v>
      </c>
      <c r="AN90" s="47">
        <v>0</v>
      </c>
      <c r="AO90" s="179">
        <f t="shared" si="113"/>
        <v>0</v>
      </c>
      <c r="AP90" s="47">
        <v>0</v>
      </c>
      <c r="AQ90" s="179">
        <f t="shared" si="114"/>
        <v>0</v>
      </c>
      <c r="AR90" s="47">
        <v>0</v>
      </c>
      <c r="AS90" s="179">
        <f t="shared" si="115"/>
        <v>0</v>
      </c>
      <c r="AT90" s="47">
        <v>0</v>
      </c>
      <c r="AU90" s="179">
        <f t="shared" si="116"/>
        <v>0</v>
      </c>
      <c r="AV90" s="47">
        <v>0</v>
      </c>
      <c r="AW90" s="179">
        <f t="shared" si="117"/>
        <v>0</v>
      </c>
      <c r="AX90" s="47">
        <v>0</v>
      </c>
      <c r="AY90" s="179">
        <f t="shared" si="118"/>
        <v>0</v>
      </c>
      <c r="AZ90" s="47">
        <v>0</v>
      </c>
      <c r="BA90" s="179">
        <f t="shared" si="119"/>
        <v>0</v>
      </c>
      <c r="BB90" s="47">
        <v>0</v>
      </c>
      <c r="BC90" s="179">
        <f t="shared" si="120"/>
        <v>0</v>
      </c>
      <c r="BD90" s="47">
        <v>0</v>
      </c>
      <c r="BE90" s="179">
        <f t="shared" si="121"/>
        <v>0</v>
      </c>
      <c r="BF90" s="47">
        <v>0</v>
      </c>
      <c r="BG90" s="179">
        <f t="shared" si="122"/>
        <v>0</v>
      </c>
      <c r="BH90" s="47">
        <v>12</v>
      </c>
      <c r="BI90" s="179">
        <f t="shared" si="139"/>
        <v>600000</v>
      </c>
      <c r="BJ90" s="47">
        <f t="shared" si="140"/>
        <v>12</v>
      </c>
      <c r="BK90" s="117">
        <f t="shared" si="140"/>
        <v>600000</v>
      </c>
      <c r="BL90" s="335" t="s">
        <v>470</v>
      </c>
      <c r="BN90" s="113"/>
      <c r="BO90" s="113"/>
      <c r="BP90" s="113"/>
      <c r="BQ90" s="113"/>
      <c r="BR90" s="113">
        <f t="shared" ref="BR90:BR96" si="146">BN90+BO90+BP90+BQ90</f>
        <v>0</v>
      </c>
      <c r="BS90" s="113">
        <f t="shared" si="141"/>
        <v>600000</v>
      </c>
      <c r="BT90" s="113"/>
      <c r="BU90" s="124">
        <f t="shared" ref="BU90:BU96" si="147">BS90+BT90</f>
        <v>600000</v>
      </c>
      <c r="BV90" s="179">
        <f t="shared" si="106"/>
        <v>600000</v>
      </c>
    </row>
    <row r="91" spans="1:74" x14ac:dyDescent="0.25">
      <c r="A91" s="1023"/>
      <c r="B91" s="38">
        <v>41423</v>
      </c>
      <c r="C91" s="38" t="s">
        <v>312</v>
      </c>
      <c r="D91" s="38" t="s">
        <v>73</v>
      </c>
      <c r="E91" s="365">
        <f>0.45*100000</f>
        <v>45000</v>
      </c>
      <c r="F91" s="38">
        <f>BJ91</f>
        <v>0</v>
      </c>
      <c r="G91" s="427">
        <f t="shared" si="127"/>
        <v>0</v>
      </c>
      <c r="H91" s="427">
        <f t="shared" si="128"/>
        <v>0</v>
      </c>
      <c r="I91" s="427">
        <f t="shared" si="129"/>
        <v>0</v>
      </c>
      <c r="J91" s="427">
        <f t="shared" si="130"/>
        <v>0</v>
      </c>
      <c r="K91" s="427">
        <f t="shared" si="131"/>
        <v>0</v>
      </c>
      <c r="L91" s="427">
        <f t="shared" si="132"/>
        <v>0</v>
      </c>
      <c r="M91" s="427">
        <f t="shared" si="133"/>
        <v>0</v>
      </c>
      <c r="N91" s="427">
        <f t="shared" si="134"/>
        <v>0</v>
      </c>
      <c r="O91" s="85">
        <f t="shared" si="135"/>
        <v>0</v>
      </c>
      <c r="P91" s="85">
        <f t="shared" si="136"/>
        <v>0</v>
      </c>
      <c r="Q91" s="85">
        <f t="shared" si="137"/>
        <v>0</v>
      </c>
      <c r="R91" s="47">
        <v>0</v>
      </c>
      <c r="S91" s="47">
        <v>0</v>
      </c>
      <c r="T91" s="47">
        <v>0</v>
      </c>
      <c r="U91" s="47">
        <v>0</v>
      </c>
      <c r="V91" s="179">
        <f t="shared" si="142"/>
        <v>0</v>
      </c>
      <c r="W91" s="179">
        <f t="shared" si="143"/>
        <v>0</v>
      </c>
      <c r="X91" s="179">
        <f t="shared" si="144"/>
        <v>0</v>
      </c>
      <c r="Y91" s="179">
        <f t="shared" si="145"/>
        <v>0</v>
      </c>
      <c r="Z91" s="47">
        <v>0</v>
      </c>
      <c r="AA91" s="179">
        <f t="shared" si="138"/>
        <v>0</v>
      </c>
      <c r="AB91" s="47">
        <v>0</v>
      </c>
      <c r="AC91" s="179">
        <f t="shared" si="107"/>
        <v>0</v>
      </c>
      <c r="AD91" s="47">
        <v>0</v>
      </c>
      <c r="AE91" s="179">
        <f t="shared" si="108"/>
        <v>0</v>
      </c>
      <c r="AF91" s="47">
        <v>0</v>
      </c>
      <c r="AG91" s="179">
        <f t="shared" si="109"/>
        <v>0</v>
      </c>
      <c r="AH91" s="47">
        <v>0</v>
      </c>
      <c r="AI91" s="179">
        <f t="shared" si="110"/>
        <v>0</v>
      </c>
      <c r="AJ91" s="47">
        <v>0</v>
      </c>
      <c r="AK91" s="179">
        <f t="shared" si="111"/>
        <v>0</v>
      </c>
      <c r="AL91" s="47">
        <v>0</v>
      </c>
      <c r="AM91" s="179">
        <f t="shared" si="112"/>
        <v>0</v>
      </c>
      <c r="AN91" s="47">
        <v>0</v>
      </c>
      <c r="AO91" s="179">
        <f t="shared" si="113"/>
        <v>0</v>
      </c>
      <c r="AP91" s="47">
        <v>0</v>
      </c>
      <c r="AQ91" s="179">
        <f t="shared" si="114"/>
        <v>0</v>
      </c>
      <c r="AR91" s="47">
        <v>0</v>
      </c>
      <c r="AS91" s="179">
        <f t="shared" si="115"/>
        <v>0</v>
      </c>
      <c r="AT91" s="47">
        <v>0</v>
      </c>
      <c r="AU91" s="179">
        <f t="shared" si="116"/>
        <v>0</v>
      </c>
      <c r="AV91" s="47">
        <v>0</v>
      </c>
      <c r="AW91" s="179">
        <f t="shared" si="117"/>
        <v>0</v>
      </c>
      <c r="AX91" s="47">
        <v>0</v>
      </c>
      <c r="AY91" s="179">
        <f t="shared" si="118"/>
        <v>0</v>
      </c>
      <c r="AZ91" s="47">
        <v>0</v>
      </c>
      <c r="BA91" s="179">
        <f t="shared" si="119"/>
        <v>0</v>
      </c>
      <c r="BB91" s="47">
        <v>0</v>
      </c>
      <c r="BC91" s="179">
        <f t="shared" si="120"/>
        <v>0</v>
      </c>
      <c r="BD91" s="47">
        <v>0</v>
      </c>
      <c r="BE91" s="179">
        <f t="shared" si="121"/>
        <v>0</v>
      </c>
      <c r="BF91" s="47">
        <v>0</v>
      </c>
      <c r="BG91" s="179">
        <f t="shared" si="122"/>
        <v>0</v>
      </c>
      <c r="BH91" s="47">
        <v>0</v>
      </c>
      <c r="BI91" s="179">
        <f t="shared" si="139"/>
        <v>0</v>
      </c>
      <c r="BJ91" s="47">
        <f t="shared" si="140"/>
        <v>0</v>
      </c>
      <c r="BK91" s="117">
        <f t="shared" si="140"/>
        <v>0</v>
      </c>
      <c r="BL91" s="335" t="s">
        <v>470</v>
      </c>
      <c r="BN91" s="113"/>
      <c r="BO91" s="113"/>
      <c r="BP91" s="113"/>
      <c r="BQ91" s="113"/>
      <c r="BR91" s="113">
        <f t="shared" si="146"/>
        <v>0</v>
      </c>
      <c r="BS91" s="113">
        <f t="shared" si="141"/>
        <v>0</v>
      </c>
      <c r="BT91" s="113"/>
      <c r="BU91" s="124">
        <f t="shared" si="147"/>
        <v>0</v>
      </c>
      <c r="BV91" s="179">
        <f t="shared" si="106"/>
        <v>0</v>
      </c>
    </row>
    <row r="92" spans="1:74" ht="47.25" x14ac:dyDescent="0.25">
      <c r="A92" s="1023"/>
      <c r="B92" s="38">
        <v>41424</v>
      </c>
      <c r="C92" s="38" t="s">
        <v>822</v>
      </c>
      <c r="D92" s="38" t="s">
        <v>17</v>
      </c>
      <c r="E92" s="365">
        <v>1250000</v>
      </c>
      <c r="F92" s="38">
        <f t="shared" si="126"/>
        <v>12</v>
      </c>
      <c r="G92" s="427">
        <f t="shared" si="127"/>
        <v>15000000</v>
      </c>
      <c r="H92" s="427">
        <f t="shared" si="128"/>
        <v>7500000</v>
      </c>
      <c r="I92" s="427">
        <f t="shared" si="129"/>
        <v>7500000</v>
      </c>
      <c r="J92" s="427">
        <f t="shared" si="130"/>
        <v>0</v>
      </c>
      <c r="K92" s="427">
        <f t="shared" si="131"/>
        <v>0</v>
      </c>
      <c r="L92" s="427">
        <f t="shared" si="132"/>
        <v>0</v>
      </c>
      <c r="M92" s="427">
        <f t="shared" si="133"/>
        <v>0</v>
      </c>
      <c r="N92" s="427">
        <f t="shared" si="134"/>
        <v>0</v>
      </c>
      <c r="O92" s="85">
        <f t="shared" si="135"/>
        <v>0</v>
      </c>
      <c r="P92" s="85">
        <f t="shared" si="136"/>
        <v>0</v>
      </c>
      <c r="Q92" s="85">
        <f t="shared" si="137"/>
        <v>0</v>
      </c>
      <c r="R92" s="47">
        <v>3</v>
      </c>
      <c r="S92" s="47">
        <v>3</v>
      </c>
      <c r="T92" s="47">
        <v>3</v>
      </c>
      <c r="U92" s="47">
        <v>3</v>
      </c>
      <c r="V92" s="179">
        <f t="shared" si="142"/>
        <v>3750000</v>
      </c>
      <c r="W92" s="179">
        <f t="shared" si="143"/>
        <v>3750000</v>
      </c>
      <c r="X92" s="179">
        <f t="shared" si="144"/>
        <v>3750000</v>
      </c>
      <c r="Y92" s="179">
        <f t="shared" si="145"/>
        <v>3750000</v>
      </c>
      <c r="Z92" s="47">
        <v>0</v>
      </c>
      <c r="AA92" s="179">
        <f t="shared" si="138"/>
        <v>0</v>
      </c>
      <c r="AB92" s="47">
        <v>0</v>
      </c>
      <c r="AC92" s="179">
        <f t="shared" si="107"/>
        <v>0</v>
      </c>
      <c r="AD92" s="47">
        <v>0</v>
      </c>
      <c r="AE92" s="179">
        <f t="shared" si="108"/>
        <v>0</v>
      </c>
      <c r="AF92" s="47">
        <v>0</v>
      </c>
      <c r="AG92" s="179">
        <f t="shared" si="109"/>
        <v>0</v>
      </c>
      <c r="AH92" s="47">
        <v>0</v>
      </c>
      <c r="AI92" s="179">
        <f t="shared" si="110"/>
        <v>0</v>
      </c>
      <c r="AJ92" s="47">
        <v>0</v>
      </c>
      <c r="AK92" s="179">
        <f t="shared" si="111"/>
        <v>0</v>
      </c>
      <c r="AL92" s="47">
        <v>0</v>
      </c>
      <c r="AM92" s="179">
        <f t="shared" si="112"/>
        <v>0</v>
      </c>
      <c r="AN92" s="47">
        <v>0</v>
      </c>
      <c r="AO92" s="179">
        <f t="shared" si="113"/>
        <v>0</v>
      </c>
      <c r="AP92" s="47">
        <v>0</v>
      </c>
      <c r="AQ92" s="179">
        <f t="shared" si="114"/>
        <v>0</v>
      </c>
      <c r="AR92" s="47">
        <v>0</v>
      </c>
      <c r="AS92" s="179">
        <f t="shared" si="115"/>
        <v>0</v>
      </c>
      <c r="AT92" s="47">
        <v>0</v>
      </c>
      <c r="AU92" s="179">
        <f t="shared" si="116"/>
        <v>0</v>
      </c>
      <c r="AV92" s="47">
        <v>0</v>
      </c>
      <c r="AW92" s="179">
        <f t="shared" si="117"/>
        <v>0</v>
      </c>
      <c r="AX92" s="47">
        <v>0</v>
      </c>
      <c r="AY92" s="179">
        <f t="shared" si="118"/>
        <v>0</v>
      </c>
      <c r="AZ92" s="47">
        <v>0</v>
      </c>
      <c r="BA92" s="179">
        <f t="shared" si="119"/>
        <v>0</v>
      </c>
      <c r="BB92" s="47">
        <v>0</v>
      </c>
      <c r="BC92" s="179">
        <f t="shared" si="120"/>
        <v>0</v>
      </c>
      <c r="BD92" s="47">
        <v>0</v>
      </c>
      <c r="BE92" s="179">
        <f t="shared" si="121"/>
        <v>0</v>
      </c>
      <c r="BF92" s="47">
        <v>0</v>
      </c>
      <c r="BG92" s="179">
        <f t="shared" si="122"/>
        <v>0</v>
      </c>
      <c r="BH92" s="47">
        <v>12</v>
      </c>
      <c r="BI92" s="179">
        <f t="shared" si="139"/>
        <v>15000000</v>
      </c>
      <c r="BJ92" s="47">
        <f t="shared" si="140"/>
        <v>12</v>
      </c>
      <c r="BK92" s="117">
        <f t="shared" si="140"/>
        <v>15000000</v>
      </c>
      <c r="BL92" s="335" t="s">
        <v>470</v>
      </c>
      <c r="BN92" s="113"/>
      <c r="BO92" s="113"/>
      <c r="BP92" s="113"/>
      <c r="BQ92" s="113"/>
      <c r="BR92" s="113">
        <f t="shared" si="146"/>
        <v>0</v>
      </c>
      <c r="BS92" s="113">
        <f t="shared" si="141"/>
        <v>15000000</v>
      </c>
      <c r="BT92" s="113"/>
      <c r="BU92" s="124">
        <f t="shared" si="147"/>
        <v>15000000</v>
      </c>
      <c r="BV92" s="179">
        <f t="shared" si="106"/>
        <v>15000000</v>
      </c>
    </row>
    <row r="93" spans="1:74" ht="31.5" x14ac:dyDescent="0.25">
      <c r="A93" s="1023"/>
      <c r="B93" s="205">
        <v>41425</v>
      </c>
      <c r="C93" s="205" t="s">
        <v>313</v>
      </c>
      <c r="D93" s="205" t="s">
        <v>73</v>
      </c>
      <c r="E93" s="378">
        <f>140000</f>
        <v>140000</v>
      </c>
      <c r="F93" s="38">
        <f t="shared" si="126"/>
        <v>12</v>
      </c>
      <c r="G93" s="427">
        <f t="shared" si="127"/>
        <v>1680000</v>
      </c>
      <c r="H93" s="427">
        <f t="shared" si="128"/>
        <v>840000</v>
      </c>
      <c r="I93" s="427">
        <f t="shared" si="129"/>
        <v>840000</v>
      </c>
      <c r="J93" s="427">
        <f t="shared" si="130"/>
        <v>0</v>
      </c>
      <c r="K93" s="427">
        <f t="shared" si="131"/>
        <v>0</v>
      </c>
      <c r="L93" s="427">
        <f t="shared" si="132"/>
        <v>0</v>
      </c>
      <c r="M93" s="427">
        <f t="shared" si="133"/>
        <v>0</v>
      </c>
      <c r="N93" s="427">
        <f t="shared" si="134"/>
        <v>0</v>
      </c>
      <c r="O93" s="85">
        <f t="shared" si="135"/>
        <v>0</v>
      </c>
      <c r="P93" s="85">
        <f t="shared" si="136"/>
        <v>0</v>
      </c>
      <c r="Q93" s="85">
        <f t="shared" si="137"/>
        <v>0</v>
      </c>
      <c r="R93" s="47">
        <v>3</v>
      </c>
      <c r="S93" s="47">
        <v>3</v>
      </c>
      <c r="T93" s="47">
        <v>3</v>
      </c>
      <c r="U93" s="47">
        <v>3</v>
      </c>
      <c r="V93" s="179">
        <f t="shared" si="142"/>
        <v>420000</v>
      </c>
      <c r="W93" s="179">
        <f t="shared" si="143"/>
        <v>420000</v>
      </c>
      <c r="X93" s="179">
        <f t="shared" si="144"/>
        <v>420000</v>
      </c>
      <c r="Y93" s="179">
        <f t="shared" si="145"/>
        <v>420000</v>
      </c>
      <c r="Z93" s="47">
        <v>0</v>
      </c>
      <c r="AA93" s="179">
        <f t="shared" si="138"/>
        <v>0</v>
      </c>
      <c r="AB93" s="47">
        <v>0</v>
      </c>
      <c r="AC93" s="179">
        <f t="shared" si="107"/>
        <v>0</v>
      </c>
      <c r="AD93" s="47">
        <v>0</v>
      </c>
      <c r="AE93" s="179">
        <f t="shared" si="108"/>
        <v>0</v>
      </c>
      <c r="AF93" s="47">
        <v>0</v>
      </c>
      <c r="AG93" s="179">
        <f t="shared" si="109"/>
        <v>0</v>
      </c>
      <c r="AH93" s="47">
        <v>0</v>
      </c>
      <c r="AI93" s="179">
        <f t="shared" si="110"/>
        <v>0</v>
      </c>
      <c r="AJ93" s="47">
        <v>0</v>
      </c>
      <c r="AK93" s="179">
        <f t="shared" si="111"/>
        <v>0</v>
      </c>
      <c r="AL93" s="47">
        <v>0</v>
      </c>
      <c r="AM93" s="179">
        <f t="shared" si="112"/>
        <v>0</v>
      </c>
      <c r="AN93" s="47">
        <v>0</v>
      </c>
      <c r="AO93" s="179">
        <f t="shared" si="113"/>
        <v>0</v>
      </c>
      <c r="AP93" s="47">
        <v>0</v>
      </c>
      <c r="AQ93" s="179">
        <f t="shared" si="114"/>
        <v>0</v>
      </c>
      <c r="AR93" s="47">
        <v>0</v>
      </c>
      <c r="AS93" s="179">
        <f t="shared" si="115"/>
        <v>0</v>
      </c>
      <c r="AT93" s="47">
        <v>0</v>
      </c>
      <c r="AU93" s="179">
        <f t="shared" si="116"/>
        <v>0</v>
      </c>
      <c r="AV93" s="47">
        <v>0</v>
      </c>
      <c r="AW93" s="179">
        <f t="shared" si="117"/>
        <v>0</v>
      </c>
      <c r="AX93" s="47">
        <v>0</v>
      </c>
      <c r="AY93" s="179">
        <f t="shared" si="118"/>
        <v>0</v>
      </c>
      <c r="AZ93" s="47">
        <v>0</v>
      </c>
      <c r="BA93" s="179">
        <f t="shared" si="119"/>
        <v>0</v>
      </c>
      <c r="BB93" s="47">
        <v>0</v>
      </c>
      <c r="BC93" s="179">
        <f t="shared" si="120"/>
        <v>0</v>
      </c>
      <c r="BD93" s="47">
        <v>0</v>
      </c>
      <c r="BE93" s="179">
        <f t="shared" si="121"/>
        <v>0</v>
      </c>
      <c r="BF93" s="47">
        <v>0</v>
      </c>
      <c r="BG93" s="179">
        <f t="shared" si="122"/>
        <v>0</v>
      </c>
      <c r="BH93" s="47">
        <v>12</v>
      </c>
      <c r="BI93" s="179">
        <f t="shared" si="139"/>
        <v>1680000</v>
      </c>
      <c r="BJ93" s="47">
        <f t="shared" si="140"/>
        <v>12</v>
      </c>
      <c r="BK93" s="117">
        <f t="shared" si="140"/>
        <v>1680000</v>
      </c>
      <c r="BL93" s="335" t="s">
        <v>470</v>
      </c>
      <c r="BN93" s="113"/>
      <c r="BO93" s="113"/>
      <c r="BP93" s="113"/>
      <c r="BQ93" s="113"/>
      <c r="BR93" s="113">
        <f t="shared" si="146"/>
        <v>0</v>
      </c>
      <c r="BS93" s="113">
        <f t="shared" si="141"/>
        <v>1680000</v>
      </c>
      <c r="BT93" s="113"/>
      <c r="BU93" s="124">
        <f t="shared" si="147"/>
        <v>1680000</v>
      </c>
      <c r="BV93" s="179">
        <f t="shared" si="106"/>
        <v>1680000</v>
      </c>
    </row>
    <row r="94" spans="1:74" ht="31.5" x14ac:dyDescent="0.25">
      <c r="A94" s="1023"/>
      <c r="B94" s="38">
        <v>41426</v>
      </c>
      <c r="C94" s="38" t="s">
        <v>314</v>
      </c>
      <c r="D94" s="38" t="s">
        <v>73</v>
      </c>
      <c r="E94" s="365">
        <v>15000</v>
      </c>
      <c r="F94" s="38">
        <f t="shared" si="126"/>
        <v>12</v>
      </c>
      <c r="G94" s="427">
        <f t="shared" si="127"/>
        <v>180000</v>
      </c>
      <c r="H94" s="427">
        <f t="shared" si="128"/>
        <v>90000</v>
      </c>
      <c r="I94" s="427">
        <f t="shared" si="129"/>
        <v>90000</v>
      </c>
      <c r="J94" s="427">
        <f t="shared" si="130"/>
        <v>0</v>
      </c>
      <c r="K94" s="427">
        <f t="shared" si="131"/>
        <v>0</v>
      </c>
      <c r="L94" s="427">
        <f t="shared" si="132"/>
        <v>0</v>
      </c>
      <c r="M94" s="427">
        <f t="shared" si="133"/>
        <v>0</v>
      </c>
      <c r="N94" s="427">
        <f t="shared" si="134"/>
        <v>0</v>
      </c>
      <c r="O94" s="85">
        <f t="shared" si="135"/>
        <v>0</v>
      </c>
      <c r="P94" s="85">
        <f t="shared" si="136"/>
        <v>0</v>
      </c>
      <c r="Q94" s="85">
        <f t="shared" si="137"/>
        <v>0</v>
      </c>
      <c r="R94" s="47">
        <v>3</v>
      </c>
      <c r="S94" s="47">
        <v>3</v>
      </c>
      <c r="T94" s="47">
        <v>3</v>
      </c>
      <c r="U94" s="47">
        <v>3</v>
      </c>
      <c r="V94" s="179">
        <f t="shared" si="142"/>
        <v>45000</v>
      </c>
      <c r="W94" s="179">
        <f t="shared" si="143"/>
        <v>45000</v>
      </c>
      <c r="X94" s="179">
        <f t="shared" si="144"/>
        <v>45000</v>
      </c>
      <c r="Y94" s="179">
        <f t="shared" si="145"/>
        <v>45000</v>
      </c>
      <c r="Z94" s="47">
        <v>0</v>
      </c>
      <c r="AA94" s="179">
        <f t="shared" si="138"/>
        <v>0</v>
      </c>
      <c r="AB94" s="47">
        <v>0</v>
      </c>
      <c r="AC94" s="179">
        <f t="shared" si="107"/>
        <v>0</v>
      </c>
      <c r="AD94" s="47">
        <v>0</v>
      </c>
      <c r="AE94" s="179">
        <f t="shared" si="108"/>
        <v>0</v>
      </c>
      <c r="AF94" s="47">
        <v>0</v>
      </c>
      <c r="AG94" s="179">
        <f t="shared" si="109"/>
        <v>0</v>
      </c>
      <c r="AH94" s="47">
        <v>0</v>
      </c>
      <c r="AI94" s="179">
        <f t="shared" si="110"/>
        <v>0</v>
      </c>
      <c r="AJ94" s="47">
        <v>0</v>
      </c>
      <c r="AK94" s="179">
        <f t="shared" si="111"/>
        <v>0</v>
      </c>
      <c r="AL94" s="47">
        <v>0</v>
      </c>
      <c r="AM94" s="179">
        <f t="shared" si="112"/>
        <v>0</v>
      </c>
      <c r="AN94" s="47">
        <v>0</v>
      </c>
      <c r="AO94" s="179">
        <f t="shared" si="113"/>
        <v>0</v>
      </c>
      <c r="AP94" s="47">
        <v>0</v>
      </c>
      <c r="AQ94" s="179">
        <f t="shared" si="114"/>
        <v>0</v>
      </c>
      <c r="AR94" s="47">
        <v>0</v>
      </c>
      <c r="AS94" s="179">
        <f t="shared" si="115"/>
        <v>0</v>
      </c>
      <c r="AT94" s="47">
        <v>0</v>
      </c>
      <c r="AU94" s="179">
        <f t="shared" si="116"/>
        <v>0</v>
      </c>
      <c r="AV94" s="47">
        <v>0</v>
      </c>
      <c r="AW94" s="179">
        <f t="shared" si="117"/>
        <v>0</v>
      </c>
      <c r="AX94" s="47">
        <v>0</v>
      </c>
      <c r="AY94" s="179">
        <f t="shared" si="118"/>
        <v>0</v>
      </c>
      <c r="AZ94" s="47">
        <v>0</v>
      </c>
      <c r="BA94" s="179">
        <f t="shared" si="119"/>
        <v>0</v>
      </c>
      <c r="BB94" s="47">
        <v>0</v>
      </c>
      <c r="BC94" s="179">
        <f t="shared" si="120"/>
        <v>0</v>
      </c>
      <c r="BD94" s="47">
        <v>0</v>
      </c>
      <c r="BE94" s="179">
        <f t="shared" si="121"/>
        <v>0</v>
      </c>
      <c r="BF94" s="47">
        <v>0</v>
      </c>
      <c r="BG94" s="179">
        <f t="shared" si="122"/>
        <v>0</v>
      </c>
      <c r="BH94" s="47">
        <v>12</v>
      </c>
      <c r="BI94" s="179">
        <f t="shared" si="139"/>
        <v>180000</v>
      </c>
      <c r="BJ94" s="47">
        <f t="shared" si="140"/>
        <v>12</v>
      </c>
      <c r="BK94" s="117">
        <f t="shared" si="140"/>
        <v>180000</v>
      </c>
      <c r="BL94" s="335" t="s">
        <v>470</v>
      </c>
      <c r="BN94" s="113"/>
      <c r="BO94" s="113"/>
      <c r="BP94" s="113"/>
      <c r="BQ94" s="113"/>
      <c r="BR94" s="113">
        <f t="shared" si="146"/>
        <v>0</v>
      </c>
      <c r="BS94" s="113">
        <f t="shared" si="141"/>
        <v>180000</v>
      </c>
      <c r="BT94" s="113"/>
      <c r="BU94" s="124">
        <f t="shared" si="147"/>
        <v>180000</v>
      </c>
      <c r="BV94" s="179">
        <f t="shared" si="106"/>
        <v>180000</v>
      </c>
    </row>
    <row r="95" spans="1:74" x14ac:dyDescent="0.25">
      <c r="B95" s="38">
        <v>41427</v>
      </c>
      <c r="C95" s="38" t="s">
        <v>315</v>
      </c>
      <c r="D95" s="38" t="s">
        <v>73</v>
      </c>
      <c r="E95" s="365">
        <v>15000</v>
      </c>
      <c r="F95" s="38">
        <f t="shared" si="126"/>
        <v>12</v>
      </c>
      <c r="G95" s="427">
        <f t="shared" si="127"/>
        <v>180000</v>
      </c>
      <c r="H95" s="427">
        <f t="shared" si="128"/>
        <v>90000</v>
      </c>
      <c r="I95" s="427">
        <f t="shared" si="129"/>
        <v>90000</v>
      </c>
      <c r="J95" s="427">
        <f t="shared" si="130"/>
        <v>0</v>
      </c>
      <c r="K95" s="427">
        <f t="shared" si="131"/>
        <v>0</v>
      </c>
      <c r="L95" s="427">
        <f t="shared" si="132"/>
        <v>0</v>
      </c>
      <c r="M95" s="427">
        <f t="shared" si="133"/>
        <v>0</v>
      </c>
      <c r="N95" s="427">
        <f t="shared" si="134"/>
        <v>0</v>
      </c>
      <c r="O95" s="85">
        <f t="shared" si="135"/>
        <v>0</v>
      </c>
      <c r="P95" s="85">
        <f t="shared" si="136"/>
        <v>0</v>
      </c>
      <c r="Q95" s="85">
        <f t="shared" si="137"/>
        <v>0</v>
      </c>
      <c r="R95" s="47">
        <v>3</v>
      </c>
      <c r="S95" s="47">
        <v>3</v>
      </c>
      <c r="T95" s="47">
        <v>3</v>
      </c>
      <c r="U95" s="47">
        <v>3</v>
      </c>
      <c r="V95" s="179">
        <f t="shared" si="142"/>
        <v>45000</v>
      </c>
      <c r="W95" s="179">
        <f t="shared" si="143"/>
        <v>45000</v>
      </c>
      <c r="X95" s="179">
        <f t="shared" si="144"/>
        <v>45000</v>
      </c>
      <c r="Y95" s="179">
        <f t="shared" si="145"/>
        <v>45000</v>
      </c>
      <c r="Z95" s="47">
        <v>0</v>
      </c>
      <c r="AA95" s="179">
        <f t="shared" si="138"/>
        <v>0</v>
      </c>
      <c r="AB95" s="47">
        <v>0</v>
      </c>
      <c r="AC95" s="179">
        <f t="shared" si="107"/>
        <v>0</v>
      </c>
      <c r="AD95" s="47">
        <v>0</v>
      </c>
      <c r="AE95" s="179">
        <f t="shared" si="108"/>
        <v>0</v>
      </c>
      <c r="AF95" s="47">
        <v>0</v>
      </c>
      <c r="AG95" s="179">
        <f t="shared" si="109"/>
        <v>0</v>
      </c>
      <c r="AH95" s="47">
        <v>0</v>
      </c>
      <c r="AI95" s="179">
        <f t="shared" si="110"/>
        <v>0</v>
      </c>
      <c r="AJ95" s="47">
        <v>0</v>
      </c>
      <c r="AK95" s="179">
        <f t="shared" si="111"/>
        <v>0</v>
      </c>
      <c r="AL95" s="47">
        <v>0</v>
      </c>
      <c r="AM95" s="179">
        <f t="shared" si="112"/>
        <v>0</v>
      </c>
      <c r="AN95" s="47">
        <v>0</v>
      </c>
      <c r="AO95" s="179">
        <f t="shared" si="113"/>
        <v>0</v>
      </c>
      <c r="AP95" s="47">
        <v>0</v>
      </c>
      <c r="AQ95" s="179">
        <f t="shared" si="114"/>
        <v>0</v>
      </c>
      <c r="AR95" s="47">
        <v>0</v>
      </c>
      <c r="AS95" s="179">
        <f t="shared" si="115"/>
        <v>0</v>
      </c>
      <c r="AT95" s="47">
        <v>0</v>
      </c>
      <c r="AU95" s="179">
        <f t="shared" si="116"/>
        <v>0</v>
      </c>
      <c r="AV95" s="47">
        <v>0</v>
      </c>
      <c r="AW95" s="179">
        <f t="shared" si="117"/>
        <v>0</v>
      </c>
      <c r="AX95" s="47">
        <v>0</v>
      </c>
      <c r="AY95" s="179">
        <f t="shared" si="118"/>
        <v>0</v>
      </c>
      <c r="AZ95" s="47">
        <v>0</v>
      </c>
      <c r="BA95" s="179">
        <f t="shared" si="119"/>
        <v>0</v>
      </c>
      <c r="BB95" s="47">
        <v>0</v>
      </c>
      <c r="BC95" s="179">
        <f t="shared" si="120"/>
        <v>0</v>
      </c>
      <c r="BD95" s="47">
        <v>0</v>
      </c>
      <c r="BE95" s="179">
        <f t="shared" si="121"/>
        <v>0</v>
      </c>
      <c r="BF95" s="47">
        <v>0</v>
      </c>
      <c r="BG95" s="179">
        <f t="shared" si="122"/>
        <v>0</v>
      </c>
      <c r="BH95" s="47">
        <v>12</v>
      </c>
      <c r="BI95" s="179">
        <f t="shared" si="139"/>
        <v>180000</v>
      </c>
      <c r="BJ95" s="47">
        <f t="shared" si="140"/>
        <v>12</v>
      </c>
      <c r="BK95" s="117">
        <f t="shared" si="140"/>
        <v>180000</v>
      </c>
      <c r="BL95" s="335" t="s">
        <v>470</v>
      </c>
      <c r="BN95" s="113"/>
      <c r="BO95" s="113"/>
      <c r="BP95" s="113"/>
      <c r="BQ95" s="113"/>
      <c r="BR95" s="113">
        <f t="shared" si="146"/>
        <v>0</v>
      </c>
      <c r="BS95" s="113">
        <f t="shared" si="141"/>
        <v>180000</v>
      </c>
      <c r="BT95" s="113"/>
      <c r="BU95" s="124">
        <f t="shared" si="147"/>
        <v>180000</v>
      </c>
      <c r="BV95" s="179">
        <f t="shared" si="106"/>
        <v>180000</v>
      </c>
    </row>
    <row r="96" spans="1:74" x14ac:dyDescent="0.25">
      <c r="B96" s="38">
        <v>41428</v>
      </c>
      <c r="C96" s="38" t="s">
        <v>316</v>
      </c>
      <c r="D96" s="38" t="s">
        <v>17</v>
      </c>
      <c r="E96" s="762">
        <f>15.8*100000</f>
        <v>1580000</v>
      </c>
      <c r="F96" s="38">
        <f t="shared" si="126"/>
        <v>0</v>
      </c>
      <c r="G96" s="427">
        <f t="shared" si="127"/>
        <v>0</v>
      </c>
      <c r="H96" s="427">
        <f t="shared" si="128"/>
        <v>0</v>
      </c>
      <c r="I96" s="427">
        <f t="shared" si="129"/>
        <v>0</v>
      </c>
      <c r="J96" s="427">
        <f t="shared" si="130"/>
        <v>0</v>
      </c>
      <c r="K96" s="427">
        <f t="shared" si="131"/>
        <v>0</v>
      </c>
      <c r="L96" s="427">
        <f t="shared" si="132"/>
        <v>0</v>
      </c>
      <c r="M96" s="427">
        <f t="shared" si="133"/>
        <v>0</v>
      </c>
      <c r="N96" s="427">
        <f t="shared" si="134"/>
        <v>0</v>
      </c>
      <c r="O96" s="85">
        <f t="shared" si="135"/>
        <v>0</v>
      </c>
      <c r="P96" s="85">
        <f t="shared" si="136"/>
        <v>0</v>
      </c>
      <c r="Q96" s="85">
        <f t="shared" si="137"/>
        <v>0</v>
      </c>
      <c r="R96" s="47"/>
      <c r="S96" s="47">
        <v>0</v>
      </c>
      <c r="T96" s="47"/>
      <c r="U96" s="47"/>
      <c r="V96" s="179">
        <f t="shared" si="142"/>
        <v>0</v>
      </c>
      <c r="W96" s="179">
        <f t="shared" si="143"/>
        <v>0</v>
      </c>
      <c r="X96" s="179">
        <f t="shared" si="144"/>
        <v>0</v>
      </c>
      <c r="Y96" s="179">
        <f t="shared" si="145"/>
        <v>0</v>
      </c>
      <c r="Z96" s="47">
        <v>0</v>
      </c>
      <c r="AA96" s="179">
        <f t="shared" si="138"/>
        <v>0</v>
      </c>
      <c r="AB96" s="47">
        <v>0</v>
      </c>
      <c r="AC96" s="179">
        <f t="shared" si="107"/>
        <v>0</v>
      </c>
      <c r="AD96" s="47">
        <v>0</v>
      </c>
      <c r="AE96" s="179">
        <f t="shared" si="108"/>
        <v>0</v>
      </c>
      <c r="AF96" s="47">
        <v>0</v>
      </c>
      <c r="AG96" s="179">
        <f t="shared" si="109"/>
        <v>0</v>
      </c>
      <c r="AH96" s="47">
        <v>0</v>
      </c>
      <c r="AI96" s="179">
        <f t="shared" si="110"/>
        <v>0</v>
      </c>
      <c r="AJ96" s="47">
        <v>0</v>
      </c>
      <c r="AK96" s="179">
        <f t="shared" si="111"/>
        <v>0</v>
      </c>
      <c r="AL96" s="47">
        <v>0</v>
      </c>
      <c r="AM96" s="179">
        <f t="shared" si="112"/>
        <v>0</v>
      </c>
      <c r="AN96" s="47">
        <v>0</v>
      </c>
      <c r="AO96" s="179">
        <f t="shared" si="113"/>
        <v>0</v>
      </c>
      <c r="AP96" s="47">
        <v>0</v>
      </c>
      <c r="AQ96" s="179">
        <f t="shared" si="114"/>
        <v>0</v>
      </c>
      <c r="AR96" s="47">
        <v>0</v>
      </c>
      <c r="AS96" s="179">
        <f t="shared" si="115"/>
        <v>0</v>
      </c>
      <c r="AT96" s="47">
        <v>0</v>
      </c>
      <c r="AU96" s="179">
        <f t="shared" si="116"/>
        <v>0</v>
      </c>
      <c r="AV96" s="47">
        <v>0</v>
      </c>
      <c r="AW96" s="179">
        <f t="shared" si="117"/>
        <v>0</v>
      </c>
      <c r="AX96" s="47">
        <v>0</v>
      </c>
      <c r="AY96" s="179">
        <f t="shared" si="118"/>
        <v>0</v>
      </c>
      <c r="AZ96" s="47">
        <v>0</v>
      </c>
      <c r="BA96" s="179">
        <f t="shared" si="119"/>
        <v>0</v>
      </c>
      <c r="BB96" s="47">
        <v>0</v>
      </c>
      <c r="BC96" s="179">
        <f t="shared" si="120"/>
        <v>0</v>
      </c>
      <c r="BD96" s="47">
        <v>0</v>
      </c>
      <c r="BE96" s="179">
        <f t="shared" si="121"/>
        <v>0</v>
      </c>
      <c r="BF96" s="47">
        <v>0</v>
      </c>
      <c r="BG96" s="179">
        <f t="shared" si="122"/>
        <v>0</v>
      </c>
      <c r="BH96" s="47">
        <v>0</v>
      </c>
      <c r="BI96" s="179">
        <f t="shared" si="139"/>
        <v>0</v>
      </c>
      <c r="BJ96" s="47">
        <f t="shared" si="140"/>
        <v>0</v>
      </c>
      <c r="BK96" s="117">
        <f t="shared" si="140"/>
        <v>0</v>
      </c>
      <c r="BL96" s="335" t="s">
        <v>470</v>
      </c>
      <c r="BN96" s="113"/>
      <c r="BO96" s="113"/>
      <c r="BP96" s="113"/>
      <c r="BQ96" s="113"/>
      <c r="BR96" s="113">
        <f t="shared" si="146"/>
        <v>0</v>
      </c>
      <c r="BS96" s="113">
        <f t="shared" si="141"/>
        <v>0</v>
      </c>
      <c r="BT96" s="113"/>
      <c r="BU96" s="124">
        <f t="shared" si="147"/>
        <v>0</v>
      </c>
      <c r="BV96" s="179">
        <f t="shared" si="106"/>
        <v>0</v>
      </c>
    </row>
    <row r="97" spans="2:74" x14ac:dyDescent="0.25">
      <c r="B97" s="428"/>
      <c r="C97" s="428" t="s">
        <v>317</v>
      </c>
      <c r="D97" s="428"/>
      <c r="E97" s="428"/>
      <c r="F97" s="428">
        <f>SUM(F89:F96)</f>
        <v>72</v>
      </c>
      <c r="G97" s="429">
        <f>SUM(G89:G96)</f>
        <v>20040000</v>
      </c>
      <c r="H97" s="429">
        <f t="shared" ref="H97:Q97" si="148">SUM(H89:H96)</f>
        <v>10020000</v>
      </c>
      <c r="I97" s="429">
        <f t="shared" si="148"/>
        <v>10020000</v>
      </c>
      <c r="J97" s="429">
        <f t="shared" si="148"/>
        <v>0</v>
      </c>
      <c r="K97" s="429">
        <f t="shared" si="148"/>
        <v>0</v>
      </c>
      <c r="L97" s="429">
        <f t="shared" si="148"/>
        <v>0</v>
      </c>
      <c r="M97" s="429">
        <f t="shared" si="148"/>
        <v>0</v>
      </c>
      <c r="N97" s="429">
        <f t="shared" si="148"/>
        <v>0</v>
      </c>
      <c r="O97" s="429">
        <f t="shared" si="148"/>
        <v>0</v>
      </c>
      <c r="P97" s="429">
        <f t="shared" si="148"/>
        <v>0</v>
      </c>
      <c r="Q97" s="429">
        <f t="shared" si="148"/>
        <v>0</v>
      </c>
      <c r="R97" s="428">
        <f t="shared" ref="R97:BK97" si="149">SUM(R89:R96)</f>
        <v>18</v>
      </c>
      <c r="S97" s="428">
        <f t="shared" si="149"/>
        <v>18</v>
      </c>
      <c r="T97" s="428">
        <f t="shared" si="149"/>
        <v>18</v>
      </c>
      <c r="U97" s="428">
        <f t="shared" si="149"/>
        <v>18</v>
      </c>
      <c r="V97" s="429">
        <f t="shared" si="149"/>
        <v>5010000</v>
      </c>
      <c r="W97" s="429">
        <f t="shared" si="149"/>
        <v>5010000</v>
      </c>
      <c r="X97" s="429">
        <f t="shared" si="149"/>
        <v>5010000</v>
      </c>
      <c r="Y97" s="429">
        <f t="shared" si="149"/>
        <v>5010000</v>
      </c>
      <c r="Z97" s="428">
        <f t="shared" si="149"/>
        <v>0</v>
      </c>
      <c r="AA97" s="429">
        <f t="shared" si="149"/>
        <v>0</v>
      </c>
      <c r="AB97" s="428">
        <f t="shared" si="149"/>
        <v>0</v>
      </c>
      <c r="AC97" s="429">
        <f t="shared" si="149"/>
        <v>0</v>
      </c>
      <c r="AD97" s="428">
        <f t="shared" si="149"/>
        <v>0</v>
      </c>
      <c r="AE97" s="429">
        <f t="shared" si="149"/>
        <v>0</v>
      </c>
      <c r="AF97" s="428">
        <f t="shared" si="149"/>
        <v>0</v>
      </c>
      <c r="AG97" s="429">
        <f t="shared" si="149"/>
        <v>0</v>
      </c>
      <c r="AH97" s="428">
        <f t="shared" si="149"/>
        <v>0</v>
      </c>
      <c r="AI97" s="429">
        <f t="shared" si="149"/>
        <v>0</v>
      </c>
      <c r="AJ97" s="428">
        <f t="shared" si="149"/>
        <v>0</v>
      </c>
      <c r="AK97" s="429">
        <f t="shared" si="149"/>
        <v>0</v>
      </c>
      <c r="AL97" s="428">
        <f t="shared" si="149"/>
        <v>0</v>
      </c>
      <c r="AM97" s="429">
        <f t="shared" si="149"/>
        <v>0</v>
      </c>
      <c r="AN97" s="428">
        <f t="shared" si="149"/>
        <v>0</v>
      </c>
      <c r="AO97" s="429">
        <f t="shared" si="149"/>
        <v>0</v>
      </c>
      <c r="AP97" s="428">
        <f t="shared" si="149"/>
        <v>0</v>
      </c>
      <c r="AQ97" s="429">
        <f t="shared" si="149"/>
        <v>0</v>
      </c>
      <c r="AR97" s="428">
        <f t="shared" si="149"/>
        <v>0</v>
      </c>
      <c r="AS97" s="429">
        <f t="shared" si="149"/>
        <v>0</v>
      </c>
      <c r="AT97" s="428">
        <f t="shared" si="149"/>
        <v>0</v>
      </c>
      <c r="AU97" s="429">
        <f t="shared" si="149"/>
        <v>0</v>
      </c>
      <c r="AV97" s="428">
        <f t="shared" si="149"/>
        <v>0</v>
      </c>
      <c r="AW97" s="429">
        <f t="shared" si="149"/>
        <v>0</v>
      </c>
      <c r="AX97" s="428">
        <f t="shared" si="149"/>
        <v>0</v>
      </c>
      <c r="AY97" s="429">
        <f t="shared" si="149"/>
        <v>0</v>
      </c>
      <c r="AZ97" s="428">
        <f t="shared" si="149"/>
        <v>0</v>
      </c>
      <c r="BA97" s="429">
        <f t="shared" si="149"/>
        <v>0</v>
      </c>
      <c r="BB97" s="428">
        <f t="shared" si="149"/>
        <v>0</v>
      </c>
      <c r="BC97" s="429">
        <f t="shared" si="149"/>
        <v>0</v>
      </c>
      <c r="BD97" s="428">
        <f t="shared" si="149"/>
        <v>0</v>
      </c>
      <c r="BE97" s="429">
        <f t="shared" si="149"/>
        <v>0</v>
      </c>
      <c r="BF97" s="428">
        <f t="shared" si="149"/>
        <v>0</v>
      </c>
      <c r="BG97" s="429">
        <f t="shared" si="149"/>
        <v>0</v>
      </c>
      <c r="BH97" s="428">
        <f t="shared" si="149"/>
        <v>72</v>
      </c>
      <c r="BI97" s="429">
        <f t="shared" si="149"/>
        <v>20040000</v>
      </c>
      <c r="BJ97" s="428">
        <f t="shared" si="149"/>
        <v>72</v>
      </c>
      <c r="BK97" s="430">
        <f t="shared" si="149"/>
        <v>20040000</v>
      </c>
      <c r="BL97" s="47"/>
      <c r="BN97" s="430">
        <f t="shared" ref="BN97:BU97" si="150">SUM(BN89:BN96)</f>
        <v>0</v>
      </c>
      <c r="BO97" s="430">
        <f t="shared" si="150"/>
        <v>0</v>
      </c>
      <c r="BP97" s="430">
        <f t="shared" si="150"/>
        <v>0</v>
      </c>
      <c r="BQ97" s="430">
        <f t="shared" si="150"/>
        <v>0</v>
      </c>
      <c r="BR97" s="430">
        <f t="shared" si="150"/>
        <v>0</v>
      </c>
      <c r="BS97" s="430">
        <f t="shared" si="150"/>
        <v>20040000</v>
      </c>
      <c r="BT97" s="430">
        <f t="shared" si="150"/>
        <v>0</v>
      </c>
      <c r="BU97" s="430">
        <f t="shared" si="150"/>
        <v>20040000</v>
      </c>
      <c r="BV97" s="380">
        <f t="shared" si="106"/>
        <v>20040000</v>
      </c>
    </row>
    <row r="98" spans="2:74" x14ac:dyDescent="0.25">
      <c r="B98" s="38"/>
      <c r="C98" s="432" t="s">
        <v>318</v>
      </c>
      <c r="D98" s="432"/>
      <c r="E98" s="432"/>
      <c r="F98" s="433">
        <f>F97+F87</f>
        <v>288</v>
      </c>
      <c r="G98" s="128">
        <f>G97+G87</f>
        <v>28776000</v>
      </c>
      <c r="H98" s="128">
        <f t="shared" ref="H98:Q98" si="151">H97+H87</f>
        <v>14388000</v>
      </c>
      <c r="I98" s="128">
        <f t="shared" si="151"/>
        <v>14388000</v>
      </c>
      <c r="J98" s="128">
        <f t="shared" si="151"/>
        <v>0</v>
      </c>
      <c r="K98" s="128">
        <f t="shared" si="151"/>
        <v>0</v>
      </c>
      <c r="L98" s="128">
        <f t="shared" si="151"/>
        <v>0</v>
      </c>
      <c r="M98" s="128">
        <f t="shared" si="151"/>
        <v>0</v>
      </c>
      <c r="N98" s="128">
        <f t="shared" si="151"/>
        <v>0</v>
      </c>
      <c r="O98" s="128">
        <f t="shared" si="151"/>
        <v>0</v>
      </c>
      <c r="P98" s="128">
        <f t="shared" si="151"/>
        <v>0</v>
      </c>
      <c r="Q98" s="128">
        <f t="shared" si="151"/>
        <v>0</v>
      </c>
      <c r="R98" s="433">
        <f t="shared" ref="R98:BK98" si="152">R97+R87</f>
        <v>72</v>
      </c>
      <c r="S98" s="433">
        <f t="shared" si="152"/>
        <v>72</v>
      </c>
      <c r="T98" s="433">
        <f t="shared" si="152"/>
        <v>72</v>
      </c>
      <c r="U98" s="433">
        <f t="shared" si="152"/>
        <v>72</v>
      </c>
      <c r="V98" s="128">
        <f t="shared" si="152"/>
        <v>7194000</v>
      </c>
      <c r="W98" s="128">
        <f t="shared" si="152"/>
        <v>7194000</v>
      </c>
      <c r="X98" s="128">
        <f t="shared" si="152"/>
        <v>7194000</v>
      </c>
      <c r="Y98" s="128">
        <f t="shared" si="152"/>
        <v>7194000</v>
      </c>
      <c r="Z98" s="433">
        <f t="shared" si="152"/>
        <v>0</v>
      </c>
      <c r="AA98" s="128">
        <f t="shared" si="152"/>
        <v>0</v>
      </c>
      <c r="AB98" s="433">
        <f t="shared" si="152"/>
        <v>0</v>
      </c>
      <c r="AC98" s="128">
        <f t="shared" si="152"/>
        <v>0</v>
      </c>
      <c r="AD98" s="433">
        <f t="shared" si="152"/>
        <v>0</v>
      </c>
      <c r="AE98" s="128">
        <f t="shared" si="152"/>
        <v>0</v>
      </c>
      <c r="AF98" s="433">
        <f t="shared" si="152"/>
        <v>0</v>
      </c>
      <c r="AG98" s="128">
        <f t="shared" si="152"/>
        <v>0</v>
      </c>
      <c r="AH98" s="433">
        <f t="shared" si="152"/>
        <v>0</v>
      </c>
      <c r="AI98" s="128">
        <f t="shared" si="152"/>
        <v>0</v>
      </c>
      <c r="AJ98" s="433">
        <f t="shared" si="152"/>
        <v>0</v>
      </c>
      <c r="AK98" s="128">
        <f t="shared" si="152"/>
        <v>0</v>
      </c>
      <c r="AL98" s="433">
        <f t="shared" si="152"/>
        <v>0</v>
      </c>
      <c r="AM98" s="128">
        <f t="shared" si="152"/>
        <v>0</v>
      </c>
      <c r="AN98" s="433">
        <f t="shared" si="152"/>
        <v>0</v>
      </c>
      <c r="AO98" s="128">
        <f t="shared" si="152"/>
        <v>0</v>
      </c>
      <c r="AP98" s="433">
        <f t="shared" si="152"/>
        <v>0</v>
      </c>
      <c r="AQ98" s="128">
        <f t="shared" si="152"/>
        <v>0</v>
      </c>
      <c r="AR98" s="433">
        <f t="shared" si="152"/>
        <v>0</v>
      </c>
      <c r="AS98" s="128">
        <f t="shared" si="152"/>
        <v>0</v>
      </c>
      <c r="AT98" s="433">
        <f t="shared" si="152"/>
        <v>0</v>
      </c>
      <c r="AU98" s="128">
        <f t="shared" si="152"/>
        <v>0</v>
      </c>
      <c r="AV98" s="433">
        <f t="shared" si="152"/>
        <v>0</v>
      </c>
      <c r="AW98" s="128">
        <f t="shared" si="152"/>
        <v>0</v>
      </c>
      <c r="AX98" s="433">
        <f t="shared" si="152"/>
        <v>0</v>
      </c>
      <c r="AY98" s="128">
        <f t="shared" si="152"/>
        <v>0</v>
      </c>
      <c r="AZ98" s="433">
        <f t="shared" si="152"/>
        <v>0</v>
      </c>
      <c r="BA98" s="128">
        <f t="shared" si="152"/>
        <v>0</v>
      </c>
      <c r="BB98" s="433">
        <f t="shared" si="152"/>
        <v>0</v>
      </c>
      <c r="BC98" s="128">
        <f t="shared" si="152"/>
        <v>0</v>
      </c>
      <c r="BD98" s="433">
        <f t="shared" si="152"/>
        <v>0</v>
      </c>
      <c r="BE98" s="128">
        <f t="shared" si="152"/>
        <v>0</v>
      </c>
      <c r="BF98" s="433">
        <f t="shared" si="152"/>
        <v>0</v>
      </c>
      <c r="BG98" s="128">
        <f t="shared" si="152"/>
        <v>0</v>
      </c>
      <c r="BH98" s="433">
        <f t="shared" si="152"/>
        <v>288</v>
      </c>
      <c r="BI98" s="128">
        <f t="shared" si="152"/>
        <v>28776000</v>
      </c>
      <c r="BJ98" s="433">
        <f t="shared" si="152"/>
        <v>288</v>
      </c>
      <c r="BK98" s="434">
        <f t="shared" si="152"/>
        <v>28776000</v>
      </c>
      <c r="BL98" s="47"/>
      <c r="BN98" s="434">
        <f t="shared" ref="BN98:BU98" si="153">BN97+BN87</f>
        <v>0</v>
      </c>
      <c r="BO98" s="434">
        <f t="shared" si="153"/>
        <v>0</v>
      </c>
      <c r="BP98" s="434">
        <f t="shared" si="153"/>
        <v>0</v>
      </c>
      <c r="BQ98" s="434">
        <f t="shared" si="153"/>
        <v>0</v>
      </c>
      <c r="BR98" s="434">
        <f t="shared" si="153"/>
        <v>0</v>
      </c>
      <c r="BS98" s="434">
        <f t="shared" si="153"/>
        <v>28776000</v>
      </c>
      <c r="BT98" s="434">
        <f t="shared" si="153"/>
        <v>0</v>
      </c>
      <c r="BU98" s="434">
        <f t="shared" si="153"/>
        <v>28776000</v>
      </c>
      <c r="BV98" s="435">
        <f t="shared" si="106"/>
        <v>28776000</v>
      </c>
    </row>
    <row r="99" spans="2:74" x14ac:dyDescent="0.25">
      <c r="B99" s="211">
        <v>41500</v>
      </c>
      <c r="C99" s="211" t="s">
        <v>319</v>
      </c>
      <c r="D99" s="38"/>
      <c r="E99" s="365"/>
      <c r="F99" s="38"/>
      <c r="G99" s="123"/>
      <c r="H99" s="123"/>
      <c r="I99" s="123"/>
      <c r="J99" s="123"/>
      <c r="K99" s="123"/>
      <c r="L99" s="123"/>
      <c r="M99" s="123"/>
      <c r="N99" s="123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179">
        <f t="shared" si="107"/>
        <v>0</v>
      </c>
      <c r="AD99" s="47"/>
      <c r="AE99" s="179">
        <f t="shared" si="108"/>
        <v>0</v>
      </c>
      <c r="AF99" s="47"/>
      <c r="AG99" s="179">
        <f t="shared" si="109"/>
        <v>0</v>
      </c>
      <c r="AH99" s="47"/>
      <c r="AI99" s="179">
        <f t="shared" si="110"/>
        <v>0</v>
      </c>
      <c r="AJ99" s="47"/>
      <c r="AK99" s="179">
        <f t="shared" si="111"/>
        <v>0</v>
      </c>
      <c r="AL99" s="47"/>
      <c r="AM99" s="179">
        <f t="shared" si="112"/>
        <v>0</v>
      </c>
      <c r="AN99" s="47"/>
      <c r="AO99" s="179">
        <f t="shared" si="113"/>
        <v>0</v>
      </c>
      <c r="AP99" s="47"/>
      <c r="AQ99" s="179">
        <f t="shared" si="114"/>
        <v>0</v>
      </c>
      <c r="AR99" s="47"/>
      <c r="AS99" s="179">
        <f t="shared" si="115"/>
        <v>0</v>
      </c>
      <c r="AT99" s="47"/>
      <c r="AU99" s="179">
        <f t="shared" si="116"/>
        <v>0</v>
      </c>
      <c r="AV99" s="47"/>
      <c r="AW99" s="179">
        <f t="shared" si="117"/>
        <v>0</v>
      </c>
      <c r="AX99" s="47"/>
      <c r="AY99" s="179">
        <f t="shared" si="118"/>
        <v>0</v>
      </c>
      <c r="AZ99" s="47"/>
      <c r="BA99" s="179">
        <f t="shared" si="119"/>
        <v>0</v>
      </c>
      <c r="BB99" s="47"/>
      <c r="BC99" s="179">
        <f t="shared" si="120"/>
        <v>0</v>
      </c>
      <c r="BD99" s="47"/>
      <c r="BE99" s="179">
        <f t="shared" si="121"/>
        <v>0</v>
      </c>
      <c r="BF99" s="47"/>
      <c r="BG99" s="179">
        <f t="shared" si="122"/>
        <v>0</v>
      </c>
      <c r="BH99" s="47"/>
      <c r="BI99" s="47"/>
      <c r="BJ99" s="47"/>
      <c r="BK99" s="123"/>
      <c r="BL99" s="47"/>
      <c r="BN99" s="113"/>
      <c r="BO99" s="113"/>
      <c r="BP99" s="113"/>
      <c r="BQ99" s="113"/>
      <c r="BR99" s="113"/>
      <c r="BS99" s="113"/>
      <c r="BT99" s="113"/>
      <c r="BU99" s="124"/>
      <c r="BV99" s="179">
        <f t="shared" si="106"/>
        <v>0</v>
      </c>
    </row>
    <row r="100" spans="2:74" ht="63" x14ac:dyDescent="0.25">
      <c r="B100" s="38">
        <v>41501</v>
      </c>
      <c r="C100" s="38" t="s">
        <v>794</v>
      </c>
      <c r="D100" s="38" t="s">
        <v>17</v>
      </c>
      <c r="E100" s="762">
        <v>1500000</v>
      </c>
      <c r="F100" s="38">
        <f t="shared" ref="F100:F115" si="154">BJ100</f>
        <v>1</v>
      </c>
      <c r="G100" s="437">
        <f t="shared" ref="G100:G115" si="155">E100*F100</f>
        <v>1500000</v>
      </c>
      <c r="H100" s="427">
        <f>G100*0.5</f>
        <v>750000</v>
      </c>
      <c r="I100" s="427">
        <f>G100*0.5</f>
        <v>750000</v>
      </c>
      <c r="J100" s="427">
        <f t="shared" ref="J100:J115" si="156">G100*0</f>
        <v>0</v>
      </c>
      <c r="K100" s="427">
        <f t="shared" ref="K100:K115" si="157">G100*0</f>
        <v>0</v>
      </c>
      <c r="L100" s="427">
        <f t="shared" ref="L100:L115" si="158">G100*0</f>
        <v>0</v>
      </c>
      <c r="M100" s="427">
        <f t="shared" ref="M100:M115" si="159">G100*0</f>
        <v>0</v>
      </c>
      <c r="N100" s="427">
        <f t="shared" ref="N100:N115" si="160">G100*0</f>
        <v>0</v>
      </c>
      <c r="O100" s="85">
        <f t="shared" ref="O100:O115" si="161">G100*0</f>
        <v>0</v>
      </c>
      <c r="P100" s="85">
        <f t="shared" ref="P100:P115" si="162">G100*0</f>
        <v>0</v>
      </c>
      <c r="Q100" s="85">
        <f t="shared" ref="Q100:Q115" si="163">G100*0</f>
        <v>0</v>
      </c>
      <c r="R100" s="47"/>
      <c r="S100" s="47">
        <v>1</v>
      </c>
      <c r="T100" s="47"/>
      <c r="U100" s="47"/>
      <c r="V100" s="179">
        <f>R100*E100</f>
        <v>0</v>
      </c>
      <c r="W100" s="179">
        <f>S100*E100</f>
        <v>1500000</v>
      </c>
      <c r="X100" s="179">
        <f>T100*E100</f>
        <v>0</v>
      </c>
      <c r="Y100" s="179">
        <f>U100*E100</f>
        <v>0</v>
      </c>
      <c r="Z100" s="47">
        <v>0</v>
      </c>
      <c r="AA100" s="179">
        <f t="shared" ref="AA100:AA115" si="164">Z100*E100</f>
        <v>0</v>
      </c>
      <c r="AB100" s="47">
        <v>0</v>
      </c>
      <c r="AC100" s="179">
        <f t="shared" si="107"/>
        <v>0</v>
      </c>
      <c r="AD100" s="47">
        <v>0</v>
      </c>
      <c r="AE100" s="179">
        <f t="shared" si="108"/>
        <v>0</v>
      </c>
      <c r="AF100" s="47">
        <v>0</v>
      </c>
      <c r="AG100" s="179">
        <f t="shared" si="109"/>
        <v>0</v>
      </c>
      <c r="AH100" s="47">
        <v>0</v>
      </c>
      <c r="AI100" s="179">
        <f t="shared" si="110"/>
        <v>0</v>
      </c>
      <c r="AJ100" s="47">
        <v>0</v>
      </c>
      <c r="AK100" s="179">
        <f t="shared" si="111"/>
        <v>0</v>
      </c>
      <c r="AL100" s="47">
        <v>0</v>
      </c>
      <c r="AM100" s="179">
        <f t="shared" si="112"/>
        <v>0</v>
      </c>
      <c r="AN100" s="47">
        <v>0</v>
      </c>
      <c r="AO100" s="179">
        <f t="shared" si="113"/>
        <v>0</v>
      </c>
      <c r="AP100" s="47">
        <v>0</v>
      </c>
      <c r="AQ100" s="179">
        <f t="shared" si="114"/>
        <v>0</v>
      </c>
      <c r="AR100" s="47">
        <v>0</v>
      </c>
      <c r="AS100" s="179">
        <f t="shared" si="115"/>
        <v>0</v>
      </c>
      <c r="AT100" s="47">
        <v>0</v>
      </c>
      <c r="AU100" s="179">
        <f t="shared" si="116"/>
        <v>0</v>
      </c>
      <c r="AV100" s="47">
        <v>0</v>
      </c>
      <c r="AW100" s="179">
        <f t="shared" si="117"/>
        <v>0</v>
      </c>
      <c r="AX100" s="47">
        <v>0</v>
      </c>
      <c r="AY100" s="179">
        <f t="shared" si="118"/>
        <v>0</v>
      </c>
      <c r="AZ100" s="47">
        <v>0</v>
      </c>
      <c r="BA100" s="179">
        <f t="shared" si="119"/>
        <v>0</v>
      </c>
      <c r="BB100" s="47">
        <v>0</v>
      </c>
      <c r="BC100" s="179">
        <f t="shared" si="120"/>
        <v>0</v>
      </c>
      <c r="BD100" s="47">
        <v>0</v>
      </c>
      <c r="BE100" s="179">
        <f t="shared" si="121"/>
        <v>0</v>
      </c>
      <c r="BF100" s="47">
        <v>0</v>
      </c>
      <c r="BG100" s="179">
        <f t="shared" si="122"/>
        <v>0</v>
      </c>
      <c r="BH100" s="47">
        <v>1</v>
      </c>
      <c r="BI100" s="179">
        <f t="shared" ref="BI100:BI115" si="165">BH100*E100</f>
        <v>1500000</v>
      </c>
      <c r="BJ100" s="47">
        <f t="shared" ref="BJ100:BK115" si="166">Z100+AB100+AD100+AF100+AH100+AJ100+AL100+AN100+AP100+AR100+AT100+AV100+AX100+AZ100+BB100+BD100+BF100+BH100</f>
        <v>1</v>
      </c>
      <c r="BK100" s="117">
        <f t="shared" si="166"/>
        <v>1500000</v>
      </c>
      <c r="BL100" s="335" t="s">
        <v>470</v>
      </c>
      <c r="BN100" s="113"/>
      <c r="BO100" s="113"/>
      <c r="BP100" s="113"/>
      <c r="BQ100" s="113"/>
      <c r="BR100" s="113">
        <f>BN100+BO100+BP100+BQ100</f>
        <v>0</v>
      </c>
      <c r="BS100" s="113"/>
      <c r="BT100" s="113">
        <f>G100</f>
        <v>1500000</v>
      </c>
      <c r="BU100" s="124">
        <f>BS100+BT100</f>
        <v>1500000</v>
      </c>
      <c r="BV100" s="179">
        <f t="shared" si="106"/>
        <v>1500000</v>
      </c>
    </row>
    <row r="101" spans="2:74" x14ac:dyDescent="0.25">
      <c r="B101" s="38">
        <v>41502</v>
      </c>
      <c r="C101" s="38" t="s">
        <v>320</v>
      </c>
      <c r="D101" s="38" t="s">
        <v>17</v>
      </c>
      <c r="E101" s="365">
        <v>20000</v>
      </c>
      <c r="F101" s="38">
        <f t="shared" si="154"/>
        <v>1</v>
      </c>
      <c r="G101" s="437">
        <f t="shared" si="155"/>
        <v>20000</v>
      </c>
      <c r="H101" s="427">
        <f t="shared" ref="H101:H115" si="167">G101*0.5</f>
        <v>10000</v>
      </c>
      <c r="I101" s="427">
        <f t="shared" ref="I101:I115" si="168">G101*0.5</f>
        <v>10000</v>
      </c>
      <c r="J101" s="427">
        <f t="shared" si="156"/>
        <v>0</v>
      </c>
      <c r="K101" s="427">
        <f t="shared" si="157"/>
        <v>0</v>
      </c>
      <c r="L101" s="427">
        <f t="shared" si="158"/>
        <v>0</v>
      </c>
      <c r="M101" s="427">
        <f t="shared" si="159"/>
        <v>0</v>
      </c>
      <c r="N101" s="427">
        <f t="shared" si="160"/>
        <v>0</v>
      </c>
      <c r="O101" s="85">
        <f t="shared" si="161"/>
        <v>0</v>
      </c>
      <c r="P101" s="85">
        <f t="shared" si="162"/>
        <v>0</v>
      </c>
      <c r="Q101" s="85">
        <f t="shared" si="163"/>
        <v>0</v>
      </c>
      <c r="R101" s="47"/>
      <c r="S101" s="47"/>
      <c r="T101" s="47">
        <v>1</v>
      </c>
      <c r="U101" s="47"/>
      <c r="V101" s="179">
        <f t="shared" ref="V101:V115" si="169">R101*E101</f>
        <v>0</v>
      </c>
      <c r="W101" s="179">
        <f t="shared" ref="W101:W115" si="170">S101*E101</f>
        <v>0</v>
      </c>
      <c r="X101" s="179">
        <f t="shared" ref="X101:X115" si="171">T101*E101</f>
        <v>20000</v>
      </c>
      <c r="Y101" s="179">
        <f t="shared" ref="Y101:Y115" si="172">U101*E101</f>
        <v>0</v>
      </c>
      <c r="Z101" s="47">
        <v>0</v>
      </c>
      <c r="AA101" s="179">
        <f t="shared" si="164"/>
        <v>0</v>
      </c>
      <c r="AB101" s="47">
        <v>0</v>
      </c>
      <c r="AC101" s="179">
        <f t="shared" si="107"/>
        <v>0</v>
      </c>
      <c r="AD101" s="47">
        <v>0</v>
      </c>
      <c r="AE101" s="179">
        <f t="shared" si="108"/>
        <v>0</v>
      </c>
      <c r="AF101" s="47">
        <v>0</v>
      </c>
      <c r="AG101" s="179">
        <f t="shared" si="109"/>
        <v>0</v>
      </c>
      <c r="AH101" s="47">
        <v>0</v>
      </c>
      <c r="AI101" s="179">
        <f t="shared" si="110"/>
        <v>0</v>
      </c>
      <c r="AJ101" s="47">
        <v>0</v>
      </c>
      <c r="AK101" s="179">
        <f t="shared" si="111"/>
        <v>0</v>
      </c>
      <c r="AL101" s="47">
        <v>0</v>
      </c>
      <c r="AM101" s="179">
        <f t="shared" si="112"/>
        <v>0</v>
      </c>
      <c r="AN101" s="47">
        <v>0</v>
      </c>
      <c r="AO101" s="179">
        <f t="shared" si="113"/>
        <v>0</v>
      </c>
      <c r="AP101" s="47">
        <v>0</v>
      </c>
      <c r="AQ101" s="179">
        <f t="shared" si="114"/>
        <v>0</v>
      </c>
      <c r="AR101" s="47">
        <v>0</v>
      </c>
      <c r="AS101" s="179">
        <f t="shared" si="115"/>
        <v>0</v>
      </c>
      <c r="AT101" s="47">
        <v>0</v>
      </c>
      <c r="AU101" s="179">
        <f t="shared" si="116"/>
        <v>0</v>
      </c>
      <c r="AV101" s="47">
        <v>0</v>
      </c>
      <c r="AW101" s="179">
        <f t="shared" si="117"/>
        <v>0</v>
      </c>
      <c r="AX101" s="47">
        <v>0</v>
      </c>
      <c r="AY101" s="179">
        <f t="shared" si="118"/>
        <v>0</v>
      </c>
      <c r="AZ101" s="47">
        <v>0</v>
      </c>
      <c r="BA101" s="179">
        <f t="shared" si="119"/>
        <v>0</v>
      </c>
      <c r="BB101" s="47">
        <v>0</v>
      </c>
      <c r="BC101" s="179">
        <f t="shared" si="120"/>
        <v>0</v>
      </c>
      <c r="BD101" s="47">
        <v>0</v>
      </c>
      <c r="BE101" s="179">
        <f t="shared" si="121"/>
        <v>0</v>
      </c>
      <c r="BF101" s="47">
        <v>0</v>
      </c>
      <c r="BG101" s="179">
        <f t="shared" si="122"/>
        <v>0</v>
      </c>
      <c r="BH101" s="47">
        <v>1</v>
      </c>
      <c r="BI101" s="179">
        <f t="shared" si="165"/>
        <v>20000</v>
      </c>
      <c r="BJ101" s="47">
        <f t="shared" si="166"/>
        <v>1</v>
      </c>
      <c r="BK101" s="117">
        <f t="shared" si="166"/>
        <v>20000</v>
      </c>
      <c r="BL101" s="335" t="s">
        <v>470</v>
      </c>
      <c r="BN101" s="113"/>
      <c r="BO101" s="113"/>
      <c r="BP101" s="113"/>
      <c r="BQ101" s="113"/>
      <c r="BR101" s="113">
        <f t="shared" ref="BR101:BR115" si="173">BN101+BO101+BP101+BQ101</f>
        <v>0</v>
      </c>
      <c r="BS101" s="113"/>
      <c r="BT101" s="113">
        <f t="shared" ref="BT101:BT115" si="174">G101</f>
        <v>20000</v>
      </c>
      <c r="BU101" s="124">
        <f t="shared" ref="BU101:BU115" si="175">BS101+BT101</f>
        <v>20000</v>
      </c>
      <c r="BV101" s="179">
        <f t="shared" si="106"/>
        <v>20000</v>
      </c>
    </row>
    <row r="102" spans="2:74" ht="31.5" x14ac:dyDescent="0.25">
      <c r="B102" s="38">
        <v>41503</v>
      </c>
      <c r="C102" s="169" t="s">
        <v>321</v>
      </c>
      <c r="D102" s="169" t="s">
        <v>17</v>
      </c>
      <c r="E102" s="178">
        <v>300000</v>
      </c>
      <c r="F102" s="38">
        <f t="shared" si="154"/>
        <v>1</v>
      </c>
      <c r="G102" s="437">
        <f t="shared" si="155"/>
        <v>300000</v>
      </c>
      <c r="H102" s="427">
        <f t="shared" si="167"/>
        <v>150000</v>
      </c>
      <c r="I102" s="427">
        <f t="shared" si="168"/>
        <v>150000</v>
      </c>
      <c r="J102" s="427">
        <f t="shared" si="156"/>
        <v>0</v>
      </c>
      <c r="K102" s="427">
        <f t="shared" si="157"/>
        <v>0</v>
      </c>
      <c r="L102" s="427">
        <f t="shared" si="158"/>
        <v>0</v>
      </c>
      <c r="M102" s="427">
        <f t="shared" si="159"/>
        <v>0</v>
      </c>
      <c r="N102" s="427">
        <f t="shared" si="160"/>
        <v>0</v>
      </c>
      <c r="O102" s="85">
        <f t="shared" si="161"/>
        <v>0</v>
      </c>
      <c r="P102" s="85">
        <f t="shared" si="162"/>
        <v>0</v>
      </c>
      <c r="Q102" s="85">
        <f t="shared" si="163"/>
        <v>0</v>
      </c>
      <c r="R102" s="47"/>
      <c r="S102" s="47"/>
      <c r="T102" s="47">
        <v>1</v>
      </c>
      <c r="U102" s="47"/>
      <c r="V102" s="179">
        <f t="shared" si="169"/>
        <v>0</v>
      </c>
      <c r="W102" s="179">
        <f t="shared" si="170"/>
        <v>0</v>
      </c>
      <c r="X102" s="179">
        <f t="shared" si="171"/>
        <v>300000</v>
      </c>
      <c r="Y102" s="179">
        <f t="shared" si="172"/>
        <v>0</v>
      </c>
      <c r="Z102" s="47">
        <v>0</v>
      </c>
      <c r="AA102" s="179">
        <f t="shared" si="164"/>
        <v>0</v>
      </c>
      <c r="AB102" s="47">
        <v>0</v>
      </c>
      <c r="AC102" s="179">
        <f t="shared" si="107"/>
        <v>0</v>
      </c>
      <c r="AD102" s="47">
        <v>0</v>
      </c>
      <c r="AE102" s="179">
        <f t="shared" si="108"/>
        <v>0</v>
      </c>
      <c r="AF102" s="47">
        <v>0</v>
      </c>
      <c r="AG102" s="179">
        <f t="shared" si="109"/>
        <v>0</v>
      </c>
      <c r="AH102" s="47">
        <v>0</v>
      </c>
      <c r="AI102" s="179">
        <f t="shared" si="110"/>
        <v>0</v>
      </c>
      <c r="AJ102" s="47">
        <v>0</v>
      </c>
      <c r="AK102" s="179">
        <f t="shared" si="111"/>
        <v>0</v>
      </c>
      <c r="AL102" s="47">
        <v>0</v>
      </c>
      <c r="AM102" s="179">
        <f t="shared" si="112"/>
        <v>0</v>
      </c>
      <c r="AN102" s="47">
        <v>0</v>
      </c>
      <c r="AO102" s="179">
        <f t="shared" si="113"/>
        <v>0</v>
      </c>
      <c r="AP102" s="47">
        <v>0</v>
      </c>
      <c r="AQ102" s="179">
        <f t="shared" si="114"/>
        <v>0</v>
      </c>
      <c r="AR102" s="47">
        <v>0</v>
      </c>
      <c r="AS102" s="179">
        <f t="shared" si="115"/>
        <v>0</v>
      </c>
      <c r="AT102" s="47">
        <v>0</v>
      </c>
      <c r="AU102" s="179">
        <f t="shared" si="116"/>
        <v>0</v>
      </c>
      <c r="AV102" s="47">
        <v>0</v>
      </c>
      <c r="AW102" s="179">
        <f t="shared" si="117"/>
        <v>0</v>
      </c>
      <c r="AX102" s="47">
        <v>0</v>
      </c>
      <c r="AY102" s="179">
        <f t="shared" si="118"/>
        <v>0</v>
      </c>
      <c r="AZ102" s="47">
        <v>0</v>
      </c>
      <c r="BA102" s="179">
        <f t="shared" si="119"/>
        <v>0</v>
      </c>
      <c r="BB102" s="47">
        <v>0</v>
      </c>
      <c r="BC102" s="179">
        <f t="shared" si="120"/>
        <v>0</v>
      </c>
      <c r="BD102" s="47">
        <v>0</v>
      </c>
      <c r="BE102" s="179">
        <f t="shared" si="121"/>
        <v>0</v>
      </c>
      <c r="BF102" s="47">
        <v>0</v>
      </c>
      <c r="BG102" s="179">
        <f t="shared" si="122"/>
        <v>0</v>
      </c>
      <c r="BH102" s="47">
        <v>1</v>
      </c>
      <c r="BI102" s="179">
        <f t="shared" si="165"/>
        <v>300000</v>
      </c>
      <c r="BJ102" s="47">
        <f t="shared" si="166"/>
        <v>1</v>
      </c>
      <c r="BK102" s="117">
        <f t="shared" si="166"/>
        <v>300000</v>
      </c>
      <c r="BL102" s="335" t="s">
        <v>470</v>
      </c>
      <c r="BN102" s="113"/>
      <c r="BO102" s="113"/>
      <c r="BP102" s="113"/>
      <c r="BQ102" s="113"/>
      <c r="BR102" s="113">
        <f t="shared" si="173"/>
        <v>0</v>
      </c>
      <c r="BS102" s="113"/>
      <c r="BT102" s="113">
        <f t="shared" si="174"/>
        <v>300000</v>
      </c>
      <c r="BU102" s="124">
        <f t="shared" si="175"/>
        <v>300000</v>
      </c>
      <c r="BV102" s="179">
        <f t="shared" si="106"/>
        <v>300000</v>
      </c>
    </row>
    <row r="103" spans="2:74" ht="31.5" x14ac:dyDescent="0.25">
      <c r="B103" s="38">
        <v>41504</v>
      </c>
      <c r="C103" s="38" t="s">
        <v>322</v>
      </c>
      <c r="D103" s="38" t="s">
        <v>73</v>
      </c>
      <c r="E103" s="365"/>
      <c r="F103" s="38">
        <f t="shared" si="154"/>
        <v>0</v>
      </c>
      <c r="G103" s="437">
        <f t="shared" si="155"/>
        <v>0</v>
      </c>
      <c r="H103" s="427">
        <f t="shared" si="167"/>
        <v>0</v>
      </c>
      <c r="I103" s="427">
        <f t="shared" si="168"/>
        <v>0</v>
      </c>
      <c r="J103" s="427">
        <f t="shared" si="156"/>
        <v>0</v>
      </c>
      <c r="K103" s="427">
        <f t="shared" si="157"/>
        <v>0</v>
      </c>
      <c r="L103" s="427">
        <f t="shared" si="158"/>
        <v>0</v>
      </c>
      <c r="M103" s="427">
        <f t="shared" si="159"/>
        <v>0</v>
      </c>
      <c r="N103" s="427">
        <f t="shared" si="160"/>
        <v>0</v>
      </c>
      <c r="O103" s="85">
        <f t="shared" si="161"/>
        <v>0</v>
      </c>
      <c r="P103" s="85">
        <f t="shared" si="162"/>
        <v>0</v>
      </c>
      <c r="Q103" s="85">
        <f t="shared" si="163"/>
        <v>0</v>
      </c>
      <c r="R103" s="47"/>
      <c r="S103" s="47"/>
      <c r="T103" s="47"/>
      <c r="U103" s="47"/>
      <c r="V103" s="179">
        <f t="shared" si="169"/>
        <v>0</v>
      </c>
      <c r="W103" s="179">
        <f t="shared" si="170"/>
        <v>0</v>
      </c>
      <c r="X103" s="179">
        <f t="shared" si="171"/>
        <v>0</v>
      </c>
      <c r="Y103" s="179">
        <f t="shared" si="172"/>
        <v>0</v>
      </c>
      <c r="Z103" s="47">
        <v>0</v>
      </c>
      <c r="AA103" s="179">
        <f t="shared" si="164"/>
        <v>0</v>
      </c>
      <c r="AB103" s="47">
        <v>0</v>
      </c>
      <c r="AC103" s="179">
        <f t="shared" si="107"/>
        <v>0</v>
      </c>
      <c r="AD103" s="47">
        <v>0</v>
      </c>
      <c r="AE103" s="179">
        <f t="shared" si="108"/>
        <v>0</v>
      </c>
      <c r="AF103" s="47">
        <v>0</v>
      </c>
      <c r="AG103" s="179">
        <f t="shared" si="109"/>
        <v>0</v>
      </c>
      <c r="AH103" s="47">
        <v>0</v>
      </c>
      <c r="AI103" s="179">
        <f t="shared" si="110"/>
        <v>0</v>
      </c>
      <c r="AJ103" s="47">
        <v>0</v>
      </c>
      <c r="AK103" s="179">
        <f t="shared" si="111"/>
        <v>0</v>
      </c>
      <c r="AL103" s="47">
        <v>0</v>
      </c>
      <c r="AM103" s="179">
        <f t="shared" si="112"/>
        <v>0</v>
      </c>
      <c r="AN103" s="47">
        <v>0</v>
      </c>
      <c r="AO103" s="179">
        <f t="shared" si="113"/>
        <v>0</v>
      </c>
      <c r="AP103" s="47">
        <v>0</v>
      </c>
      <c r="AQ103" s="179">
        <f t="shared" si="114"/>
        <v>0</v>
      </c>
      <c r="AR103" s="47">
        <v>0</v>
      </c>
      <c r="AS103" s="179">
        <f t="shared" si="115"/>
        <v>0</v>
      </c>
      <c r="AT103" s="47">
        <v>0</v>
      </c>
      <c r="AU103" s="179">
        <f t="shared" si="116"/>
        <v>0</v>
      </c>
      <c r="AV103" s="47">
        <v>0</v>
      </c>
      <c r="AW103" s="179">
        <f t="shared" si="117"/>
        <v>0</v>
      </c>
      <c r="AX103" s="47">
        <v>0</v>
      </c>
      <c r="AY103" s="179">
        <f t="shared" si="118"/>
        <v>0</v>
      </c>
      <c r="AZ103" s="47">
        <v>0</v>
      </c>
      <c r="BA103" s="179">
        <f t="shared" si="119"/>
        <v>0</v>
      </c>
      <c r="BB103" s="47">
        <v>0</v>
      </c>
      <c r="BC103" s="179">
        <f t="shared" si="120"/>
        <v>0</v>
      </c>
      <c r="BD103" s="47">
        <v>0</v>
      </c>
      <c r="BE103" s="179">
        <f t="shared" si="121"/>
        <v>0</v>
      </c>
      <c r="BF103" s="47">
        <v>0</v>
      </c>
      <c r="BG103" s="179">
        <f t="shared" si="122"/>
        <v>0</v>
      </c>
      <c r="BH103" s="47">
        <v>0</v>
      </c>
      <c r="BI103" s="179">
        <f t="shared" si="165"/>
        <v>0</v>
      </c>
      <c r="BJ103" s="47">
        <f t="shared" si="166"/>
        <v>0</v>
      </c>
      <c r="BK103" s="117">
        <f t="shared" si="166"/>
        <v>0</v>
      </c>
      <c r="BL103" s="335" t="s">
        <v>470</v>
      </c>
      <c r="BN103" s="113"/>
      <c r="BO103" s="113"/>
      <c r="BP103" s="113"/>
      <c r="BQ103" s="113"/>
      <c r="BR103" s="113">
        <f t="shared" si="173"/>
        <v>0</v>
      </c>
      <c r="BS103" s="113"/>
      <c r="BT103" s="113">
        <f t="shared" si="174"/>
        <v>0</v>
      </c>
      <c r="BU103" s="124">
        <f t="shared" si="175"/>
        <v>0</v>
      </c>
      <c r="BV103" s="179">
        <f t="shared" si="106"/>
        <v>0</v>
      </c>
    </row>
    <row r="104" spans="2:74" x14ac:dyDescent="0.25">
      <c r="B104" s="38">
        <v>41505</v>
      </c>
      <c r="C104" s="38" t="s">
        <v>323</v>
      </c>
      <c r="D104" s="38" t="s">
        <v>73</v>
      </c>
      <c r="E104" s="365">
        <v>1500</v>
      </c>
      <c r="F104" s="38">
        <f t="shared" si="154"/>
        <v>12</v>
      </c>
      <c r="G104" s="437">
        <f t="shared" si="155"/>
        <v>18000</v>
      </c>
      <c r="H104" s="427">
        <f t="shared" si="167"/>
        <v>9000</v>
      </c>
      <c r="I104" s="427">
        <f t="shared" si="168"/>
        <v>9000</v>
      </c>
      <c r="J104" s="427">
        <f t="shared" si="156"/>
        <v>0</v>
      </c>
      <c r="K104" s="427">
        <f t="shared" si="157"/>
        <v>0</v>
      </c>
      <c r="L104" s="427">
        <f t="shared" si="158"/>
        <v>0</v>
      </c>
      <c r="M104" s="427">
        <f t="shared" si="159"/>
        <v>0</v>
      </c>
      <c r="N104" s="427">
        <f t="shared" si="160"/>
        <v>0</v>
      </c>
      <c r="O104" s="85">
        <f t="shared" si="161"/>
        <v>0</v>
      </c>
      <c r="P104" s="85">
        <f t="shared" si="162"/>
        <v>0</v>
      </c>
      <c r="Q104" s="85">
        <f t="shared" si="163"/>
        <v>0</v>
      </c>
      <c r="R104" s="47">
        <v>3</v>
      </c>
      <c r="S104" s="47">
        <v>3</v>
      </c>
      <c r="T104" s="47">
        <v>3</v>
      </c>
      <c r="U104" s="47">
        <v>3</v>
      </c>
      <c r="V104" s="179">
        <f t="shared" si="169"/>
        <v>4500</v>
      </c>
      <c r="W104" s="179">
        <f t="shared" si="170"/>
        <v>4500</v>
      </c>
      <c r="X104" s="179">
        <f t="shared" si="171"/>
        <v>4500</v>
      </c>
      <c r="Y104" s="179">
        <f t="shared" si="172"/>
        <v>4500</v>
      </c>
      <c r="Z104" s="47">
        <v>0</v>
      </c>
      <c r="AA104" s="179">
        <f t="shared" si="164"/>
        <v>0</v>
      </c>
      <c r="AB104" s="47">
        <v>0</v>
      </c>
      <c r="AC104" s="179">
        <f t="shared" si="107"/>
        <v>0</v>
      </c>
      <c r="AD104" s="47">
        <v>0</v>
      </c>
      <c r="AE104" s="179">
        <f t="shared" si="108"/>
        <v>0</v>
      </c>
      <c r="AF104" s="47">
        <v>0</v>
      </c>
      <c r="AG104" s="179">
        <f t="shared" si="109"/>
        <v>0</v>
      </c>
      <c r="AH104" s="47">
        <v>0</v>
      </c>
      <c r="AI104" s="179">
        <f t="shared" si="110"/>
        <v>0</v>
      </c>
      <c r="AJ104" s="47">
        <v>0</v>
      </c>
      <c r="AK104" s="179">
        <f t="shared" si="111"/>
        <v>0</v>
      </c>
      <c r="AL104" s="47">
        <v>0</v>
      </c>
      <c r="AM104" s="179">
        <f t="shared" si="112"/>
        <v>0</v>
      </c>
      <c r="AN104" s="47">
        <v>0</v>
      </c>
      <c r="AO104" s="179">
        <f t="shared" si="113"/>
        <v>0</v>
      </c>
      <c r="AP104" s="47">
        <v>0</v>
      </c>
      <c r="AQ104" s="179">
        <f t="shared" si="114"/>
        <v>0</v>
      </c>
      <c r="AR104" s="47">
        <v>0</v>
      </c>
      <c r="AS104" s="179">
        <f t="shared" si="115"/>
        <v>0</v>
      </c>
      <c r="AT104" s="47">
        <v>0</v>
      </c>
      <c r="AU104" s="179">
        <f t="shared" si="116"/>
        <v>0</v>
      </c>
      <c r="AV104" s="47">
        <v>0</v>
      </c>
      <c r="AW104" s="179">
        <f t="shared" si="117"/>
        <v>0</v>
      </c>
      <c r="AX104" s="47">
        <v>0</v>
      </c>
      <c r="AY104" s="179">
        <f t="shared" si="118"/>
        <v>0</v>
      </c>
      <c r="AZ104" s="47">
        <v>0</v>
      </c>
      <c r="BA104" s="179">
        <f t="shared" si="119"/>
        <v>0</v>
      </c>
      <c r="BB104" s="47">
        <v>0</v>
      </c>
      <c r="BC104" s="179">
        <f t="shared" si="120"/>
        <v>0</v>
      </c>
      <c r="BD104" s="47">
        <v>0</v>
      </c>
      <c r="BE104" s="179">
        <f t="shared" si="121"/>
        <v>0</v>
      </c>
      <c r="BF104" s="47">
        <v>0</v>
      </c>
      <c r="BG104" s="179">
        <f t="shared" si="122"/>
        <v>0</v>
      </c>
      <c r="BH104" s="47">
        <v>12</v>
      </c>
      <c r="BI104" s="179">
        <f t="shared" si="165"/>
        <v>18000</v>
      </c>
      <c r="BJ104" s="47">
        <f t="shared" si="166"/>
        <v>12</v>
      </c>
      <c r="BK104" s="117">
        <f t="shared" si="166"/>
        <v>18000</v>
      </c>
      <c r="BL104" s="335" t="s">
        <v>470</v>
      </c>
      <c r="BN104" s="113"/>
      <c r="BO104" s="113"/>
      <c r="BP104" s="113"/>
      <c r="BQ104" s="113"/>
      <c r="BR104" s="113">
        <f t="shared" si="173"/>
        <v>0</v>
      </c>
      <c r="BS104" s="113"/>
      <c r="BT104" s="113">
        <f t="shared" si="174"/>
        <v>18000</v>
      </c>
      <c r="BU104" s="124">
        <f t="shared" si="175"/>
        <v>18000</v>
      </c>
      <c r="BV104" s="179">
        <f t="shared" si="106"/>
        <v>18000</v>
      </c>
    </row>
    <row r="105" spans="2:74" x14ac:dyDescent="0.25">
      <c r="B105" s="38">
        <v>41506</v>
      </c>
      <c r="C105" s="38" t="s">
        <v>324</v>
      </c>
      <c r="D105" s="38" t="s">
        <v>73</v>
      </c>
      <c r="E105" s="365">
        <v>7250</v>
      </c>
      <c r="F105" s="38">
        <f t="shared" si="154"/>
        <v>12</v>
      </c>
      <c r="G105" s="437">
        <f t="shared" si="155"/>
        <v>87000</v>
      </c>
      <c r="H105" s="427">
        <f t="shared" si="167"/>
        <v>43500</v>
      </c>
      <c r="I105" s="427">
        <f t="shared" si="168"/>
        <v>43500</v>
      </c>
      <c r="J105" s="427">
        <f t="shared" si="156"/>
        <v>0</v>
      </c>
      <c r="K105" s="427">
        <f t="shared" si="157"/>
        <v>0</v>
      </c>
      <c r="L105" s="427">
        <f t="shared" si="158"/>
        <v>0</v>
      </c>
      <c r="M105" s="427">
        <f t="shared" si="159"/>
        <v>0</v>
      </c>
      <c r="N105" s="427">
        <f t="shared" si="160"/>
        <v>0</v>
      </c>
      <c r="O105" s="85">
        <f t="shared" si="161"/>
        <v>0</v>
      </c>
      <c r="P105" s="85">
        <f t="shared" si="162"/>
        <v>0</v>
      </c>
      <c r="Q105" s="85">
        <f t="shared" si="163"/>
        <v>0</v>
      </c>
      <c r="R105" s="47">
        <v>3</v>
      </c>
      <c r="S105" s="47">
        <v>3</v>
      </c>
      <c r="T105" s="47">
        <v>3</v>
      </c>
      <c r="U105" s="47">
        <v>3</v>
      </c>
      <c r="V105" s="179">
        <f t="shared" si="169"/>
        <v>21750</v>
      </c>
      <c r="W105" s="179">
        <f t="shared" si="170"/>
        <v>21750</v>
      </c>
      <c r="X105" s="179">
        <f t="shared" si="171"/>
        <v>21750</v>
      </c>
      <c r="Y105" s="179">
        <f t="shared" si="172"/>
        <v>21750</v>
      </c>
      <c r="Z105" s="47">
        <v>0</v>
      </c>
      <c r="AA105" s="179">
        <f t="shared" si="164"/>
        <v>0</v>
      </c>
      <c r="AB105" s="47">
        <v>0</v>
      </c>
      <c r="AC105" s="179">
        <f t="shared" si="107"/>
        <v>0</v>
      </c>
      <c r="AD105" s="47">
        <v>0</v>
      </c>
      <c r="AE105" s="179">
        <f t="shared" si="108"/>
        <v>0</v>
      </c>
      <c r="AF105" s="47">
        <v>0</v>
      </c>
      <c r="AG105" s="179">
        <f t="shared" si="109"/>
        <v>0</v>
      </c>
      <c r="AH105" s="47">
        <v>0</v>
      </c>
      <c r="AI105" s="179">
        <f t="shared" si="110"/>
        <v>0</v>
      </c>
      <c r="AJ105" s="47">
        <v>0</v>
      </c>
      <c r="AK105" s="179">
        <f t="shared" si="111"/>
        <v>0</v>
      </c>
      <c r="AL105" s="47">
        <v>0</v>
      </c>
      <c r="AM105" s="179">
        <f t="shared" si="112"/>
        <v>0</v>
      </c>
      <c r="AN105" s="47">
        <v>0</v>
      </c>
      <c r="AO105" s="179">
        <f t="shared" si="113"/>
        <v>0</v>
      </c>
      <c r="AP105" s="47">
        <v>0</v>
      </c>
      <c r="AQ105" s="179">
        <f t="shared" si="114"/>
        <v>0</v>
      </c>
      <c r="AR105" s="47">
        <v>0</v>
      </c>
      <c r="AS105" s="179">
        <f t="shared" si="115"/>
        <v>0</v>
      </c>
      <c r="AT105" s="47">
        <v>0</v>
      </c>
      <c r="AU105" s="179">
        <f t="shared" si="116"/>
        <v>0</v>
      </c>
      <c r="AV105" s="47">
        <v>0</v>
      </c>
      <c r="AW105" s="179">
        <f t="shared" si="117"/>
        <v>0</v>
      </c>
      <c r="AX105" s="47">
        <v>0</v>
      </c>
      <c r="AY105" s="179">
        <f t="shared" si="118"/>
        <v>0</v>
      </c>
      <c r="AZ105" s="47">
        <v>0</v>
      </c>
      <c r="BA105" s="179">
        <f t="shared" si="119"/>
        <v>0</v>
      </c>
      <c r="BB105" s="47">
        <v>0</v>
      </c>
      <c r="BC105" s="179">
        <f t="shared" si="120"/>
        <v>0</v>
      </c>
      <c r="BD105" s="47">
        <v>0</v>
      </c>
      <c r="BE105" s="179">
        <f t="shared" si="121"/>
        <v>0</v>
      </c>
      <c r="BF105" s="47">
        <v>0</v>
      </c>
      <c r="BG105" s="179">
        <f t="shared" si="122"/>
        <v>0</v>
      </c>
      <c r="BH105" s="47">
        <v>12</v>
      </c>
      <c r="BI105" s="179">
        <f t="shared" si="165"/>
        <v>87000</v>
      </c>
      <c r="BJ105" s="47">
        <f t="shared" si="166"/>
        <v>12</v>
      </c>
      <c r="BK105" s="117">
        <f t="shared" si="166"/>
        <v>87000</v>
      </c>
      <c r="BL105" s="335" t="s">
        <v>470</v>
      </c>
      <c r="BN105" s="113"/>
      <c r="BO105" s="113"/>
      <c r="BP105" s="113"/>
      <c r="BQ105" s="113"/>
      <c r="BR105" s="113">
        <f t="shared" si="173"/>
        <v>0</v>
      </c>
      <c r="BS105" s="113"/>
      <c r="BT105" s="113">
        <f t="shared" si="174"/>
        <v>87000</v>
      </c>
      <c r="BU105" s="124">
        <f t="shared" si="175"/>
        <v>87000</v>
      </c>
      <c r="BV105" s="179">
        <f t="shared" si="106"/>
        <v>87000</v>
      </c>
    </row>
    <row r="106" spans="2:74" x14ac:dyDescent="0.25">
      <c r="B106" s="38">
        <v>41507</v>
      </c>
      <c r="C106" s="38" t="s">
        <v>325</v>
      </c>
      <c r="D106" s="38" t="s">
        <v>73</v>
      </c>
      <c r="E106" s="365">
        <v>50000</v>
      </c>
      <c r="F106" s="38">
        <f t="shared" si="154"/>
        <v>12</v>
      </c>
      <c r="G106" s="437">
        <f t="shared" si="155"/>
        <v>600000</v>
      </c>
      <c r="H106" s="427">
        <f t="shared" si="167"/>
        <v>300000</v>
      </c>
      <c r="I106" s="427">
        <f t="shared" si="168"/>
        <v>300000</v>
      </c>
      <c r="J106" s="427">
        <f t="shared" si="156"/>
        <v>0</v>
      </c>
      <c r="K106" s="427">
        <f t="shared" si="157"/>
        <v>0</v>
      </c>
      <c r="L106" s="427">
        <f t="shared" si="158"/>
        <v>0</v>
      </c>
      <c r="M106" s="427">
        <f t="shared" si="159"/>
        <v>0</v>
      </c>
      <c r="N106" s="427">
        <f t="shared" si="160"/>
        <v>0</v>
      </c>
      <c r="O106" s="85">
        <f t="shared" si="161"/>
        <v>0</v>
      </c>
      <c r="P106" s="85">
        <f t="shared" si="162"/>
        <v>0</v>
      </c>
      <c r="Q106" s="85">
        <f t="shared" si="163"/>
        <v>0</v>
      </c>
      <c r="R106" s="47">
        <v>3</v>
      </c>
      <c r="S106" s="47">
        <v>3</v>
      </c>
      <c r="T106" s="47">
        <v>3</v>
      </c>
      <c r="U106" s="47">
        <v>3</v>
      </c>
      <c r="V106" s="179">
        <f t="shared" si="169"/>
        <v>150000</v>
      </c>
      <c r="W106" s="179">
        <f t="shared" si="170"/>
        <v>150000</v>
      </c>
      <c r="X106" s="179">
        <f t="shared" si="171"/>
        <v>150000</v>
      </c>
      <c r="Y106" s="179">
        <f t="shared" si="172"/>
        <v>150000</v>
      </c>
      <c r="Z106" s="47">
        <v>0</v>
      </c>
      <c r="AA106" s="179">
        <f t="shared" si="164"/>
        <v>0</v>
      </c>
      <c r="AB106" s="47">
        <v>0</v>
      </c>
      <c r="AC106" s="179">
        <f t="shared" si="107"/>
        <v>0</v>
      </c>
      <c r="AD106" s="47">
        <v>0</v>
      </c>
      <c r="AE106" s="179">
        <f t="shared" si="108"/>
        <v>0</v>
      </c>
      <c r="AF106" s="47">
        <v>0</v>
      </c>
      <c r="AG106" s="179">
        <f t="shared" si="109"/>
        <v>0</v>
      </c>
      <c r="AH106" s="47">
        <v>0</v>
      </c>
      <c r="AI106" s="179">
        <f t="shared" si="110"/>
        <v>0</v>
      </c>
      <c r="AJ106" s="47">
        <v>0</v>
      </c>
      <c r="AK106" s="179">
        <f t="shared" si="111"/>
        <v>0</v>
      </c>
      <c r="AL106" s="47">
        <v>0</v>
      </c>
      <c r="AM106" s="179">
        <f t="shared" si="112"/>
        <v>0</v>
      </c>
      <c r="AN106" s="47">
        <v>0</v>
      </c>
      <c r="AO106" s="179">
        <f t="shared" si="113"/>
        <v>0</v>
      </c>
      <c r="AP106" s="47">
        <v>0</v>
      </c>
      <c r="AQ106" s="179">
        <f t="shared" si="114"/>
        <v>0</v>
      </c>
      <c r="AR106" s="47">
        <v>0</v>
      </c>
      <c r="AS106" s="179">
        <f t="shared" si="115"/>
        <v>0</v>
      </c>
      <c r="AT106" s="47">
        <v>0</v>
      </c>
      <c r="AU106" s="179">
        <f t="shared" si="116"/>
        <v>0</v>
      </c>
      <c r="AV106" s="47">
        <v>0</v>
      </c>
      <c r="AW106" s="179">
        <f t="shared" si="117"/>
        <v>0</v>
      </c>
      <c r="AX106" s="47">
        <v>0</v>
      </c>
      <c r="AY106" s="179">
        <f t="shared" si="118"/>
        <v>0</v>
      </c>
      <c r="AZ106" s="47">
        <v>0</v>
      </c>
      <c r="BA106" s="179">
        <f t="shared" si="119"/>
        <v>0</v>
      </c>
      <c r="BB106" s="47">
        <v>0</v>
      </c>
      <c r="BC106" s="179">
        <f t="shared" si="120"/>
        <v>0</v>
      </c>
      <c r="BD106" s="47">
        <v>0</v>
      </c>
      <c r="BE106" s="179">
        <f t="shared" si="121"/>
        <v>0</v>
      </c>
      <c r="BF106" s="47">
        <v>0</v>
      </c>
      <c r="BG106" s="179">
        <f t="shared" si="122"/>
        <v>0</v>
      </c>
      <c r="BH106" s="47">
        <v>12</v>
      </c>
      <c r="BI106" s="179">
        <f t="shared" si="165"/>
        <v>600000</v>
      </c>
      <c r="BJ106" s="47">
        <f t="shared" si="166"/>
        <v>12</v>
      </c>
      <c r="BK106" s="117">
        <f t="shared" si="166"/>
        <v>600000</v>
      </c>
      <c r="BL106" s="335" t="s">
        <v>470</v>
      </c>
      <c r="BN106" s="113"/>
      <c r="BO106" s="113"/>
      <c r="BP106" s="113"/>
      <c r="BQ106" s="113"/>
      <c r="BR106" s="113">
        <f t="shared" si="173"/>
        <v>0</v>
      </c>
      <c r="BS106" s="113"/>
      <c r="BT106" s="113">
        <f t="shared" si="174"/>
        <v>600000</v>
      </c>
      <c r="BU106" s="124">
        <f t="shared" si="175"/>
        <v>600000</v>
      </c>
      <c r="BV106" s="179">
        <f t="shared" si="106"/>
        <v>600000</v>
      </c>
    </row>
    <row r="107" spans="2:74" ht="47.25" x14ac:dyDescent="0.25">
      <c r="B107" s="38">
        <v>41508</v>
      </c>
      <c r="C107" s="38" t="s">
        <v>768</v>
      </c>
      <c r="D107" s="38" t="s">
        <v>73</v>
      </c>
      <c r="E107" s="365">
        <v>40000</v>
      </c>
      <c r="F107" s="38">
        <f t="shared" si="154"/>
        <v>12</v>
      </c>
      <c r="G107" s="437">
        <f t="shared" si="155"/>
        <v>480000</v>
      </c>
      <c r="H107" s="427">
        <f t="shared" si="167"/>
        <v>240000</v>
      </c>
      <c r="I107" s="427">
        <f t="shared" si="168"/>
        <v>240000</v>
      </c>
      <c r="J107" s="427">
        <f t="shared" si="156"/>
        <v>0</v>
      </c>
      <c r="K107" s="427">
        <f t="shared" si="157"/>
        <v>0</v>
      </c>
      <c r="L107" s="427">
        <f t="shared" si="158"/>
        <v>0</v>
      </c>
      <c r="M107" s="427">
        <f t="shared" si="159"/>
        <v>0</v>
      </c>
      <c r="N107" s="427">
        <f t="shared" si="160"/>
        <v>0</v>
      </c>
      <c r="O107" s="85">
        <f t="shared" si="161"/>
        <v>0</v>
      </c>
      <c r="P107" s="85">
        <f t="shared" si="162"/>
        <v>0</v>
      </c>
      <c r="Q107" s="85">
        <f t="shared" si="163"/>
        <v>0</v>
      </c>
      <c r="R107" s="47">
        <v>3</v>
      </c>
      <c r="S107" s="47">
        <v>3</v>
      </c>
      <c r="T107" s="47">
        <v>3</v>
      </c>
      <c r="U107" s="47">
        <v>3</v>
      </c>
      <c r="V107" s="179">
        <f t="shared" si="169"/>
        <v>120000</v>
      </c>
      <c r="W107" s="179">
        <f t="shared" si="170"/>
        <v>120000</v>
      </c>
      <c r="X107" s="179">
        <f t="shared" si="171"/>
        <v>120000</v>
      </c>
      <c r="Y107" s="179">
        <f t="shared" si="172"/>
        <v>120000</v>
      </c>
      <c r="Z107" s="47">
        <v>0</v>
      </c>
      <c r="AA107" s="179">
        <f t="shared" si="164"/>
        <v>0</v>
      </c>
      <c r="AB107" s="47">
        <v>0</v>
      </c>
      <c r="AC107" s="179">
        <f t="shared" si="107"/>
        <v>0</v>
      </c>
      <c r="AD107" s="47">
        <v>0</v>
      </c>
      <c r="AE107" s="179">
        <f t="shared" si="108"/>
        <v>0</v>
      </c>
      <c r="AF107" s="47">
        <v>0</v>
      </c>
      <c r="AG107" s="179">
        <f t="shared" si="109"/>
        <v>0</v>
      </c>
      <c r="AH107" s="47">
        <v>0</v>
      </c>
      <c r="AI107" s="179">
        <f t="shared" si="110"/>
        <v>0</v>
      </c>
      <c r="AJ107" s="47">
        <v>0</v>
      </c>
      <c r="AK107" s="179">
        <f t="shared" si="111"/>
        <v>0</v>
      </c>
      <c r="AL107" s="47">
        <v>0</v>
      </c>
      <c r="AM107" s="179">
        <f t="shared" si="112"/>
        <v>0</v>
      </c>
      <c r="AN107" s="47">
        <v>0</v>
      </c>
      <c r="AO107" s="179">
        <f t="shared" si="113"/>
        <v>0</v>
      </c>
      <c r="AP107" s="47">
        <v>0</v>
      </c>
      <c r="AQ107" s="179">
        <f t="shared" si="114"/>
        <v>0</v>
      </c>
      <c r="AR107" s="47">
        <v>0</v>
      </c>
      <c r="AS107" s="179">
        <f t="shared" si="115"/>
        <v>0</v>
      </c>
      <c r="AT107" s="47">
        <v>0</v>
      </c>
      <c r="AU107" s="179">
        <f t="shared" si="116"/>
        <v>0</v>
      </c>
      <c r="AV107" s="47">
        <v>0</v>
      </c>
      <c r="AW107" s="179">
        <f t="shared" si="117"/>
        <v>0</v>
      </c>
      <c r="AX107" s="47">
        <v>0</v>
      </c>
      <c r="AY107" s="179">
        <f t="shared" si="118"/>
        <v>0</v>
      </c>
      <c r="AZ107" s="47">
        <v>0</v>
      </c>
      <c r="BA107" s="179">
        <f t="shared" si="119"/>
        <v>0</v>
      </c>
      <c r="BB107" s="47">
        <v>0</v>
      </c>
      <c r="BC107" s="179">
        <f t="shared" si="120"/>
        <v>0</v>
      </c>
      <c r="BD107" s="47">
        <v>0</v>
      </c>
      <c r="BE107" s="179">
        <f t="shared" si="121"/>
        <v>0</v>
      </c>
      <c r="BF107" s="47">
        <v>0</v>
      </c>
      <c r="BG107" s="179">
        <f t="shared" si="122"/>
        <v>0</v>
      </c>
      <c r="BH107" s="47">
        <v>12</v>
      </c>
      <c r="BI107" s="179">
        <f t="shared" si="165"/>
        <v>480000</v>
      </c>
      <c r="BJ107" s="47">
        <f t="shared" si="166"/>
        <v>12</v>
      </c>
      <c r="BK107" s="117">
        <f t="shared" si="166"/>
        <v>480000</v>
      </c>
      <c r="BL107" s="335" t="s">
        <v>470</v>
      </c>
      <c r="BN107" s="113"/>
      <c r="BO107" s="113"/>
      <c r="BP107" s="113"/>
      <c r="BQ107" s="113"/>
      <c r="BR107" s="113">
        <f t="shared" si="173"/>
        <v>0</v>
      </c>
      <c r="BS107" s="113"/>
      <c r="BT107" s="113">
        <f t="shared" si="174"/>
        <v>480000</v>
      </c>
      <c r="BU107" s="124">
        <f t="shared" si="175"/>
        <v>480000</v>
      </c>
      <c r="BV107" s="179">
        <f t="shared" si="106"/>
        <v>480000</v>
      </c>
    </row>
    <row r="108" spans="2:74" x14ac:dyDescent="0.25">
      <c r="B108" s="38">
        <v>41509</v>
      </c>
      <c r="C108" s="38" t="s">
        <v>327</v>
      </c>
      <c r="D108" s="38" t="s">
        <v>17</v>
      </c>
      <c r="E108" s="365">
        <f>0.095*100000</f>
        <v>9500</v>
      </c>
      <c r="F108" s="38">
        <f t="shared" si="154"/>
        <v>2</v>
      </c>
      <c r="G108" s="437">
        <f t="shared" si="155"/>
        <v>19000</v>
      </c>
      <c r="H108" s="427">
        <f t="shared" si="167"/>
        <v>9500</v>
      </c>
      <c r="I108" s="427">
        <f t="shared" si="168"/>
        <v>9500</v>
      </c>
      <c r="J108" s="427">
        <f t="shared" si="156"/>
        <v>0</v>
      </c>
      <c r="K108" s="427">
        <f t="shared" si="157"/>
        <v>0</v>
      </c>
      <c r="L108" s="427">
        <f t="shared" si="158"/>
        <v>0</v>
      </c>
      <c r="M108" s="427">
        <f t="shared" si="159"/>
        <v>0</v>
      </c>
      <c r="N108" s="427">
        <f t="shared" si="160"/>
        <v>0</v>
      </c>
      <c r="O108" s="85">
        <f t="shared" si="161"/>
        <v>0</v>
      </c>
      <c r="P108" s="85">
        <f t="shared" si="162"/>
        <v>0</v>
      </c>
      <c r="Q108" s="85">
        <f t="shared" si="163"/>
        <v>0</v>
      </c>
      <c r="R108" s="47"/>
      <c r="S108" s="47">
        <v>2</v>
      </c>
      <c r="T108" s="47"/>
      <c r="U108" s="47"/>
      <c r="V108" s="179">
        <f t="shared" si="169"/>
        <v>0</v>
      </c>
      <c r="W108" s="179">
        <f t="shared" si="170"/>
        <v>19000</v>
      </c>
      <c r="X108" s="179">
        <f t="shared" si="171"/>
        <v>0</v>
      </c>
      <c r="Y108" s="179">
        <f t="shared" si="172"/>
        <v>0</v>
      </c>
      <c r="Z108" s="47">
        <v>0</v>
      </c>
      <c r="AA108" s="179">
        <f t="shared" si="164"/>
        <v>0</v>
      </c>
      <c r="AB108" s="47">
        <v>0</v>
      </c>
      <c r="AC108" s="179">
        <f t="shared" si="107"/>
        <v>0</v>
      </c>
      <c r="AD108" s="47">
        <v>0</v>
      </c>
      <c r="AE108" s="179">
        <f t="shared" si="108"/>
        <v>0</v>
      </c>
      <c r="AF108" s="47">
        <v>0</v>
      </c>
      <c r="AG108" s="179">
        <f t="shared" si="109"/>
        <v>0</v>
      </c>
      <c r="AH108" s="47">
        <v>0</v>
      </c>
      <c r="AI108" s="179">
        <f t="shared" si="110"/>
        <v>0</v>
      </c>
      <c r="AJ108" s="47">
        <v>0</v>
      </c>
      <c r="AK108" s="179">
        <f t="shared" si="111"/>
        <v>0</v>
      </c>
      <c r="AL108" s="47">
        <v>0</v>
      </c>
      <c r="AM108" s="179">
        <f t="shared" si="112"/>
        <v>0</v>
      </c>
      <c r="AN108" s="47">
        <v>0</v>
      </c>
      <c r="AO108" s="179">
        <f t="shared" si="113"/>
        <v>0</v>
      </c>
      <c r="AP108" s="47">
        <v>0</v>
      </c>
      <c r="AQ108" s="179">
        <f t="shared" si="114"/>
        <v>0</v>
      </c>
      <c r="AR108" s="47">
        <v>0</v>
      </c>
      <c r="AS108" s="179">
        <f t="shared" si="115"/>
        <v>0</v>
      </c>
      <c r="AT108" s="47">
        <v>0</v>
      </c>
      <c r="AU108" s="179">
        <f t="shared" si="116"/>
        <v>0</v>
      </c>
      <c r="AV108" s="47">
        <v>0</v>
      </c>
      <c r="AW108" s="179">
        <f t="shared" si="117"/>
        <v>0</v>
      </c>
      <c r="AX108" s="47">
        <v>0</v>
      </c>
      <c r="AY108" s="179">
        <f t="shared" si="118"/>
        <v>0</v>
      </c>
      <c r="AZ108" s="47">
        <v>0</v>
      </c>
      <c r="BA108" s="179">
        <f t="shared" si="119"/>
        <v>0</v>
      </c>
      <c r="BB108" s="47">
        <v>0</v>
      </c>
      <c r="BC108" s="179">
        <f t="shared" si="120"/>
        <v>0</v>
      </c>
      <c r="BD108" s="47">
        <v>0</v>
      </c>
      <c r="BE108" s="179">
        <f t="shared" si="121"/>
        <v>0</v>
      </c>
      <c r="BF108" s="47">
        <v>0</v>
      </c>
      <c r="BG108" s="179">
        <f t="shared" si="122"/>
        <v>0</v>
      </c>
      <c r="BH108" s="47">
        <v>2</v>
      </c>
      <c r="BI108" s="179">
        <f t="shared" si="165"/>
        <v>19000</v>
      </c>
      <c r="BJ108" s="47">
        <f t="shared" si="166"/>
        <v>2</v>
      </c>
      <c r="BK108" s="117">
        <f t="shared" si="166"/>
        <v>19000</v>
      </c>
      <c r="BL108" s="335" t="s">
        <v>470</v>
      </c>
      <c r="BN108" s="113"/>
      <c r="BO108" s="113"/>
      <c r="BP108" s="113"/>
      <c r="BQ108" s="113"/>
      <c r="BR108" s="113">
        <f t="shared" si="173"/>
        <v>0</v>
      </c>
      <c r="BS108" s="113"/>
      <c r="BT108" s="113">
        <f t="shared" si="174"/>
        <v>19000</v>
      </c>
      <c r="BU108" s="124">
        <f t="shared" si="175"/>
        <v>19000</v>
      </c>
      <c r="BV108" s="179">
        <f t="shared" si="106"/>
        <v>19000</v>
      </c>
    </row>
    <row r="109" spans="2:74" x14ac:dyDescent="0.25">
      <c r="B109" s="38">
        <v>41510</v>
      </c>
      <c r="C109" s="38" t="s">
        <v>328</v>
      </c>
      <c r="D109" s="38" t="s">
        <v>17</v>
      </c>
      <c r="E109" s="365">
        <f>0.1*100000</f>
        <v>10000</v>
      </c>
      <c r="F109" s="38">
        <f t="shared" si="154"/>
        <v>0</v>
      </c>
      <c r="G109" s="437">
        <f t="shared" si="155"/>
        <v>0</v>
      </c>
      <c r="H109" s="427">
        <f t="shared" si="167"/>
        <v>0</v>
      </c>
      <c r="I109" s="427">
        <f t="shared" si="168"/>
        <v>0</v>
      </c>
      <c r="J109" s="427">
        <f t="shared" si="156"/>
        <v>0</v>
      </c>
      <c r="K109" s="427">
        <f t="shared" si="157"/>
        <v>0</v>
      </c>
      <c r="L109" s="427">
        <f t="shared" si="158"/>
        <v>0</v>
      </c>
      <c r="M109" s="427">
        <f t="shared" si="159"/>
        <v>0</v>
      </c>
      <c r="N109" s="427">
        <f t="shared" si="160"/>
        <v>0</v>
      </c>
      <c r="O109" s="85">
        <f t="shared" si="161"/>
        <v>0</v>
      </c>
      <c r="P109" s="85">
        <f t="shared" si="162"/>
        <v>0</v>
      </c>
      <c r="Q109" s="85">
        <f t="shared" si="163"/>
        <v>0</v>
      </c>
      <c r="R109" s="47"/>
      <c r="S109" s="47"/>
      <c r="T109" s="47"/>
      <c r="U109" s="47"/>
      <c r="V109" s="179">
        <f t="shared" si="169"/>
        <v>0</v>
      </c>
      <c r="W109" s="179">
        <f t="shared" si="170"/>
        <v>0</v>
      </c>
      <c r="X109" s="179">
        <f t="shared" si="171"/>
        <v>0</v>
      </c>
      <c r="Y109" s="179">
        <f t="shared" si="172"/>
        <v>0</v>
      </c>
      <c r="Z109" s="47">
        <v>0</v>
      </c>
      <c r="AA109" s="179">
        <f t="shared" si="164"/>
        <v>0</v>
      </c>
      <c r="AB109" s="47">
        <v>0</v>
      </c>
      <c r="AC109" s="179">
        <f t="shared" si="107"/>
        <v>0</v>
      </c>
      <c r="AD109" s="47">
        <v>0</v>
      </c>
      <c r="AE109" s="179">
        <f t="shared" si="108"/>
        <v>0</v>
      </c>
      <c r="AF109" s="47">
        <v>0</v>
      </c>
      <c r="AG109" s="179">
        <f t="shared" si="109"/>
        <v>0</v>
      </c>
      <c r="AH109" s="47">
        <v>0</v>
      </c>
      <c r="AI109" s="179">
        <f t="shared" si="110"/>
        <v>0</v>
      </c>
      <c r="AJ109" s="47">
        <v>0</v>
      </c>
      <c r="AK109" s="179">
        <f t="shared" si="111"/>
        <v>0</v>
      </c>
      <c r="AL109" s="47">
        <v>0</v>
      </c>
      <c r="AM109" s="179">
        <f t="shared" si="112"/>
        <v>0</v>
      </c>
      <c r="AN109" s="47">
        <v>0</v>
      </c>
      <c r="AO109" s="179">
        <f t="shared" si="113"/>
        <v>0</v>
      </c>
      <c r="AP109" s="47">
        <v>0</v>
      </c>
      <c r="AQ109" s="179">
        <f t="shared" si="114"/>
        <v>0</v>
      </c>
      <c r="AR109" s="47">
        <v>0</v>
      </c>
      <c r="AS109" s="179">
        <f t="shared" si="115"/>
        <v>0</v>
      </c>
      <c r="AT109" s="47">
        <v>0</v>
      </c>
      <c r="AU109" s="179">
        <f t="shared" si="116"/>
        <v>0</v>
      </c>
      <c r="AV109" s="47">
        <v>0</v>
      </c>
      <c r="AW109" s="179">
        <f t="shared" si="117"/>
        <v>0</v>
      </c>
      <c r="AX109" s="47">
        <v>0</v>
      </c>
      <c r="AY109" s="179">
        <f t="shared" si="118"/>
        <v>0</v>
      </c>
      <c r="AZ109" s="47">
        <v>0</v>
      </c>
      <c r="BA109" s="179">
        <f t="shared" si="119"/>
        <v>0</v>
      </c>
      <c r="BB109" s="47">
        <v>0</v>
      </c>
      <c r="BC109" s="179">
        <f t="shared" si="120"/>
        <v>0</v>
      </c>
      <c r="BD109" s="47">
        <v>0</v>
      </c>
      <c r="BE109" s="179">
        <f t="shared" si="121"/>
        <v>0</v>
      </c>
      <c r="BF109" s="47">
        <v>0</v>
      </c>
      <c r="BG109" s="179">
        <f t="shared" si="122"/>
        <v>0</v>
      </c>
      <c r="BH109" s="47">
        <v>0</v>
      </c>
      <c r="BI109" s="179">
        <f t="shared" si="165"/>
        <v>0</v>
      </c>
      <c r="BJ109" s="47">
        <f t="shared" si="166"/>
        <v>0</v>
      </c>
      <c r="BK109" s="117">
        <f t="shared" si="166"/>
        <v>0</v>
      </c>
      <c r="BL109" s="335" t="s">
        <v>470</v>
      </c>
      <c r="BN109" s="113"/>
      <c r="BO109" s="113"/>
      <c r="BP109" s="113"/>
      <c r="BQ109" s="113"/>
      <c r="BR109" s="113">
        <f t="shared" si="173"/>
        <v>0</v>
      </c>
      <c r="BS109" s="113"/>
      <c r="BT109" s="113">
        <f t="shared" si="174"/>
        <v>0</v>
      </c>
      <c r="BU109" s="124">
        <f t="shared" si="175"/>
        <v>0</v>
      </c>
      <c r="BV109" s="179">
        <f t="shared" si="106"/>
        <v>0</v>
      </c>
    </row>
    <row r="110" spans="2:74" x14ac:dyDescent="0.25">
      <c r="B110" s="38">
        <v>41511</v>
      </c>
      <c r="C110" s="38" t="s">
        <v>329</v>
      </c>
      <c r="D110" s="38" t="s">
        <v>73</v>
      </c>
      <c r="E110" s="365">
        <f>0.13*100000</f>
        <v>13000</v>
      </c>
      <c r="F110" s="685">
        <f>BJ110</f>
        <v>18</v>
      </c>
      <c r="G110" s="437">
        <f t="shared" si="155"/>
        <v>234000</v>
      </c>
      <c r="H110" s="427">
        <f t="shared" si="167"/>
        <v>117000</v>
      </c>
      <c r="I110" s="427">
        <f t="shared" si="168"/>
        <v>117000</v>
      </c>
      <c r="J110" s="427">
        <f t="shared" si="156"/>
        <v>0</v>
      </c>
      <c r="K110" s="427">
        <f t="shared" si="157"/>
        <v>0</v>
      </c>
      <c r="L110" s="427">
        <f t="shared" si="158"/>
        <v>0</v>
      </c>
      <c r="M110" s="427">
        <f t="shared" si="159"/>
        <v>0</v>
      </c>
      <c r="N110" s="427">
        <f t="shared" si="160"/>
        <v>0</v>
      </c>
      <c r="O110" s="85">
        <f t="shared" si="161"/>
        <v>0</v>
      </c>
      <c r="P110" s="85">
        <f t="shared" si="162"/>
        <v>0</v>
      </c>
      <c r="Q110" s="85">
        <f t="shared" si="163"/>
        <v>0</v>
      </c>
      <c r="R110" s="47">
        <f>F110*0.25</f>
        <v>4.5</v>
      </c>
      <c r="S110" s="47">
        <v>4.5</v>
      </c>
      <c r="T110" s="47">
        <v>4.5</v>
      </c>
      <c r="U110" s="47">
        <v>4.5</v>
      </c>
      <c r="V110" s="179">
        <f t="shared" si="169"/>
        <v>58500</v>
      </c>
      <c r="W110" s="179">
        <f t="shared" si="170"/>
        <v>58500</v>
      </c>
      <c r="X110" s="179">
        <f t="shared" si="171"/>
        <v>58500</v>
      </c>
      <c r="Y110" s="179">
        <f t="shared" si="172"/>
        <v>58500</v>
      </c>
      <c r="Z110" s="47">
        <v>0</v>
      </c>
      <c r="AA110" s="179">
        <f t="shared" si="164"/>
        <v>0</v>
      </c>
      <c r="AB110" s="47">
        <v>0</v>
      </c>
      <c r="AC110" s="179">
        <f t="shared" si="107"/>
        <v>0</v>
      </c>
      <c r="AD110" s="47">
        <v>0</v>
      </c>
      <c r="AE110" s="179">
        <f t="shared" si="108"/>
        <v>0</v>
      </c>
      <c r="AF110" s="47">
        <v>0</v>
      </c>
      <c r="AG110" s="179">
        <f t="shared" si="109"/>
        <v>0</v>
      </c>
      <c r="AH110" s="47">
        <v>0</v>
      </c>
      <c r="AI110" s="179">
        <f t="shared" si="110"/>
        <v>0</v>
      </c>
      <c r="AJ110" s="47">
        <v>0</v>
      </c>
      <c r="AK110" s="179">
        <f t="shared" si="111"/>
        <v>0</v>
      </c>
      <c r="AL110" s="47">
        <v>0</v>
      </c>
      <c r="AM110" s="179">
        <f t="shared" si="112"/>
        <v>0</v>
      </c>
      <c r="AN110" s="47">
        <v>0</v>
      </c>
      <c r="AO110" s="179">
        <f t="shared" si="113"/>
        <v>0</v>
      </c>
      <c r="AP110" s="47">
        <v>0</v>
      </c>
      <c r="AQ110" s="179">
        <f t="shared" si="114"/>
        <v>0</v>
      </c>
      <c r="AR110" s="47">
        <v>0</v>
      </c>
      <c r="AS110" s="179">
        <f t="shared" si="115"/>
        <v>0</v>
      </c>
      <c r="AT110" s="47">
        <v>0</v>
      </c>
      <c r="AU110" s="179">
        <f t="shared" si="116"/>
        <v>0</v>
      </c>
      <c r="AV110" s="47">
        <v>0</v>
      </c>
      <c r="AW110" s="179">
        <f t="shared" si="117"/>
        <v>0</v>
      </c>
      <c r="AX110" s="47">
        <v>0</v>
      </c>
      <c r="AY110" s="179">
        <f t="shared" si="118"/>
        <v>0</v>
      </c>
      <c r="AZ110" s="47">
        <v>0</v>
      </c>
      <c r="BA110" s="179">
        <f t="shared" si="119"/>
        <v>0</v>
      </c>
      <c r="BB110" s="47">
        <v>0</v>
      </c>
      <c r="BC110" s="179">
        <f t="shared" si="120"/>
        <v>0</v>
      </c>
      <c r="BD110" s="47">
        <v>0</v>
      </c>
      <c r="BE110" s="179">
        <f t="shared" si="121"/>
        <v>0</v>
      </c>
      <c r="BF110" s="47">
        <v>0</v>
      </c>
      <c r="BG110" s="179">
        <f t="shared" si="122"/>
        <v>0</v>
      </c>
      <c r="BH110" s="47">
        <v>18</v>
      </c>
      <c r="BI110" s="179">
        <f t="shared" si="165"/>
        <v>234000</v>
      </c>
      <c r="BJ110" s="47">
        <f t="shared" si="166"/>
        <v>18</v>
      </c>
      <c r="BK110" s="117">
        <f t="shared" si="166"/>
        <v>234000</v>
      </c>
      <c r="BL110" s="335" t="s">
        <v>470</v>
      </c>
      <c r="BN110" s="113"/>
      <c r="BO110" s="113"/>
      <c r="BP110" s="113"/>
      <c r="BQ110" s="113"/>
      <c r="BR110" s="113">
        <f t="shared" si="173"/>
        <v>0</v>
      </c>
      <c r="BS110" s="113"/>
      <c r="BT110" s="113">
        <f t="shared" si="174"/>
        <v>234000</v>
      </c>
      <c r="BU110" s="124">
        <f t="shared" si="175"/>
        <v>234000</v>
      </c>
      <c r="BV110" s="179">
        <f t="shared" si="106"/>
        <v>234000</v>
      </c>
    </row>
    <row r="111" spans="2:74" x14ac:dyDescent="0.25">
      <c r="B111" s="38">
        <v>41512</v>
      </c>
      <c r="C111" s="38" t="s">
        <v>330</v>
      </c>
      <c r="D111" s="38" t="s">
        <v>17</v>
      </c>
      <c r="E111" s="365"/>
      <c r="F111" s="38">
        <f t="shared" si="154"/>
        <v>0</v>
      </c>
      <c r="G111" s="437">
        <f t="shared" si="155"/>
        <v>0</v>
      </c>
      <c r="H111" s="427">
        <f t="shared" si="167"/>
        <v>0</v>
      </c>
      <c r="I111" s="427">
        <f t="shared" si="168"/>
        <v>0</v>
      </c>
      <c r="J111" s="427">
        <f t="shared" si="156"/>
        <v>0</v>
      </c>
      <c r="K111" s="427">
        <f t="shared" si="157"/>
        <v>0</v>
      </c>
      <c r="L111" s="427">
        <f t="shared" si="158"/>
        <v>0</v>
      </c>
      <c r="M111" s="427">
        <f t="shared" si="159"/>
        <v>0</v>
      </c>
      <c r="N111" s="427">
        <f t="shared" si="160"/>
        <v>0</v>
      </c>
      <c r="O111" s="85">
        <f t="shared" si="161"/>
        <v>0</v>
      </c>
      <c r="P111" s="85">
        <f t="shared" si="162"/>
        <v>0</v>
      </c>
      <c r="Q111" s="85">
        <f t="shared" si="163"/>
        <v>0</v>
      </c>
      <c r="R111" s="47"/>
      <c r="S111" s="47"/>
      <c r="T111" s="47"/>
      <c r="U111" s="47"/>
      <c r="V111" s="179">
        <f t="shared" si="169"/>
        <v>0</v>
      </c>
      <c r="W111" s="179">
        <f t="shared" si="170"/>
        <v>0</v>
      </c>
      <c r="X111" s="179">
        <f t="shared" si="171"/>
        <v>0</v>
      </c>
      <c r="Y111" s="179">
        <f t="shared" si="172"/>
        <v>0</v>
      </c>
      <c r="Z111" s="47">
        <v>0</v>
      </c>
      <c r="AA111" s="179">
        <f t="shared" si="164"/>
        <v>0</v>
      </c>
      <c r="AB111" s="47">
        <v>0</v>
      </c>
      <c r="AC111" s="179">
        <f t="shared" si="107"/>
        <v>0</v>
      </c>
      <c r="AD111" s="47">
        <v>0</v>
      </c>
      <c r="AE111" s="179">
        <f t="shared" si="108"/>
        <v>0</v>
      </c>
      <c r="AF111" s="47">
        <v>0</v>
      </c>
      <c r="AG111" s="179">
        <f t="shared" si="109"/>
        <v>0</v>
      </c>
      <c r="AH111" s="47">
        <v>0</v>
      </c>
      <c r="AI111" s="179">
        <f t="shared" si="110"/>
        <v>0</v>
      </c>
      <c r="AJ111" s="47">
        <v>0</v>
      </c>
      <c r="AK111" s="179">
        <f t="shared" si="111"/>
        <v>0</v>
      </c>
      <c r="AL111" s="47">
        <v>0</v>
      </c>
      <c r="AM111" s="179">
        <f t="shared" si="112"/>
        <v>0</v>
      </c>
      <c r="AN111" s="47">
        <v>0</v>
      </c>
      <c r="AO111" s="179">
        <f t="shared" si="113"/>
        <v>0</v>
      </c>
      <c r="AP111" s="47">
        <v>0</v>
      </c>
      <c r="AQ111" s="179">
        <f t="shared" si="114"/>
        <v>0</v>
      </c>
      <c r="AR111" s="47">
        <v>0</v>
      </c>
      <c r="AS111" s="179">
        <f t="shared" si="115"/>
        <v>0</v>
      </c>
      <c r="AT111" s="47">
        <v>0</v>
      </c>
      <c r="AU111" s="179">
        <f t="shared" si="116"/>
        <v>0</v>
      </c>
      <c r="AV111" s="47">
        <v>0</v>
      </c>
      <c r="AW111" s="179">
        <f t="shared" si="117"/>
        <v>0</v>
      </c>
      <c r="AX111" s="47">
        <v>0</v>
      </c>
      <c r="AY111" s="179">
        <f t="shared" si="118"/>
        <v>0</v>
      </c>
      <c r="AZ111" s="47">
        <v>0</v>
      </c>
      <c r="BA111" s="179">
        <f t="shared" si="119"/>
        <v>0</v>
      </c>
      <c r="BB111" s="47">
        <v>0</v>
      </c>
      <c r="BC111" s="179">
        <f t="shared" si="120"/>
        <v>0</v>
      </c>
      <c r="BD111" s="47">
        <v>0</v>
      </c>
      <c r="BE111" s="179">
        <f t="shared" si="121"/>
        <v>0</v>
      </c>
      <c r="BF111" s="47">
        <v>0</v>
      </c>
      <c r="BG111" s="179">
        <f t="shared" si="122"/>
        <v>0</v>
      </c>
      <c r="BH111" s="47">
        <v>0</v>
      </c>
      <c r="BI111" s="179">
        <f t="shared" si="165"/>
        <v>0</v>
      </c>
      <c r="BJ111" s="47">
        <f t="shared" si="166"/>
        <v>0</v>
      </c>
      <c r="BK111" s="117">
        <f t="shared" si="166"/>
        <v>0</v>
      </c>
      <c r="BL111" s="335" t="s">
        <v>470</v>
      </c>
      <c r="BN111" s="113"/>
      <c r="BO111" s="113"/>
      <c r="BP111" s="113"/>
      <c r="BQ111" s="113"/>
      <c r="BR111" s="113">
        <f t="shared" si="173"/>
        <v>0</v>
      </c>
      <c r="BS111" s="113"/>
      <c r="BT111" s="113">
        <f t="shared" si="174"/>
        <v>0</v>
      </c>
      <c r="BU111" s="124">
        <f t="shared" si="175"/>
        <v>0</v>
      </c>
      <c r="BV111" s="179">
        <f t="shared" si="106"/>
        <v>0</v>
      </c>
    </row>
    <row r="112" spans="2:74" ht="47.25" x14ac:dyDescent="0.25">
      <c r="B112" s="38">
        <v>41513</v>
      </c>
      <c r="C112" s="38" t="s">
        <v>730</v>
      </c>
      <c r="D112" s="38" t="s">
        <v>73</v>
      </c>
      <c r="E112" s="365">
        <v>50000</v>
      </c>
      <c r="F112" s="38">
        <f>BJ112</f>
        <v>6</v>
      </c>
      <c r="G112" s="437">
        <f t="shared" si="155"/>
        <v>300000</v>
      </c>
      <c r="H112" s="427">
        <f t="shared" si="167"/>
        <v>150000</v>
      </c>
      <c r="I112" s="427">
        <f t="shared" si="168"/>
        <v>150000</v>
      </c>
      <c r="J112" s="427">
        <f t="shared" si="156"/>
        <v>0</v>
      </c>
      <c r="K112" s="427">
        <f t="shared" si="157"/>
        <v>0</v>
      </c>
      <c r="L112" s="427">
        <f t="shared" si="158"/>
        <v>0</v>
      </c>
      <c r="M112" s="427">
        <f t="shared" si="159"/>
        <v>0</v>
      </c>
      <c r="N112" s="427">
        <f t="shared" si="160"/>
        <v>0</v>
      </c>
      <c r="O112" s="85">
        <f t="shared" si="161"/>
        <v>0</v>
      </c>
      <c r="P112" s="85">
        <f t="shared" si="162"/>
        <v>0</v>
      </c>
      <c r="Q112" s="85">
        <f t="shared" si="163"/>
        <v>0</v>
      </c>
      <c r="R112" s="47">
        <v>1.5</v>
      </c>
      <c r="S112" s="47">
        <v>1.5</v>
      </c>
      <c r="T112" s="47">
        <v>1.5</v>
      </c>
      <c r="U112" s="47">
        <v>1.5</v>
      </c>
      <c r="V112" s="179">
        <f t="shared" si="169"/>
        <v>75000</v>
      </c>
      <c r="W112" s="179">
        <f t="shared" si="170"/>
        <v>75000</v>
      </c>
      <c r="X112" s="179">
        <f t="shared" si="171"/>
        <v>75000</v>
      </c>
      <c r="Y112" s="179">
        <f t="shared" si="172"/>
        <v>75000</v>
      </c>
      <c r="Z112" s="47">
        <v>0</v>
      </c>
      <c r="AA112" s="179">
        <f t="shared" si="164"/>
        <v>0</v>
      </c>
      <c r="AB112" s="47">
        <v>0</v>
      </c>
      <c r="AC112" s="179">
        <f t="shared" si="107"/>
        <v>0</v>
      </c>
      <c r="AD112" s="47">
        <v>0</v>
      </c>
      <c r="AE112" s="179">
        <f t="shared" si="108"/>
        <v>0</v>
      </c>
      <c r="AF112" s="47">
        <v>0</v>
      </c>
      <c r="AG112" s="179">
        <f t="shared" si="109"/>
        <v>0</v>
      </c>
      <c r="AH112" s="47">
        <v>0</v>
      </c>
      <c r="AI112" s="179">
        <f t="shared" si="110"/>
        <v>0</v>
      </c>
      <c r="AJ112" s="47">
        <v>0</v>
      </c>
      <c r="AK112" s="179">
        <f t="shared" si="111"/>
        <v>0</v>
      </c>
      <c r="AL112" s="47">
        <v>0</v>
      </c>
      <c r="AM112" s="179">
        <f t="shared" si="112"/>
        <v>0</v>
      </c>
      <c r="AN112" s="47">
        <v>0</v>
      </c>
      <c r="AO112" s="179">
        <f t="shared" si="113"/>
        <v>0</v>
      </c>
      <c r="AP112" s="47">
        <v>0</v>
      </c>
      <c r="AQ112" s="179">
        <f t="shared" si="114"/>
        <v>0</v>
      </c>
      <c r="AR112" s="47">
        <v>0</v>
      </c>
      <c r="AS112" s="179">
        <f t="shared" si="115"/>
        <v>0</v>
      </c>
      <c r="AT112" s="47">
        <v>0</v>
      </c>
      <c r="AU112" s="179">
        <f t="shared" si="116"/>
        <v>0</v>
      </c>
      <c r="AV112" s="47">
        <v>0</v>
      </c>
      <c r="AW112" s="179">
        <f t="shared" si="117"/>
        <v>0</v>
      </c>
      <c r="AX112" s="47">
        <v>0</v>
      </c>
      <c r="AY112" s="179">
        <f t="shared" si="118"/>
        <v>0</v>
      </c>
      <c r="AZ112" s="47">
        <v>0</v>
      </c>
      <c r="BA112" s="179">
        <f t="shared" si="119"/>
        <v>0</v>
      </c>
      <c r="BB112" s="47">
        <v>0</v>
      </c>
      <c r="BC112" s="179">
        <f t="shared" si="120"/>
        <v>0</v>
      </c>
      <c r="BD112" s="47">
        <v>0</v>
      </c>
      <c r="BE112" s="179">
        <f t="shared" si="121"/>
        <v>0</v>
      </c>
      <c r="BF112" s="47">
        <v>0</v>
      </c>
      <c r="BG112" s="179">
        <f t="shared" si="122"/>
        <v>0</v>
      </c>
      <c r="BH112" s="47">
        <v>6</v>
      </c>
      <c r="BI112" s="179">
        <f t="shared" si="165"/>
        <v>300000</v>
      </c>
      <c r="BJ112" s="47">
        <f t="shared" si="166"/>
        <v>6</v>
      </c>
      <c r="BK112" s="117">
        <f t="shared" si="166"/>
        <v>300000</v>
      </c>
      <c r="BL112" s="335" t="s">
        <v>470</v>
      </c>
      <c r="BN112" s="113"/>
      <c r="BO112" s="113"/>
      <c r="BP112" s="113"/>
      <c r="BQ112" s="113"/>
      <c r="BR112" s="113">
        <f t="shared" si="173"/>
        <v>0</v>
      </c>
      <c r="BS112" s="113"/>
      <c r="BT112" s="113">
        <f t="shared" si="174"/>
        <v>300000</v>
      </c>
      <c r="BU112" s="124">
        <f t="shared" si="175"/>
        <v>300000</v>
      </c>
      <c r="BV112" s="179">
        <f t="shared" si="106"/>
        <v>300000</v>
      </c>
    </row>
    <row r="113" spans="2:74" x14ac:dyDescent="0.25">
      <c r="B113" s="38">
        <v>41514</v>
      </c>
      <c r="C113" s="38" t="s">
        <v>331</v>
      </c>
      <c r="D113" s="38" t="s">
        <v>27</v>
      </c>
      <c r="E113" s="365">
        <v>150000</v>
      </c>
      <c r="F113" s="38">
        <f t="shared" si="154"/>
        <v>12</v>
      </c>
      <c r="G113" s="437">
        <f t="shared" si="155"/>
        <v>1800000</v>
      </c>
      <c r="H113" s="427">
        <f t="shared" si="167"/>
        <v>900000</v>
      </c>
      <c r="I113" s="427">
        <f t="shared" si="168"/>
        <v>900000</v>
      </c>
      <c r="J113" s="427">
        <f t="shared" si="156"/>
        <v>0</v>
      </c>
      <c r="K113" s="427">
        <f t="shared" si="157"/>
        <v>0</v>
      </c>
      <c r="L113" s="427">
        <f t="shared" si="158"/>
        <v>0</v>
      </c>
      <c r="M113" s="427">
        <f t="shared" si="159"/>
        <v>0</v>
      </c>
      <c r="N113" s="427">
        <f t="shared" si="160"/>
        <v>0</v>
      </c>
      <c r="O113" s="85">
        <f t="shared" si="161"/>
        <v>0</v>
      </c>
      <c r="P113" s="85">
        <f t="shared" si="162"/>
        <v>0</v>
      </c>
      <c r="Q113" s="85">
        <f t="shared" si="163"/>
        <v>0</v>
      </c>
      <c r="R113" s="47">
        <v>3</v>
      </c>
      <c r="S113" s="47">
        <v>3</v>
      </c>
      <c r="T113" s="47">
        <v>3</v>
      </c>
      <c r="U113" s="47">
        <v>3</v>
      </c>
      <c r="V113" s="179">
        <f t="shared" si="169"/>
        <v>450000</v>
      </c>
      <c r="W113" s="179">
        <f t="shared" si="170"/>
        <v>450000</v>
      </c>
      <c r="X113" s="179">
        <f t="shared" si="171"/>
        <v>450000</v>
      </c>
      <c r="Y113" s="179">
        <f t="shared" si="172"/>
        <v>450000</v>
      </c>
      <c r="Z113" s="47">
        <v>0</v>
      </c>
      <c r="AA113" s="179">
        <f t="shared" si="164"/>
        <v>0</v>
      </c>
      <c r="AB113" s="47">
        <v>0</v>
      </c>
      <c r="AC113" s="179">
        <f t="shared" si="107"/>
        <v>0</v>
      </c>
      <c r="AD113" s="47">
        <v>0</v>
      </c>
      <c r="AE113" s="179">
        <f t="shared" si="108"/>
        <v>0</v>
      </c>
      <c r="AF113" s="47">
        <v>0</v>
      </c>
      <c r="AG113" s="179">
        <f t="shared" si="109"/>
        <v>0</v>
      </c>
      <c r="AH113" s="47">
        <v>0</v>
      </c>
      <c r="AI113" s="179">
        <f t="shared" si="110"/>
        <v>0</v>
      </c>
      <c r="AJ113" s="47">
        <v>0</v>
      </c>
      <c r="AK113" s="179">
        <f t="shared" si="111"/>
        <v>0</v>
      </c>
      <c r="AL113" s="47">
        <v>0</v>
      </c>
      <c r="AM113" s="179">
        <f t="shared" si="112"/>
        <v>0</v>
      </c>
      <c r="AN113" s="47">
        <v>0</v>
      </c>
      <c r="AO113" s="179">
        <f t="shared" si="113"/>
        <v>0</v>
      </c>
      <c r="AP113" s="47">
        <v>0</v>
      </c>
      <c r="AQ113" s="179">
        <f t="shared" si="114"/>
        <v>0</v>
      </c>
      <c r="AR113" s="47">
        <v>0</v>
      </c>
      <c r="AS113" s="179">
        <f t="shared" si="115"/>
        <v>0</v>
      </c>
      <c r="AT113" s="47">
        <v>0</v>
      </c>
      <c r="AU113" s="179">
        <f t="shared" si="116"/>
        <v>0</v>
      </c>
      <c r="AV113" s="47">
        <v>0</v>
      </c>
      <c r="AW113" s="179">
        <f t="shared" si="117"/>
        <v>0</v>
      </c>
      <c r="AX113" s="47">
        <v>0</v>
      </c>
      <c r="AY113" s="179">
        <f t="shared" si="118"/>
        <v>0</v>
      </c>
      <c r="AZ113" s="47">
        <v>0</v>
      </c>
      <c r="BA113" s="179">
        <f t="shared" si="119"/>
        <v>0</v>
      </c>
      <c r="BB113" s="47">
        <v>0</v>
      </c>
      <c r="BC113" s="179">
        <f t="shared" si="120"/>
        <v>0</v>
      </c>
      <c r="BD113" s="47">
        <v>0</v>
      </c>
      <c r="BE113" s="179">
        <f t="shared" si="121"/>
        <v>0</v>
      </c>
      <c r="BF113" s="47">
        <v>0</v>
      </c>
      <c r="BG113" s="179">
        <f t="shared" si="122"/>
        <v>0</v>
      </c>
      <c r="BH113" s="47">
        <v>12</v>
      </c>
      <c r="BI113" s="179">
        <f t="shared" si="165"/>
        <v>1800000</v>
      </c>
      <c r="BJ113" s="47">
        <f t="shared" si="166"/>
        <v>12</v>
      </c>
      <c r="BK113" s="117">
        <f t="shared" si="166"/>
        <v>1800000</v>
      </c>
      <c r="BL113" s="335" t="s">
        <v>470</v>
      </c>
      <c r="BN113" s="113"/>
      <c r="BO113" s="113"/>
      <c r="BP113" s="113"/>
      <c r="BQ113" s="113"/>
      <c r="BR113" s="113">
        <f t="shared" si="173"/>
        <v>0</v>
      </c>
      <c r="BS113" s="113"/>
      <c r="BT113" s="113">
        <f t="shared" si="174"/>
        <v>1800000</v>
      </c>
      <c r="BU113" s="124">
        <f t="shared" si="175"/>
        <v>1800000</v>
      </c>
      <c r="BV113" s="179">
        <f t="shared" si="106"/>
        <v>1800000</v>
      </c>
    </row>
    <row r="114" spans="2:74" x14ac:dyDescent="0.25">
      <c r="B114" s="38">
        <v>41515</v>
      </c>
      <c r="C114" s="38" t="s">
        <v>28</v>
      </c>
      <c r="D114" s="38" t="s">
        <v>27</v>
      </c>
      <c r="E114" s="365">
        <f>0.4*100000</f>
        <v>40000</v>
      </c>
      <c r="F114" s="38">
        <f t="shared" si="154"/>
        <v>0</v>
      </c>
      <c r="G114" s="437">
        <f t="shared" si="155"/>
        <v>0</v>
      </c>
      <c r="H114" s="427">
        <f t="shared" si="167"/>
        <v>0</v>
      </c>
      <c r="I114" s="427">
        <f t="shared" si="168"/>
        <v>0</v>
      </c>
      <c r="J114" s="427">
        <f t="shared" si="156"/>
        <v>0</v>
      </c>
      <c r="K114" s="427">
        <f t="shared" si="157"/>
        <v>0</v>
      </c>
      <c r="L114" s="427">
        <f t="shared" si="158"/>
        <v>0</v>
      </c>
      <c r="M114" s="427">
        <f t="shared" si="159"/>
        <v>0</v>
      </c>
      <c r="N114" s="427">
        <f t="shared" si="160"/>
        <v>0</v>
      </c>
      <c r="O114" s="85">
        <f t="shared" si="161"/>
        <v>0</v>
      </c>
      <c r="P114" s="85">
        <f t="shared" si="162"/>
        <v>0</v>
      </c>
      <c r="Q114" s="85">
        <f t="shared" si="163"/>
        <v>0</v>
      </c>
      <c r="R114" s="47"/>
      <c r="S114" s="47"/>
      <c r="T114" s="47"/>
      <c r="U114" s="47"/>
      <c r="V114" s="179">
        <f t="shared" si="169"/>
        <v>0</v>
      </c>
      <c r="W114" s="179">
        <f t="shared" si="170"/>
        <v>0</v>
      </c>
      <c r="X114" s="179">
        <f t="shared" si="171"/>
        <v>0</v>
      </c>
      <c r="Y114" s="179">
        <f t="shared" si="172"/>
        <v>0</v>
      </c>
      <c r="Z114" s="47">
        <v>0</v>
      </c>
      <c r="AA114" s="179">
        <f t="shared" si="164"/>
        <v>0</v>
      </c>
      <c r="AB114" s="47">
        <v>0</v>
      </c>
      <c r="AC114" s="179">
        <f t="shared" si="107"/>
        <v>0</v>
      </c>
      <c r="AD114" s="47">
        <v>0</v>
      </c>
      <c r="AE114" s="179">
        <f t="shared" si="108"/>
        <v>0</v>
      </c>
      <c r="AF114" s="47">
        <v>0</v>
      </c>
      <c r="AG114" s="179">
        <f t="shared" si="109"/>
        <v>0</v>
      </c>
      <c r="AH114" s="47">
        <v>0</v>
      </c>
      <c r="AI114" s="179">
        <f t="shared" si="110"/>
        <v>0</v>
      </c>
      <c r="AJ114" s="47">
        <v>0</v>
      </c>
      <c r="AK114" s="179">
        <f t="shared" si="111"/>
        <v>0</v>
      </c>
      <c r="AL114" s="47">
        <v>0</v>
      </c>
      <c r="AM114" s="179">
        <f t="shared" si="112"/>
        <v>0</v>
      </c>
      <c r="AN114" s="47">
        <v>0</v>
      </c>
      <c r="AO114" s="179">
        <f t="shared" si="113"/>
        <v>0</v>
      </c>
      <c r="AP114" s="47">
        <v>0</v>
      </c>
      <c r="AQ114" s="179">
        <f t="shared" si="114"/>
        <v>0</v>
      </c>
      <c r="AR114" s="47">
        <v>0</v>
      </c>
      <c r="AS114" s="179">
        <f t="shared" si="115"/>
        <v>0</v>
      </c>
      <c r="AT114" s="47">
        <v>0</v>
      </c>
      <c r="AU114" s="179">
        <f t="shared" si="116"/>
        <v>0</v>
      </c>
      <c r="AV114" s="47">
        <v>0</v>
      </c>
      <c r="AW114" s="179">
        <f t="shared" si="117"/>
        <v>0</v>
      </c>
      <c r="AX114" s="47">
        <v>0</v>
      </c>
      <c r="AY114" s="179">
        <f t="shared" si="118"/>
        <v>0</v>
      </c>
      <c r="AZ114" s="47">
        <v>0</v>
      </c>
      <c r="BA114" s="179">
        <f t="shared" si="119"/>
        <v>0</v>
      </c>
      <c r="BB114" s="47">
        <v>0</v>
      </c>
      <c r="BC114" s="179">
        <f t="shared" si="120"/>
        <v>0</v>
      </c>
      <c r="BD114" s="47">
        <v>0</v>
      </c>
      <c r="BE114" s="179">
        <f t="shared" si="121"/>
        <v>0</v>
      </c>
      <c r="BF114" s="47">
        <v>0</v>
      </c>
      <c r="BG114" s="179">
        <f t="shared" si="122"/>
        <v>0</v>
      </c>
      <c r="BH114" s="47">
        <v>0</v>
      </c>
      <c r="BI114" s="179">
        <f t="shared" si="165"/>
        <v>0</v>
      </c>
      <c r="BJ114" s="47">
        <f t="shared" si="166"/>
        <v>0</v>
      </c>
      <c r="BK114" s="117">
        <f t="shared" si="166"/>
        <v>0</v>
      </c>
      <c r="BL114" s="335" t="s">
        <v>470</v>
      </c>
      <c r="BN114" s="113"/>
      <c r="BO114" s="113"/>
      <c r="BP114" s="113"/>
      <c r="BQ114" s="113"/>
      <c r="BR114" s="113">
        <f t="shared" si="173"/>
        <v>0</v>
      </c>
      <c r="BS114" s="113"/>
      <c r="BT114" s="113">
        <f t="shared" si="174"/>
        <v>0</v>
      </c>
      <c r="BU114" s="124">
        <f t="shared" si="175"/>
        <v>0</v>
      </c>
      <c r="BV114" s="179">
        <f t="shared" si="106"/>
        <v>0</v>
      </c>
    </row>
    <row r="115" spans="2:74" x14ac:dyDescent="0.25">
      <c r="B115" s="38">
        <v>41516</v>
      </c>
      <c r="C115" s="38" t="s">
        <v>332</v>
      </c>
      <c r="D115" s="38" t="s">
        <v>27</v>
      </c>
      <c r="E115" s="762">
        <v>40000</v>
      </c>
      <c r="F115" s="38">
        <f t="shared" si="154"/>
        <v>12</v>
      </c>
      <c r="G115" s="437">
        <f t="shared" si="155"/>
        <v>480000</v>
      </c>
      <c r="H115" s="427">
        <f t="shared" si="167"/>
        <v>240000</v>
      </c>
      <c r="I115" s="427">
        <f t="shared" si="168"/>
        <v>240000</v>
      </c>
      <c r="J115" s="427">
        <f t="shared" si="156"/>
        <v>0</v>
      </c>
      <c r="K115" s="427">
        <f t="shared" si="157"/>
        <v>0</v>
      </c>
      <c r="L115" s="427">
        <f t="shared" si="158"/>
        <v>0</v>
      </c>
      <c r="M115" s="427">
        <f t="shared" si="159"/>
        <v>0</v>
      </c>
      <c r="N115" s="427">
        <f t="shared" si="160"/>
        <v>0</v>
      </c>
      <c r="O115" s="85">
        <f t="shared" si="161"/>
        <v>0</v>
      </c>
      <c r="P115" s="85">
        <f t="shared" si="162"/>
        <v>0</v>
      </c>
      <c r="Q115" s="85">
        <f t="shared" si="163"/>
        <v>0</v>
      </c>
      <c r="R115" s="47">
        <v>3</v>
      </c>
      <c r="S115" s="47">
        <v>3</v>
      </c>
      <c r="T115" s="47">
        <v>3</v>
      </c>
      <c r="U115" s="47">
        <v>3</v>
      </c>
      <c r="V115" s="179">
        <f t="shared" si="169"/>
        <v>120000</v>
      </c>
      <c r="W115" s="179">
        <f t="shared" si="170"/>
        <v>120000</v>
      </c>
      <c r="X115" s="179">
        <f t="shared" si="171"/>
        <v>120000</v>
      </c>
      <c r="Y115" s="179">
        <f t="shared" si="172"/>
        <v>120000</v>
      </c>
      <c r="Z115" s="47">
        <v>0</v>
      </c>
      <c r="AA115" s="179">
        <f t="shared" si="164"/>
        <v>0</v>
      </c>
      <c r="AB115" s="47">
        <v>0</v>
      </c>
      <c r="AC115" s="179">
        <f t="shared" si="107"/>
        <v>0</v>
      </c>
      <c r="AD115" s="47">
        <v>0</v>
      </c>
      <c r="AE115" s="179">
        <f t="shared" si="108"/>
        <v>0</v>
      </c>
      <c r="AF115" s="47">
        <v>0</v>
      </c>
      <c r="AG115" s="179">
        <f t="shared" si="109"/>
        <v>0</v>
      </c>
      <c r="AH115" s="47">
        <v>0</v>
      </c>
      <c r="AI115" s="179">
        <f t="shared" si="110"/>
        <v>0</v>
      </c>
      <c r="AJ115" s="47">
        <v>0</v>
      </c>
      <c r="AK115" s="179">
        <f t="shared" si="111"/>
        <v>0</v>
      </c>
      <c r="AL115" s="47">
        <v>0</v>
      </c>
      <c r="AM115" s="179">
        <f t="shared" si="112"/>
        <v>0</v>
      </c>
      <c r="AN115" s="47">
        <v>0</v>
      </c>
      <c r="AO115" s="179">
        <f t="shared" si="113"/>
        <v>0</v>
      </c>
      <c r="AP115" s="47">
        <v>0</v>
      </c>
      <c r="AQ115" s="179">
        <f t="shared" si="114"/>
        <v>0</v>
      </c>
      <c r="AR115" s="47">
        <v>0</v>
      </c>
      <c r="AS115" s="179">
        <f t="shared" si="115"/>
        <v>0</v>
      </c>
      <c r="AT115" s="47">
        <v>0</v>
      </c>
      <c r="AU115" s="179">
        <f t="shared" si="116"/>
        <v>0</v>
      </c>
      <c r="AV115" s="47">
        <v>0</v>
      </c>
      <c r="AW115" s="179">
        <f t="shared" si="117"/>
        <v>0</v>
      </c>
      <c r="AX115" s="47">
        <v>0</v>
      </c>
      <c r="AY115" s="179">
        <f t="shared" si="118"/>
        <v>0</v>
      </c>
      <c r="AZ115" s="47">
        <v>0</v>
      </c>
      <c r="BA115" s="179">
        <f t="shared" si="119"/>
        <v>0</v>
      </c>
      <c r="BB115" s="47">
        <v>0</v>
      </c>
      <c r="BC115" s="179">
        <f t="shared" si="120"/>
        <v>0</v>
      </c>
      <c r="BD115" s="47">
        <v>0</v>
      </c>
      <c r="BE115" s="179">
        <f t="shared" si="121"/>
        <v>0</v>
      </c>
      <c r="BF115" s="47">
        <v>0</v>
      </c>
      <c r="BG115" s="179">
        <f t="shared" si="122"/>
        <v>0</v>
      </c>
      <c r="BH115" s="47">
        <v>12</v>
      </c>
      <c r="BI115" s="179">
        <f t="shared" si="165"/>
        <v>480000</v>
      </c>
      <c r="BJ115" s="47">
        <f t="shared" si="166"/>
        <v>12</v>
      </c>
      <c r="BK115" s="117">
        <f t="shared" si="166"/>
        <v>480000</v>
      </c>
      <c r="BL115" s="335" t="s">
        <v>470</v>
      </c>
      <c r="BN115" s="113"/>
      <c r="BO115" s="113"/>
      <c r="BP115" s="113"/>
      <c r="BQ115" s="113"/>
      <c r="BR115" s="113">
        <f t="shared" si="173"/>
        <v>0</v>
      </c>
      <c r="BS115" s="113"/>
      <c r="BT115" s="113">
        <f t="shared" si="174"/>
        <v>480000</v>
      </c>
      <c r="BU115" s="124">
        <f t="shared" si="175"/>
        <v>480000</v>
      </c>
      <c r="BV115" s="179">
        <f t="shared" si="106"/>
        <v>480000</v>
      </c>
    </row>
    <row r="116" spans="2:74" x14ac:dyDescent="0.25">
      <c r="B116" s="428"/>
      <c r="C116" s="428"/>
      <c r="D116" s="428"/>
      <c r="E116" s="428"/>
      <c r="F116" s="428">
        <f>SUM(F100:F115)</f>
        <v>101</v>
      </c>
      <c r="G116" s="429">
        <f>SUM(G100:G115)</f>
        <v>5838000</v>
      </c>
      <c r="H116" s="429">
        <f t="shared" ref="H116:Q116" si="176">SUM(H100:H115)</f>
        <v>2919000</v>
      </c>
      <c r="I116" s="429">
        <f t="shared" si="176"/>
        <v>2919000</v>
      </c>
      <c r="J116" s="429">
        <f t="shared" si="176"/>
        <v>0</v>
      </c>
      <c r="K116" s="429">
        <f t="shared" si="176"/>
        <v>0</v>
      </c>
      <c r="L116" s="429">
        <f t="shared" si="176"/>
        <v>0</v>
      </c>
      <c r="M116" s="429">
        <f t="shared" si="176"/>
        <v>0</v>
      </c>
      <c r="N116" s="429">
        <f t="shared" si="176"/>
        <v>0</v>
      </c>
      <c r="O116" s="429">
        <f t="shared" si="176"/>
        <v>0</v>
      </c>
      <c r="P116" s="429">
        <f t="shared" si="176"/>
        <v>0</v>
      </c>
      <c r="Q116" s="429">
        <f t="shared" si="176"/>
        <v>0</v>
      </c>
      <c r="R116" s="428">
        <f t="shared" ref="R116:BK116" si="177">SUM(R100:R115)</f>
        <v>24</v>
      </c>
      <c r="S116" s="428">
        <f t="shared" si="177"/>
        <v>27</v>
      </c>
      <c r="T116" s="428">
        <f t="shared" si="177"/>
        <v>26</v>
      </c>
      <c r="U116" s="428">
        <f t="shared" si="177"/>
        <v>24</v>
      </c>
      <c r="V116" s="429">
        <f t="shared" si="177"/>
        <v>999750</v>
      </c>
      <c r="W116" s="429">
        <f t="shared" si="177"/>
        <v>2518750</v>
      </c>
      <c r="X116" s="429">
        <f t="shared" si="177"/>
        <v>1319750</v>
      </c>
      <c r="Y116" s="429">
        <f t="shared" si="177"/>
        <v>999750</v>
      </c>
      <c r="Z116" s="428">
        <f t="shared" si="177"/>
        <v>0</v>
      </c>
      <c r="AA116" s="429">
        <f t="shared" si="177"/>
        <v>0</v>
      </c>
      <c r="AB116" s="428">
        <f t="shared" si="177"/>
        <v>0</v>
      </c>
      <c r="AC116" s="429">
        <f t="shared" si="177"/>
        <v>0</v>
      </c>
      <c r="AD116" s="428">
        <f t="shared" si="177"/>
        <v>0</v>
      </c>
      <c r="AE116" s="429">
        <f t="shared" si="177"/>
        <v>0</v>
      </c>
      <c r="AF116" s="428">
        <f t="shared" si="177"/>
        <v>0</v>
      </c>
      <c r="AG116" s="429">
        <f t="shared" si="177"/>
        <v>0</v>
      </c>
      <c r="AH116" s="428">
        <f t="shared" si="177"/>
        <v>0</v>
      </c>
      <c r="AI116" s="429">
        <f t="shared" si="177"/>
        <v>0</v>
      </c>
      <c r="AJ116" s="428">
        <f t="shared" si="177"/>
        <v>0</v>
      </c>
      <c r="AK116" s="429">
        <f t="shared" si="177"/>
        <v>0</v>
      </c>
      <c r="AL116" s="428">
        <f t="shared" si="177"/>
        <v>0</v>
      </c>
      <c r="AM116" s="429">
        <f t="shared" si="177"/>
        <v>0</v>
      </c>
      <c r="AN116" s="428">
        <f t="shared" si="177"/>
        <v>0</v>
      </c>
      <c r="AO116" s="429">
        <f t="shared" si="177"/>
        <v>0</v>
      </c>
      <c r="AP116" s="428">
        <f t="shared" si="177"/>
        <v>0</v>
      </c>
      <c r="AQ116" s="429">
        <f t="shared" si="177"/>
        <v>0</v>
      </c>
      <c r="AR116" s="428">
        <f t="shared" si="177"/>
        <v>0</v>
      </c>
      <c r="AS116" s="429">
        <f t="shared" si="177"/>
        <v>0</v>
      </c>
      <c r="AT116" s="428">
        <f t="shared" si="177"/>
        <v>0</v>
      </c>
      <c r="AU116" s="429">
        <f t="shared" si="177"/>
        <v>0</v>
      </c>
      <c r="AV116" s="428">
        <f t="shared" si="177"/>
        <v>0</v>
      </c>
      <c r="AW116" s="429">
        <f t="shared" si="177"/>
        <v>0</v>
      </c>
      <c r="AX116" s="428">
        <f t="shared" si="177"/>
        <v>0</v>
      </c>
      <c r="AY116" s="429">
        <f t="shared" si="177"/>
        <v>0</v>
      </c>
      <c r="AZ116" s="428">
        <f t="shared" si="177"/>
        <v>0</v>
      </c>
      <c r="BA116" s="429">
        <f t="shared" si="177"/>
        <v>0</v>
      </c>
      <c r="BB116" s="428">
        <f t="shared" si="177"/>
        <v>0</v>
      </c>
      <c r="BC116" s="429">
        <f t="shared" si="177"/>
        <v>0</v>
      </c>
      <c r="BD116" s="428">
        <f t="shared" si="177"/>
        <v>0</v>
      </c>
      <c r="BE116" s="429">
        <f t="shared" si="177"/>
        <v>0</v>
      </c>
      <c r="BF116" s="428">
        <f t="shared" si="177"/>
        <v>0</v>
      </c>
      <c r="BG116" s="429">
        <f t="shared" si="177"/>
        <v>0</v>
      </c>
      <c r="BH116" s="428">
        <f t="shared" si="177"/>
        <v>101</v>
      </c>
      <c r="BI116" s="429">
        <f t="shared" si="177"/>
        <v>5838000</v>
      </c>
      <c r="BJ116" s="428">
        <f t="shared" si="177"/>
        <v>101</v>
      </c>
      <c r="BK116" s="430">
        <f t="shared" si="177"/>
        <v>5838000</v>
      </c>
      <c r="BL116" s="335"/>
      <c r="BN116" s="430">
        <f t="shared" ref="BN116:BU116" si="178">SUM(BN100:BN115)</f>
        <v>0</v>
      </c>
      <c r="BO116" s="430">
        <f t="shared" si="178"/>
        <v>0</v>
      </c>
      <c r="BP116" s="430">
        <f t="shared" si="178"/>
        <v>0</v>
      </c>
      <c r="BQ116" s="430">
        <f t="shared" si="178"/>
        <v>0</v>
      </c>
      <c r="BR116" s="430">
        <f t="shared" si="178"/>
        <v>0</v>
      </c>
      <c r="BS116" s="430">
        <f t="shared" si="178"/>
        <v>0</v>
      </c>
      <c r="BT116" s="430">
        <f t="shared" si="178"/>
        <v>5838000</v>
      </c>
      <c r="BU116" s="430">
        <f t="shared" si="178"/>
        <v>5838000</v>
      </c>
      <c r="BV116" s="380">
        <f t="shared" si="106"/>
        <v>5838000</v>
      </c>
    </row>
    <row r="117" spans="2:74" x14ac:dyDescent="0.25">
      <c r="B117" s="438"/>
      <c r="C117" s="438"/>
      <c r="D117" s="438"/>
      <c r="E117" s="439"/>
      <c r="F117" s="440">
        <f t="shared" ref="F117:BG117" si="179">F116+F98+F66+F44+F17</f>
        <v>435</v>
      </c>
      <c r="G117" s="397">
        <f t="shared" si="179"/>
        <v>51290000</v>
      </c>
      <c r="H117" s="397">
        <f t="shared" si="179"/>
        <v>21002200</v>
      </c>
      <c r="I117" s="397">
        <f t="shared" si="179"/>
        <v>30287800</v>
      </c>
      <c r="J117" s="397">
        <f t="shared" si="179"/>
        <v>0</v>
      </c>
      <c r="K117" s="397">
        <f t="shared" si="179"/>
        <v>0</v>
      </c>
      <c r="L117" s="397">
        <f t="shared" si="179"/>
        <v>0</v>
      </c>
      <c r="M117" s="397">
        <f t="shared" si="179"/>
        <v>0</v>
      </c>
      <c r="N117" s="397">
        <f t="shared" si="179"/>
        <v>0</v>
      </c>
      <c r="O117" s="397">
        <f t="shared" si="179"/>
        <v>0</v>
      </c>
      <c r="P117" s="397">
        <f t="shared" si="179"/>
        <v>0</v>
      </c>
      <c r="Q117" s="397">
        <f t="shared" si="179"/>
        <v>0</v>
      </c>
      <c r="R117" s="440">
        <f t="shared" si="179"/>
        <v>103</v>
      </c>
      <c r="S117" s="440">
        <f t="shared" si="179"/>
        <v>129</v>
      </c>
      <c r="T117" s="440">
        <f t="shared" si="179"/>
        <v>102</v>
      </c>
      <c r="U117" s="440">
        <f t="shared" si="179"/>
        <v>101</v>
      </c>
      <c r="V117" s="397">
        <f t="shared" si="179"/>
        <v>16903750</v>
      </c>
      <c r="W117" s="397">
        <f t="shared" si="179"/>
        <v>14078750</v>
      </c>
      <c r="X117" s="397">
        <f t="shared" si="179"/>
        <v>9313750</v>
      </c>
      <c r="Y117" s="397">
        <f t="shared" si="179"/>
        <v>10993750</v>
      </c>
      <c r="Z117" s="440">
        <f t="shared" si="179"/>
        <v>0</v>
      </c>
      <c r="AA117" s="397">
        <f t="shared" si="179"/>
        <v>0</v>
      </c>
      <c r="AB117" s="440">
        <f t="shared" si="179"/>
        <v>0</v>
      </c>
      <c r="AC117" s="397">
        <f t="shared" si="179"/>
        <v>0</v>
      </c>
      <c r="AD117" s="440">
        <f t="shared" si="179"/>
        <v>0</v>
      </c>
      <c r="AE117" s="397">
        <f t="shared" si="179"/>
        <v>0</v>
      </c>
      <c r="AF117" s="440">
        <f t="shared" si="179"/>
        <v>0</v>
      </c>
      <c r="AG117" s="397">
        <f t="shared" si="179"/>
        <v>0</v>
      </c>
      <c r="AH117" s="440">
        <f t="shared" si="179"/>
        <v>0</v>
      </c>
      <c r="AI117" s="397">
        <f t="shared" si="179"/>
        <v>0</v>
      </c>
      <c r="AJ117" s="440">
        <f t="shared" si="179"/>
        <v>0</v>
      </c>
      <c r="AK117" s="397">
        <f t="shared" si="179"/>
        <v>0</v>
      </c>
      <c r="AL117" s="440">
        <f t="shared" si="179"/>
        <v>0</v>
      </c>
      <c r="AM117" s="397">
        <f t="shared" si="179"/>
        <v>0</v>
      </c>
      <c r="AN117" s="440">
        <f t="shared" si="179"/>
        <v>0</v>
      </c>
      <c r="AO117" s="397">
        <f t="shared" si="179"/>
        <v>0</v>
      </c>
      <c r="AP117" s="440">
        <f t="shared" si="179"/>
        <v>0</v>
      </c>
      <c r="AQ117" s="397">
        <f t="shared" si="179"/>
        <v>0</v>
      </c>
      <c r="AR117" s="440">
        <f t="shared" si="179"/>
        <v>0</v>
      </c>
      <c r="AS117" s="397">
        <f t="shared" si="179"/>
        <v>0</v>
      </c>
      <c r="AT117" s="440">
        <f t="shared" si="179"/>
        <v>0</v>
      </c>
      <c r="AU117" s="397">
        <f t="shared" si="179"/>
        <v>0</v>
      </c>
      <c r="AV117" s="440">
        <f t="shared" si="179"/>
        <v>0</v>
      </c>
      <c r="AW117" s="397">
        <f t="shared" si="179"/>
        <v>0</v>
      </c>
      <c r="AX117" s="440">
        <f t="shared" si="179"/>
        <v>0</v>
      </c>
      <c r="AY117" s="397">
        <f t="shared" si="179"/>
        <v>0</v>
      </c>
      <c r="AZ117" s="440">
        <f t="shared" si="179"/>
        <v>0</v>
      </c>
      <c r="BA117" s="397">
        <f t="shared" si="179"/>
        <v>0</v>
      </c>
      <c r="BB117" s="440">
        <f t="shared" si="179"/>
        <v>0</v>
      </c>
      <c r="BC117" s="397">
        <f t="shared" si="179"/>
        <v>0</v>
      </c>
      <c r="BD117" s="440">
        <f t="shared" si="179"/>
        <v>0</v>
      </c>
      <c r="BE117" s="397">
        <f t="shared" si="179"/>
        <v>0</v>
      </c>
      <c r="BF117" s="440">
        <f t="shared" si="179"/>
        <v>0</v>
      </c>
      <c r="BG117" s="397">
        <f t="shared" si="179"/>
        <v>0</v>
      </c>
      <c r="BH117" s="440">
        <f>BH116+BH98+BH66+BH44+BH17</f>
        <v>435</v>
      </c>
      <c r="BI117" s="397">
        <f>BI116+BI98+BI66+BI44+BI17</f>
        <v>51290000</v>
      </c>
      <c r="BJ117" s="440">
        <f>BJ116+BJ98+BJ66+BJ44+BJ17</f>
        <v>435</v>
      </c>
      <c r="BK117" s="397">
        <f>BK116+BK98+BK66+BK44+BK17</f>
        <v>51290000</v>
      </c>
      <c r="BL117" s="335"/>
      <c r="BN117" s="397">
        <f t="shared" ref="BN117:BU117" si="180">BN116+BN98+BN66+BN44+BN17</f>
        <v>0</v>
      </c>
      <c r="BO117" s="397">
        <f t="shared" si="180"/>
        <v>0</v>
      </c>
      <c r="BP117" s="397">
        <f t="shared" si="180"/>
        <v>15476000</v>
      </c>
      <c r="BQ117" s="397">
        <f t="shared" si="180"/>
        <v>0</v>
      </c>
      <c r="BR117" s="397">
        <f t="shared" si="180"/>
        <v>15476000</v>
      </c>
      <c r="BS117" s="397">
        <f t="shared" si="180"/>
        <v>28776000</v>
      </c>
      <c r="BT117" s="397">
        <f t="shared" si="180"/>
        <v>7038000</v>
      </c>
      <c r="BU117" s="397">
        <f t="shared" si="180"/>
        <v>35814000</v>
      </c>
      <c r="BV117" s="441">
        <f t="shared" si="106"/>
        <v>51290000</v>
      </c>
    </row>
    <row r="118" spans="2:74" x14ac:dyDescent="0.25">
      <c r="C118" s="39" t="s">
        <v>505</v>
      </c>
    </row>
    <row r="119" spans="2:74" x14ac:dyDescent="0.25">
      <c r="C119" s="39" t="s">
        <v>569</v>
      </c>
      <c r="X119" s="82"/>
    </row>
    <row r="120" spans="2:74" x14ac:dyDescent="0.25">
      <c r="C120" s="39" t="s">
        <v>570</v>
      </c>
      <c r="X120" s="82"/>
    </row>
    <row r="121" spans="2:74" x14ac:dyDescent="0.25">
      <c r="C121" s="39" t="s">
        <v>571</v>
      </c>
    </row>
    <row r="122" spans="2:74" x14ac:dyDescent="0.25">
      <c r="C122" s="39" t="s">
        <v>572</v>
      </c>
    </row>
    <row r="123" spans="2:74" x14ac:dyDescent="0.25">
      <c r="C123" s="39" t="s">
        <v>573</v>
      </c>
    </row>
    <row r="124" spans="2:74" x14ac:dyDescent="0.25">
      <c r="C124" s="39" t="s">
        <v>574</v>
      </c>
    </row>
    <row r="125" spans="2:74" x14ac:dyDescent="0.25">
      <c r="C125" s="39" t="s">
        <v>575</v>
      </c>
    </row>
  </sheetData>
  <mergeCells count="45">
    <mergeCell ref="BH7:BI8"/>
    <mergeCell ref="AF7:AG8"/>
    <mergeCell ref="AH7:AI8"/>
    <mergeCell ref="BJ7:BK8"/>
    <mergeCell ref="A8:A9"/>
    <mergeCell ref="C8:C9"/>
    <mergeCell ref="D8:D9"/>
    <mergeCell ref="E8:E9"/>
    <mergeCell ref="AR7:AS8"/>
    <mergeCell ref="R7:U8"/>
    <mergeCell ref="BB7:BC8"/>
    <mergeCell ref="BD7:BE8"/>
    <mergeCell ref="AD7:AE8"/>
    <mergeCell ref="AX7:AY8"/>
    <mergeCell ref="AZ7:BA8"/>
    <mergeCell ref="AN7:AO8"/>
    <mergeCell ref="H7:Q7"/>
    <mergeCell ref="A10:A94"/>
    <mergeCell ref="AJ7:AK8"/>
    <mergeCell ref="BF7:BG8"/>
    <mergeCell ref="F8:F9"/>
    <mergeCell ref="G8:G9"/>
    <mergeCell ref="AT7:AU8"/>
    <mergeCell ref="AV7:AW8"/>
    <mergeCell ref="AL7:AM8"/>
    <mergeCell ref="V7:Y8"/>
    <mergeCell ref="AB7:AC8"/>
    <mergeCell ref="AP7:AQ8"/>
    <mergeCell ref="Z7:AA8"/>
    <mergeCell ref="BL7:BL9"/>
    <mergeCell ref="BN8:BR8"/>
    <mergeCell ref="BS8:BU8"/>
    <mergeCell ref="BV8:BV9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A7:D7"/>
    <mergeCell ref="E7:G7"/>
  </mergeCells>
  <pageMargins left="0.4" right="0.7" top="0.32" bottom="0.17" header="0.3" footer="0.17"/>
  <pageSetup paperSize="9" scale="11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BV119"/>
  <sheetViews>
    <sheetView zoomScale="90" zoomScaleNormal="90" workbookViewId="0">
      <pane xSplit="7" ySplit="9" topLeftCell="R100" activePane="bottomRight" state="frozen"/>
      <selection pane="topRight" activeCell="H1" sqref="H1"/>
      <selection pane="bottomLeft" activeCell="A10" sqref="A10"/>
      <selection pane="bottomRight" activeCell="Y116" sqref="Y116"/>
    </sheetView>
  </sheetViews>
  <sheetFormatPr defaultColWidth="9.140625" defaultRowHeight="15.75" x14ac:dyDescent="0.25"/>
  <cols>
    <col min="1" max="1" width="16.140625" style="39" hidden="1" customWidth="1"/>
    <col min="2" max="2" width="12.140625" style="39" customWidth="1"/>
    <col min="3" max="3" width="26.140625" style="39" customWidth="1"/>
    <col min="4" max="4" width="9.5703125" style="39" customWidth="1"/>
    <col min="5" max="5" width="17.28515625" style="351" customWidth="1"/>
    <col min="6" max="6" width="8" style="39" customWidth="1"/>
    <col min="7" max="7" width="15.28515625" style="82" customWidth="1"/>
    <col min="8" max="8" width="17" style="82" customWidth="1"/>
    <col min="9" max="9" width="17.42578125" style="82" customWidth="1"/>
    <col min="10" max="10" width="7.7109375" style="82" customWidth="1"/>
    <col min="11" max="11" width="6.28515625" style="82" customWidth="1"/>
    <col min="12" max="12" width="11.28515625" style="82" customWidth="1"/>
    <col min="13" max="13" width="5.85546875" style="82" customWidth="1"/>
    <col min="14" max="14" width="8.85546875" style="82" customWidth="1"/>
    <col min="15" max="15" width="7.140625" style="39" customWidth="1"/>
    <col min="16" max="16" width="9.28515625" style="39" customWidth="1"/>
    <col min="17" max="17" width="13.140625" style="39" customWidth="1"/>
    <col min="18" max="21" width="7.85546875" style="39" customWidth="1"/>
    <col min="22" max="22" width="14.5703125" style="39" customWidth="1"/>
    <col min="23" max="23" width="14.7109375" style="39" customWidth="1"/>
    <col min="24" max="24" width="14.28515625" style="39" customWidth="1"/>
    <col min="25" max="25" width="15" style="39" customWidth="1"/>
    <col min="26" max="26" width="9.140625" style="39" customWidth="1"/>
    <col min="27" max="27" width="17.28515625" style="39" customWidth="1"/>
    <col min="28" max="28" width="9.140625" style="39" customWidth="1"/>
    <col min="29" max="29" width="14.7109375" style="39" customWidth="1"/>
    <col min="30" max="30" width="9.140625" style="39" customWidth="1"/>
    <col min="31" max="31" width="16.42578125" style="39" customWidth="1"/>
    <col min="32" max="32" width="9.140625" style="39" customWidth="1"/>
    <col min="33" max="33" width="16.28515625" style="39" customWidth="1"/>
    <col min="34" max="34" width="9.140625" style="39" customWidth="1"/>
    <col min="35" max="35" width="16.28515625" style="39" customWidth="1"/>
    <col min="36" max="36" width="9.140625" style="39" customWidth="1"/>
    <col min="37" max="37" width="16.42578125" style="39" customWidth="1"/>
    <col min="38" max="38" width="9.140625" style="39" customWidth="1"/>
    <col min="39" max="39" width="16.28515625" style="39" customWidth="1"/>
    <col min="40" max="40" width="9.140625" style="39" customWidth="1"/>
    <col min="41" max="41" width="14.28515625" style="39" customWidth="1"/>
    <col min="42" max="42" width="5" style="39" customWidth="1"/>
    <col min="43" max="43" width="15.85546875" style="39" customWidth="1"/>
    <col min="44" max="44" width="5" style="39" customWidth="1"/>
    <col min="45" max="45" width="16.7109375" style="39" customWidth="1"/>
    <col min="46" max="46" width="5" style="39" customWidth="1"/>
    <col min="47" max="47" width="17.5703125" style="39" customWidth="1"/>
    <col min="48" max="48" width="5" style="39" customWidth="1"/>
    <col min="49" max="49" width="14.5703125" style="39" customWidth="1"/>
    <col min="50" max="50" width="5" style="39" customWidth="1"/>
    <col min="51" max="51" width="14" style="39" customWidth="1"/>
    <col min="52" max="52" width="5" style="39" customWidth="1"/>
    <col min="53" max="53" width="14.85546875" style="39" customWidth="1"/>
    <col min="54" max="54" width="5.85546875" style="39" customWidth="1"/>
    <col min="55" max="55" width="17.5703125" style="39" customWidth="1"/>
    <col min="56" max="56" width="5" style="39" customWidth="1"/>
    <col min="57" max="57" width="14.7109375" style="39" customWidth="1"/>
    <col min="58" max="58" width="5" style="39" customWidth="1"/>
    <col min="59" max="59" width="14.28515625" style="39" customWidth="1"/>
    <col min="60" max="60" width="5" style="39" customWidth="1"/>
    <col min="61" max="61" width="16" style="39" customWidth="1"/>
    <col min="62" max="62" width="7.5703125" style="39" customWidth="1"/>
    <col min="63" max="63" width="19.42578125" style="39" customWidth="1"/>
    <col min="64" max="64" width="14.140625" style="39" customWidth="1"/>
    <col min="65" max="65" width="9.140625" style="39" customWidth="1"/>
    <col min="66" max="66" width="14.7109375" style="39" customWidth="1"/>
    <col min="67" max="67" width="10.7109375" style="39" customWidth="1"/>
    <col min="68" max="68" width="14" style="39" customWidth="1"/>
    <col min="69" max="69" width="9.140625" style="39"/>
    <col min="70" max="71" width="14.140625" style="39" customWidth="1"/>
    <col min="72" max="72" width="16.85546875" style="39" customWidth="1"/>
    <col min="73" max="73" width="19.140625" style="39" customWidth="1"/>
    <col min="74" max="74" width="19" style="39" customWidth="1"/>
    <col min="75" max="16384" width="9.140625" style="39"/>
  </cols>
  <sheetData>
    <row r="1" spans="1:74" ht="15" hidden="1" customHeight="1" x14ac:dyDescent="0.25"/>
    <row r="2" spans="1:74" ht="21" hidden="1" customHeight="1" x14ac:dyDescent="0.25">
      <c r="A2" s="872" t="s">
        <v>407</v>
      </c>
      <c r="B2" s="872"/>
      <c r="C2" s="874" t="s">
        <v>401</v>
      </c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67"/>
      <c r="S2" s="67"/>
      <c r="T2" s="67"/>
      <c r="U2" s="67"/>
      <c r="V2" s="67"/>
      <c r="W2" s="67"/>
      <c r="X2" s="67"/>
      <c r="Y2" s="67"/>
    </row>
    <row r="3" spans="1:74" ht="17.25" hidden="1" customHeight="1" x14ac:dyDescent="0.25">
      <c r="A3" s="872" t="s">
        <v>403</v>
      </c>
      <c r="B3" s="872"/>
      <c r="C3" s="874" t="s">
        <v>402</v>
      </c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67"/>
      <c r="S3" s="67"/>
      <c r="T3" s="67"/>
      <c r="U3" s="67"/>
      <c r="V3" s="67"/>
      <c r="W3" s="67"/>
      <c r="X3" s="67"/>
      <c r="Y3" s="67"/>
      <c r="AA3" s="39">
        <f>816/17</f>
        <v>48</v>
      </c>
    </row>
    <row r="4" spans="1:74" ht="18.75" hidden="1" customHeight="1" x14ac:dyDescent="0.25">
      <c r="A4" s="872" t="s">
        <v>404</v>
      </c>
      <c r="B4" s="872"/>
      <c r="C4" s="874" t="s">
        <v>746</v>
      </c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67"/>
      <c r="S4" s="67"/>
      <c r="T4" s="67"/>
      <c r="U4" s="67"/>
      <c r="V4" s="67"/>
      <c r="W4" s="67"/>
      <c r="X4" s="67"/>
      <c r="Y4" s="67"/>
    </row>
    <row r="5" spans="1:74" ht="27.75" hidden="1" customHeight="1" x14ac:dyDescent="0.25">
      <c r="A5" s="872" t="s">
        <v>410</v>
      </c>
      <c r="B5" s="872"/>
      <c r="C5" s="874" t="s">
        <v>408</v>
      </c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67"/>
      <c r="S5" s="67"/>
      <c r="T5" s="67"/>
      <c r="U5" s="67"/>
      <c r="V5" s="67"/>
      <c r="W5" s="67"/>
      <c r="X5" s="67"/>
      <c r="Y5" s="67"/>
    </row>
    <row r="6" spans="1:74" ht="19.5" hidden="1" customHeight="1" x14ac:dyDescent="0.25">
      <c r="A6" s="872" t="s">
        <v>412</v>
      </c>
      <c r="B6" s="872"/>
      <c r="C6" s="874" t="s">
        <v>369</v>
      </c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4"/>
      <c r="O6" s="874"/>
      <c r="P6" s="874"/>
      <c r="Q6" s="874"/>
      <c r="R6" s="67"/>
      <c r="S6" s="67"/>
      <c r="T6" s="67"/>
      <c r="U6" s="67"/>
      <c r="V6" s="67"/>
      <c r="W6" s="67"/>
      <c r="X6" s="67"/>
      <c r="Y6" s="67"/>
    </row>
    <row r="7" spans="1:74" ht="17.25" customHeight="1" x14ac:dyDescent="0.25">
      <c r="A7" s="1022"/>
      <c r="B7" s="1022"/>
      <c r="C7" s="1022"/>
      <c r="D7" s="1022"/>
      <c r="E7" s="1022"/>
      <c r="F7" s="1022"/>
      <c r="G7" s="1022"/>
      <c r="H7" s="932" t="s">
        <v>400</v>
      </c>
      <c r="I7" s="933"/>
      <c r="J7" s="933"/>
      <c r="K7" s="933"/>
      <c r="L7" s="933"/>
      <c r="M7" s="933"/>
      <c r="N7" s="933"/>
      <c r="O7" s="933"/>
      <c r="P7" s="933"/>
      <c r="Q7" s="934"/>
      <c r="R7" s="1031" t="s">
        <v>68</v>
      </c>
      <c r="S7" s="1032"/>
      <c r="T7" s="1032"/>
      <c r="U7" s="1033"/>
      <c r="V7" s="1025" t="s">
        <v>6</v>
      </c>
      <c r="W7" s="1026"/>
      <c r="X7" s="1026"/>
      <c r="Y7" s="1027"/>
      <c r="Z7" s="1037" t="s">
        <v>432</v>
      </c>
      <c r="AA7" s="1037"/>
      <c r="AB7" s="1037" t="s">
        <v>433</v>
      </c>
      <c r="AC7" s="1037"/>
      <c r="AD7" s="1037" t="s">
        <v>434</v>
      </c>
      <c r="AE7" s="1037"/>
      <c r="AF7" s="1037" t="s">
        <v>435</v>
      </c>
      <c r="AG7" s="1037"/>
      <c r="AH7" s="1037" t="s">
        <v>436</v>
      </c>
      <c r="AI7" s="1037"/>
      <c r="AJ7" s="1037" t="s">
        <v>437</v>
      </c>
      <c r="AK7" s="1037"/>
      <c r="AL7" s="1037" t="s">
        <v>438</v>
      </c>
      <c r="AM7" s="1037"/>
      <c r="AN7" s="1037" t="s">
        <v>439</v>
      </c>
      <c r="AO7" s="1037"/>
      <c r="AP7" s="1037" t="s">
        <v>440</v>
      </c>
      <c r="AQ7" s="1037"/>
      <c r="AR7" s="1037" t="s">
        <v>441</v>
      </c>
      <c r="AS7" s="1037"/>
      <c r="AT7" s="1037" t="s">
        <v>442</v>
      </c>
      <c r="AU7" s="1037"/>
      <c r="AV7" s="1037" t="s">
        <v>443</v>
      </c>
      <c r="AW7" s="1037"/>
      <c r="AX7" s="1037" t="s">
        <v>444</v>
      </c>
      <c r="AY7" s="1037"/>
      <c r="AZ7" s="1037" t="s">
        <v>445</v>
      </c>
      <c r="BA7" s="1037"/>
      <c r="BB7" s="1037" t="s">
        <v>446</v>
      </c>
      <c r="BC7" s="1037"/>
      <c r="BD7" s="1037" t="s">
        <v>447</v>
      </c>
      <c r="BE7" s="1037"/>
      <c r="BF7" s="1037" t="s">
        <v>448</v>
      </c>
      <c r="BG7" s="1037"/>
      <c r="BH7" s="1037" t="s">
        <v>449</v>
      </c>
      <c r="BI7" s="1037"/>
      <c r="BJ7" s="1037" t="s">
        <v>18</v>
      </c>
      <c r="BK7" s="1038"/>
      <c r="BL7" s="864" t="s">
        <v>496</v>
      </c>
    </row>
    <row r="8" spans="1:74" x14ac:dyDescent="0.25">
      <c r="A8" s="684" t="s">
        <v>14</v>
      </c>
      <c r="B8" s="684" t="s">
        <v>1</v>
      </c>
      <c r="C8" s="1022" t="s">
        <v>12</v>
      </c>
      <c r="D8" s="684" t="s">
        <v>15</v>
      </c>
      <c r="E8" s="1024" t="s">
        <v>23</v>
      </c>
      <c r="F8" s="1024" t="s">
        <v>368</v>
      </c>
      <c r="G8" s="1039" t="s">
        <v>30</v>
      </c>
      <c r="H8" s="118" t="s">
        <v>455</v>
      </c>
      <c r="I8" s="118" t="s">
        <v>456</v>
      </c>
      <c r="J8" s="118" t="s">
        <v>457</v>
      </c>
      <c r="K8" s="118" t="s">
        <v>458</v>
      </c>
      <c r="L8" s="118" t="s">
        <v>459</v>
      </c>
      <c r="M8" s="118" t="s">
        <v>460</v>
      </c>
      <c r="N8" s="118" t="s">
        <v>461</v>
      </c>
      <c r="O8" s="118" t="s">
        <v>462</v>
      </c>
      <c r="P8" s="118" t="s">
        <v>463</v>
      </c>
      <c r="Q8" s="118" t="s">
        <v>464</v>
      </c>
      <c r="R8" s="1034"/>
      <c r="S8" s="1035"/>
      <c r="T8" s="1035"/>
      <c r="U8" s="1036"/>
      <c r="V8" s="1028"/>
      <c r="W8" s="1029"/>
      <c r="X8" s="1029"/>
      <c r="Y8" s="1030"/>
      <c r="Z8" s="1037"/>
      <c r="AA8" s="1037"/>
      <c r="AB8" s="1037" t="s">
        <v>49</v>
      </c>
      <c r="AC8" s="1037"/>
      <c r="AD8" s="1037" t="s">
        <v>50</v>
      </c>
      <c r="AE8" s="1037"/>
      <c r="AF8" s="1037" t="s">
        <v>51</v>
      </c>
      <c r="AG8" s="1037"/>
      <c r="AH8" s="1037" t="s">
        <v>52</v>
      </c>
      <c r="AI8" s="1037"/>
      <c r="AJ8" s="1037" t="s">
        <v>53</v>
      </c>
      <c r="AK8" s="1037"/>
      <c r="AL8" s="1037" t="s">
        <v>54</v>
      </c>
      <c r="AM8" s="1037"/>
      <c r="AN8" s="1037" t="s">
        <v>55</v>
      </c>
      <c r="AO8" s="1037"/>
      <c r="AP8" s="1037" t="s">
        <v>56</v>
      </c>
      <c r="AQ8" s="1037"/>
      <c r="AR8" s="1037" t="s">
        <v>57</v>
      </c>
      <c r="AS8" s="1037"/>
      <c r="AT8" s="1037" t="s">
        <v>58</v>
      </c>
      <c r="AU8" s="1037"/>
      <c r="AV8" s="1037" t="s">
        <v>59</v>
      </c>
      <c r="AW8" s="1037"/>
      <c r="AX8" s="1037" t="s">
        <v>60</v>
      </c>
      <c r="AY8" s="1037"/>
      <c r="AZ8" s="1037" t="s">
        <v>61</v>
      </c>
      <c r="BA8" s="1037"/>
      <c r="BB8" s="1037" t="s">
        <v>45</v>
      </c>
      <c r="BC8" s="1037"/>
      <c r="BD8" s="1037" t="s">
        <v>42</v>
      </c>
      <c r="BE8" s="1037"/>
      <c r="BF8" s="1037"/>
      <c r="BG8" s="1037"/>
      <c r="BH8" s="1037"/>
      <c r="BI8" s="1037"/>
      <c r="BJ8" s="1037"/>
      <c r="BK8" s="1038"/>
      <c r="BL8" s="864"/>
      <c r="BN8" s="863" t="s">
        <v>494</v>
      </c>
      <c r="BO8" s="863"/>
      <c r="BP8" s="863"/>
      <c r="BQ8" s="863"/>
      <c r="BR8" s="863"/>
      <c r="BS8" s="863" t="s">
        <v>495</v>
      </c>
      <c r="BT8" s="863"/>
      <c r="BU8" s="883"/>
      <c r="BV8" s="864" t="s">
        <v>18</v>
      </c>
    </row>
    <row r="9" spans="1:74" ht="27" customHeight="1" x14ac:dyDescent="0.25">
      <c r="A9" s="352"/>
      <c r="B9" s="352" t="s">
        <v>2</v>
      </c>
      <c r="C9" s="1022"/>
      <c r="D9" s="352"/>
      <c r="E9" s="1024"/>
      <c r="F9" s="1024"/>
      <c r="G9" s="1040"/>
      <c r="H9" s="151"/>
      <c r="I9" s="151"/>
      <c r="J9" s="151"/>
      <c r="K9" s="151"/>
      <c r="L9" s="151"/>
      <c r="M9" s="151">
        <v>0</v>
      </c>
      <c r="N9" s="151">
        <v>0</v>
      </c>
      <c r="O9" s="151">
        <v>0</v>
      </c>
      <c r="P9" s="151">
        <v>0</v>
      </c>
      <c r="Q9" s="151">
        <v>14.2</v>
      </c>
      <c r="R9" s="352" t="s">
        <v>7</v>
      </c>
      <c r="S9" s="352" t="s">
        <v>8</v>
      </c>
      <c r="T9" s="352" t="s">
        <v>9</v>
      </c>
      <c r="U9" s="352" t="s">
        <v>10</v>
      </c>
      <c r="V9" s="352" t="s">
        <v>7</v>
      </c>
      <c r="W9" s="352" t="s">
        <v>8</v>
      </c>
      <c r="X9" s="352" t="s">
        <v>9</v>
      </c>
      <c r="Y9" s="352" t="s">
        <v>10</v>
      </c>
      <c r="Z9" s="353" t="s">
        <v>15</v>
      </c>
      <c r="AA9" s="354" t="s">
        <v>16</v>
      </c>
      <c r="AB9" s="355" t="s">
        <v>15</v>
      </c>
      <c r="AC9" s="355" t="s">
        <v>16</v>
      </c>
      <c r="AD9" s="355" t="s">
        <v>15</v>
      </c>
      <c r="AE9" s="355" t="s">
        <v>16</v>
      </c>
      <c r="AF9" s="355" t="s">
        <v>15</v>
      </c>
      <c r="AG9" s="355" t="s">
        <v>16</v>
      </c>
      <c r="AH9" s="355" t="s">
        <v>15</v>
      </c>
      <c r="AI9" s="355" t="s">
        <v>16</v>
      </c>
      <c r="AJ9" s="355" t="s">
        <v>15</v>
      </c>
      <c r="AK9" s="355" t="s">
        <v>16</v>
      </c>
      <c r="AL9" s="355" t="s">
        <v>15</v>
      </c>
      <c r="AM9" s="355" t="s">
        <v>16</v>
      </c>
      <c r="AN9" s="355" t="s">
        <v>15</v>
      </c>
      <c r="AO9" s="355" t="s">
        <v>16</v>
      </c>
      <c r="AP9" s="355" t="s">
        <v>15</v>
      </c>
      <c r="AQ9" s="355" t="s">
        <v>16</v>
      </c>
      <c r="AR9" s="355" t="s">
        <v>15</v>
      </c>
      <c r="AS9" s="355" t="s">
        <v>16</v>
      </c>
      <c r="AT9" s="355" t="s">
        <v>15</v>
      </c>
      <c r="AU9" s="355" t="s">
        <v>16</v>
      </c>
      <c r="AV9" s="355" t="s">
        <v>15</v>
      </c>
      <c r="AW9" s="355" t="s">
        <v>16</v>
      </c>
      <c r="AX9" s="355" t="s">
        <v>15</v>
      </c>
      <c r="AY9" s="355" t="s">
        <v>16</v>
      </c>
      <c r="AZ9" s="355" t="s">
        <v>15</v>
      </c>
      <c r="BA9" s="355" t="s">
        <v>16</v>
      </c>
      <c r="BB9" s="355" t="s">
        <v>15</v>
      </c>
      <c r="BC9" s="355" t="s">
        <v>16</v>
      </c>
      <c r="BD9" s="355" t="s">
        <v>15</v>
      </c>
      <c r="BE9" s="355" t="s">
        <v>16</v>
      </c>
      <c r="BF9" s="355" t="s">
        <v>15</v>
      </c>
      <c r="BG9" s="355" t="s">
        <v>16</v>
      </c>
      <c r="BH9" s="355" t="s">
        <v>15</v>
      </c>
      <c r="BI9" s="355" t="s">
        <v>16</v>
      </c>
      <c r="BJ9" s="355" t="s">
        <v>15</v>
      </c>
      <c r="BK9" s="356" t="s">
        <v>16</v>
      </c>
      <c r="BL9" s="864"/>
      <c r="BN9" s="118" t="s">
        <v>485</v>
      </c>
      <c r="BO9" s="357" t="s">
        <v>486</v>
      </c>
      <c r="BP9" s="357" t="s">
        <v>487</v>
      </c>
      <c r="BQ9" s="358" t="s">
        <v>488</v>
      </c>
      <c r="BR9" s="359" t="s">
        <v>489</v>
      </c>
      <c r="BS9" s="357" t="s">
        <v>490</v>
      </c>
      <c r="BT9" s="357" t="s">
        <v>491</v>
      </c>
      <c r="BU9" s="360" t="s">
        <v>492</v>
      </c>
      <c r="BV9" s="864"/>
    </row>
    <row r="10" spans="1:74" x14ac:dyDescent="0.25">
      <c r="A10" s="1023"/>
      <c r="B10" s="38">
        <v>42000</v>
      </c>
      <c r="C10" s="352" t="s">
        <v>681</v>
      </c>
      <c r="D10" s="43"/>
      <c r="E10" s="361"/>
      <c r="F10" s="43"/>
      <c r="G10" s="362"/>
      <c r="H10" s="362"/>
      <c r="I10" s="362"/>
      <c r="J10" s="362"/>
      <c r="K10" s="362"/>
      <c r="L10" s="362"/>
      <c r="M10" s="362"/>
      <c r="N10" s="362"/>
      <c r="O10" s="363"/>
      <c r="P10" s="363"/>
      <c r="Q10" s="363"/>
      <c r="R10" s="364"/>
      <c r="S10" s="60"/>
      <c r="T10" s="364"/>
      <c r="U10" s="364"/>
      <c r="V10" s="364"/>
      <c r="W10" s="47"/>
      <c r="X10" s="352"/>
      <c r="Y10" s="352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123"/>
      <c r="BL10" s="47"/>
      <c r="BN10" s="113"/>
      <c r="BO10" s="113"/>
      <c r="BP10" s="113"/>
      <c r="BQ10" s="113"/>
      <c r="BR10" s="113"/>
      <c r="BS10" s="113"/>
      <c r="BT10" s="113"/>
      <c r="BU10" s="124"/>
      <c r="BV10" s="179">
        <f>BR10+BU10</f>
        <v>0</v>
      </c>
    </row>
    <row r="11" spans="1:74" x14ac:dyDescent="0.25">
      <c r="A11" s="1023"/>
      <c r="B11" s="38">
        <v>41100</v>
      </c>
      <c r="C11" s="38" t="s">
        <v>238</v>
      </c>
      <c r="D11" s="38"/>
      <c r="E11" s="365"/>
      <c r="F11" s="38"/>
      <c r="G11" s="85"/>
      <c r="H11" s="85"/>
      <c r="I11" s="85"/>
      <c r="J11" s="85"/>
      <c r="K11" s="85"/>
      <c r="L11" s="85"/>
      <c r="M11" s="85"/>
      <c r="N11" s="85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123"/>
      <c r="BL11" s="47"/>
      <c r="BN11" s="113"/>
      <c r="BO11" s="113"/>
      <c r="BP11" s="113"/>
      <c r="BQ11" s="113"/>
      <c r="BR11" s="113"/>
      <c r="BS11" s="113"/>
      <c r="BT11" s="113"/>
      <c r="BU11" s="124"/>
      <c r="BV11" s="179">
        <f t="shared" ref="BV11:BV76" si="0">BR11+BU11</f>
        <v>0</v>
      </c>
    </row>
    <row r="12" spans="1:74" s="662" customFormat="1" ht="33.75" customHeight="1" x14ac:dyDescent="0.25">
      <c r="A12" s="1023"/>
      <c r="B12" s="205">
        <v>41101</v>
      </c>
      <c r="C12" s="205" t="s">
        <v>239</v>
      </c>
      <c r="D12" s="205" t="s">
        <v>240</v>
      </c>
      <c r="E12" s="378">
        <f>7*100000</f>
        <v>700000</v>
      </c>
      <c r="F12" s="205">
        <f>BJ12</f>
        <v>0</v>
      </c>
      <c r="G12" s="665">
        <f t="shared" ref="G12:G17" si="1">E12*F12</f>
        <v>0</v>
      </c>
      <c r="H12" s="665">
        <f t="shared" ref="H12:H17" si="2">G12*0.5</f>
        <v>0</v>
      </c>
      <c r="I12" s="665">
        <f t="shared" ref="I12:I17" si="3">G12*0.5</f>
        <v>0</v>
      </c>
      <c r="J12" s="665">
        <f t="shared" ref="J12:J17" si="4">G12*0</f>
        <v>0</v>
      </c>
      <c r="K12" s="665">
        <f t="shared" ref="K12:K17" si="5">G12*0</f>
        <v>0</v>
      </c>
      <c r="L12" s="665">
        <f t="shared" ref="L12:L17" si="6">G12*0</f>
        <v>0</v>
      </c>
      <c r="M12" s="665">
        <f t="shared" ref="M12:M17" si="7">G12*0</f>
        <v>0</v>
      </c>
      <c r="N12" s="665">
        <f t="shared" ref="N12:N17" si="8">G12*0</f>
        <v>0</v>
      </c>
      <c r="O12" s="665">
        <f t="shared" ref="O12:O17" si="9">G12*0</f>
        <v>0</v>
      </c>
      <c r="P12" s="665">
        <f t="shared" ref="P12:P17" si="10">G12*0</f>
        <v>0</v>
      </c>
      <c r="Q12" s="665">
        <f t="shared" ref="Q12:Q17" si="11">G12*0</f>
        <v>0</v>
      </c>
      <c r="R12" s="666"/>
      <c r="S12" s="666"/>
      <c r="T12" s="666"/>
      <c r="U12" s="666"/>
      <c r="V12" s="667">
        <f t="shared" ref="V12:V17" si="12">R12*E12</f>
        <v>0</v>
      </c>
      <c r="W12" s="667">
        <f t="shared" ref="W12:W17" si="13">S12*E12</f>
        <v>0</v>
      </c>
      <c r="X12" s="667">
        <f t="shared" ref="X12:X17" si="14">T12*E12</f>
        <v>0</v>
      </c>
      <c r="Y12" s="667">
        <f t="shared" ref="Y12:Y17" si="15">U12*E12</f>
        <v>0</v>
      </c>
      <c r="Z12" s="666">
        <v>0</v>
      </c>
      <c r="AA12" s="668">
        <f>Z12*E12</f>
        <v>0</v>
      </c>
      <c r="AB12" s="666">
        <v>0</v>
      </c>
      <c r="AC12" s="668">
        <f>AB12*E12</f>
        <v>0</v>
      </c>
      <c r="AD12" s="666">
        <v>0</v>
      </c>
      <c r="AE12" s="668">
        <f>AD12*E12</f>
        <v>0</v>
      </c>
      <c r="AF12" s="666">
        <v>0</v>
      </c>
      <c r="AG12" s="668">
        <f>AF12*E12</f>
        <v>0</v>
      </c>
      <c r="AH12" s="666">
        <v>0</v>
      </c>
      <c r="AI12" s="668">
        <f>AH12*E12</f>
        <v>0</v>
      </c>
      <c r="AJ12" s="666">
        <v>0</v>
      </c>
      <c r="AK12" s="668">
        <f>AJ12*E12</f>
        <v>0</v>
      </c>
      <c r="AL12" s="666">
        <v>0</v>
      </c>
      <c r="AM12" s="668">
        <f>AL12*E12</f>
        <v>0</v>
      </c>
      <c r="AN12" s="666">
        <v>0</v>
      </c>
      <c r="AO12" s="668">
        <f>AN12*E12</f>
        <v>0</v>
      </c>
      <c r="AP12" s="666">
        <v>0</v>
      </c>
      <c r="AQ12" s="668">
        <f>AP12*E12</f>
        <v>0</v>
      </c>
      <c r="AR12" s="666">
        <v>0</v>
      </c>
      <c r="AS12" s="668">
        <f>AR12*E12</f>
        <v>0</v>
      </c>
      <c r="AT12" s="666">
        <v>0</v>
      </c>
      <c r="AU12" s="668">
        <f>AT12*E12</f>
        <v>0</v>
      </c>
      <c r="AV12" s="666">
        <v>0</v>
      </c>
      <c r="AW12" s="668">
        <f>AV12*E12</f>
        <v>0</v>
      </c>
      <c r="AX12" s="666">
        <v>0</v>
      </c>
      <c r="AY12" s="668">
        <f>AX12*E12</f>
        <v>0</v>
      </c>
      <c r="AZ12" s="666">
        <v>0</v>
      </c>
      <c r="BA12" s="668">
        <f>AZ12*E12</f>
        <v>0</v>
      </c>
      <c r="BB12" s="666">
        <v>0</v>
      </c>
      <c r="BC12" s="668">
        <f>BB12*E12</f>
        <v>0</v>
      </c>
      <c r="BD12" s="666">
        <v>0</v>
      </c>
      <c r="BE12" s="668">
        <f>BD12*E12</f>
        <v>0</v>
      </c>
      <c r="BF12" s="666">
        <v>0</v>
      </c>
      <c r="BG12" s="668">
        <f>BF12*E12</f>
        <v>0</v>
      </c>
      <c r="BH12" s="666">
        <v>0</v>
      </c>
      <c r="BI12" s="668">
        <f>BH12*E12</f>
        <v>0</v>
      </c>
      <c r="BJ12" s="666">
        <f t="shared" ref="BJ12:BK17" si="16">Z12+AB12+AD12+AF12+AH12+AJ12+AL12+AN12+AP12+AR12+AT12+AV12+AX12+AZ12+BB12+BD12+BF12+BH12</f>
        <v>0</v>
      </c>
      <c r="BK12" s="669">
        <f t="shared" si="16"/>
        <v>0</v>
      </c>
      <c r="BL12" s="293" t="s">
        <v>467</v>
      </c>
      <c r="BN12" s="663"/>
      <c r="BO12" s="663"/>
      <c r="BP12" s="663"/>
      <c r="BQ12" s="663"/>
      <c r="BR12" s="663">
        <f t="shared" ref="BR12:BR17" si="17">BN12+BO12+BP12+BQ12</f>
        <v>0</v>
      </c>
      <c r="BS12" s="663"/>
      <c r="BT12" s="663">
        <f t="shared" ref="BT12:BT17" si="18">G12</f>
        <v>0</v>
      </c>
      <c r="BU12" s="670">
        <f t="shared" ref="BU12:BU17" si="19">BS12+BT12</f>
        <v>0</v>
      </c>
      <c r="BV12" s="668">
        <f t="shared" si="0"/>
        <v>0</v>
      </c>
    </row>
    <row r="13" spans="1:74" ht="31.5" x14ac:dyDescent="0.25">
      <c r="A13" s="1023"/>
      <c r="B13" s="38">
        <v>41102</v>
      </c>
      <c r="C13" s="38" t="s">
        <v>770</v>
      </c>
      <c r="D13" s="38" t="s">
        <v>240</v>
      </c>
      <c r="E13" s="657">
        <v>50000</v>
      </c>
      <c r="F13" s="38">
        <f>BJ13</f>
        <v>193</v>
      </c>
      <c r="G13" s="85">
        <f t="shared" si="1"/>
        <v>9650000</v>
      </c>
      <c r="H13" s="85">
        <f t="shared" si="2"/>
        <v>4825000</v>
      </c>
      <c r="I13" s="85">
        <f t="shared" si="3"/>
        <v>4825000</v>
      </c>
      <c r="J13" s="85">
        <f t="shared" si="4"/>
        <v>0</v>
      </c>
      <c r="K13" s="85">
        <f t="shared" si="5"/>
        <v>0</v>
      </c>
      <c r="L13" s="85">
        <f t="shared" si="6"/>
        <v>0</v>
      </c>
      <c r="M13" s="85">
        <f t="shared" si="7"/>
        <v>0</v>
      </c>
      <c r="N13" s="85">
        <f t="shared" si="8"/>
        <v>0</v>
      </c>
      <c r="O13" s="85">
        <f t="shared" si="9"/>
        <v>0</v>
      </c>
      <c r="P13" s="85">
        <f t="shared" si="10"/>
        <v>0</v>
      </c>
      <c r="Q13" s="85">
        <f t="shared" si="11"/>
        <v>0</v>
      </c>
      <c r="R13" s="47">
        <f>F13*0.25</f>
        <v>48.25</v>
      </c>
      <c r="S13" s="47">
        <f>F13*0.25</f>
        <v>48.25</v>
      </c>
      <c r="T13" s="47">
        <f>F13*0.25</f>
        <v>48.25</v>
      </c>
      <c r="U13" s="47">
        <f>F13*0.25</f>
        <v>48.25</v>
      </c>
      <c r="V13" s="366">
        <f t="shared" si="12"/>
        <v>2412500</v>
      </c>
      <c r="W13" s="366">
        <f t="shared" si="13"/>
        <v>2412500</v>
      </c>
      <c r="X13" s="366">
        <f t="shared" si="14"/>
        <v>2412500</v>
      </c>
      <c r="Y13" s="366">
        <f t="shared" si="15"/>
        <v>2412500</v>
      </c>
      <c r="Z13" s="47">
        <v>12</v>
      </c>
      <c r="AA13" s="179">
        <f t="shared" ref="AA13:AA76" si="20">Z13*E13</f>
        <v>600000</v>
      </c>
      <c r="AB13" s="47">
        <v>4</v>
      </c>
      <c r="AC13" s="179">
        <f t="shared" ref="AC13:AC76" si="21">AB13*E13</f>
        <v>200000</v>
      </c>
      <c r="AD13" s="47">
        <v>12</v>
      </c>
      <c r="AE13" s="179">
        <f t="shared" ref="AE13:AE76" si="22">AD13*E13</f>
        <v>600000</v>
      </c>
      <c r="AF13" s="47">
        <v>12</v>
      </c>
      <c r="AG13" s="179">
        <f t="shared" ref="AG13:AG76" si="23">AF13*E13</f>
        <v>600000</v>
      </c>
      <c r="AH13" s="47">
        <v>12</v>
      </c>
      <c r="AI13" s="179">
        <f t="shared" ref="AI13:AI76" si="24">AH13*E13</f>
        <v>600000</v>
      </c>
      <c r="AJ13" s="47">
        <v>12</v>
      </c>
      <c r="AK13" s="179">
        <f t="shared" ref="AK13:AK76" si="25">AJ13*E13</f>
        <v>600000</v>
      </c>
      <c r="AL13" s="47">
        <v>12</v>
      </c>
      <c r="AM13" s="179">
        <f t="shared" ref="AM13:AM76" si="26">AL13*E13</f>
        <v>600000</v>
      </c>
      <c r="AN13" s="47">
        <v>12</v>
      </c>
      <c r="AO13" s="179">
        <f t="shared" ref="AO13:AO76" si="27">AN13*E13</f>
        <v>600000</v>
      </c>
      <c r="AP13" s="47">
        <v>12</v>
      </c>
      <c r="AQ13" s="179">
        <f t="shared" ref="AQ13:AQ76" si="28">AP13*E13</f>
        <v>600000</v>
      </c>
      <c r="AR13" s="624">
        <v>9</v>
      </c>
      <c r="AS13" s="179">
        <f t="shared" ref="AS13:AS76" si="29">AR13*E13</f>
        <v>450000</v>
      </c>
      <c r="AT13" s="47">
        <v>12</v>
      </c>
      <c r="AU13" s="179">
        <f t="shared" ref="AU13:AU76" si="30">AT13*E13</f>
        <v>600000</v>
      </c>
      <c r="AV13" s="47">
        <v>12</v>
      </c>
      <c r="AW13" s="179">
        <f t="shared" ref="AW13:AW76" si="31">AV13*E13</f>
        <v>600000</v>
      </c>
      <c r="AX13" s="47">
        <v>12</v>
      </c>
      <c r="AY13" s="179">
        <f t="shared" ref="AY13:AY76" si="32">AX13*E13</f>
        <v>600000</v>
      </c>
      <c r="AZ13" s="47">
        <v>12</v>
      </c>
      <c r="BA13" s="179">
        <f t="shared" ref="BA13:BA76" si="33">AZ13*E13</f>
        <v>600000</v>
      </c>
      <c r="BB13" s="47">
        <v>12</v>
      </c>
      <c r="BC13" s="179">
        <f t="shared" ref="BC13:BC76" si="34">BB13*E13</f>
        <v>600000</v>
      </c>
      <c r="BD13" s="47">
        <v>12</v>
      </c>
      <c r="BE13" s="179">
        <f t="shared" ref="BE13:BE76" si="35">BD13*E13</f>
        <v>600000</v>
      </c>
      <c r="BF13" s="47">
        <v>12</v>
      </c>
      <c r="BG13" s="179">
        <f t="shared" ref="BG13:BG76" si="36">BF13*E13</f>
        <v>600000</v>
      </c>
      <c r="BH13" s="47">
        <v>0</v>
      </c>
      <c r="BI13" s="179">
        <f t="shared" ref="BI13:BI76" si="37">BH13*E13</f>
        <v>0</v>
      </c>
      <c r="BJ13" s="47">
        <f t="shared" si="16"/>
        <v>193</v>
      </c>
      <c r="BK13" s="117">
        <f t="shared" si="16"/>
        <v>9650000</v>
      </c>
      <c r="BL13" s="293" t="s">
        <v>470</v>
      </c>
      <c r="BN13" s="113"/>
      <c r="BO13" s="113"/>
      <c r="BP13" s="113"/>
      <c r="BQ13" s="113"/>
      <c r="BR13" s="113">
        <f t="shared" si="17"/>
        <v>0</v>
      </c>
      <c r="BS13" s="113"/>
      <c r="BT13" s="113">
        <f t="shared" si="18"/>
        <v>9650000</v>
      </c>
      <c r="BU13" s="124">
        <f t="shared" si="19"/>
        <v>9650000</v>
      </c>
      <c r="BV13" s="179">
        <f t="shared" si="0"/>
        <v>9650000</v>
      </c>
    </row>
    <row r="14" spans="1:74" x14ac:dyDescent="0.25">
      <c r="A14" s="1023"/>
      <c r="B14" s="38">
        <v>41103</v>
      </c>
      <c r="C14" s="38" t="s">
        <v>242</v>
      </c>
      <c r="D14" s="38" t="s">
        <v>240</v>
      </c>
      <c r="E14" s="365">
        <v>60000</v>
      </c>
      <c r="F14" s="38">
        <v>0</v>
      </c>
      <c r="G14" s="85">
        <f t="shared" si="1"/>
        <v>0</v>
      </c>
      <c r="H14" s="85">
        <f t="shared" si="2"/>
        <v>0</v>
      </c>
      <c r="I14" s="85">
        <f t="shared" si="3"/>
        <v>0</v>
      </c>
      <c r="J14" s="85">
        <f t="shared" si="4"/>
        <v>0</v>
      </c>
      <c r="K14" s="85">
        <f t="shared" si="5"/>
        <v>0</v>
      </c>
      <c r="L14" s="85">
        <f t="shared" si="6"/>
        <v>0</v>
      </c>
      <c r="M14" s="85">
        <f t="shared" si="7"/>
        <v>0</v>
      </c>
      <c r="N14" s="85">
        <f t="shared" si="8"/>
        <v>0</v>
      </c>
      <c r="O14" s="85">
        <f t="shared" si="9"/>
        <v>0</v>
      </c>
      <c r="P14" s="85">
        <f t="shared" si="10"/>
        <v>0</v>
      </c>
      <c r="Q14" s="85">
        <f t="shared" si="11"/>
        <v>0</v>
      </c>
      <c r="R14" s="47">
        <f>F14*0.25</f>
        <v>0</v>
      </c>
      <c r="S14" s="47">
        <f>F14*0.25</f>
        <v>0</v>
      </c>
      <c r="T14" s="47">
        <f>F14*0.25</f>
        <v>0</v>
      </c>
      <c r="U14" s="47">
        <f>F14*0.25</f>
        <v>0</v>
      </c>
      <c r="V14" s="366">
        <f t="shared" si="12"/>
        <v>0</v>
      </c>
      <c r="W14" s="366">
        <f t="shared" si="13"/>
        <v>0</v>
      </c>
      <c r="X14" s="366">
        <f t="shared" si="14"/>
        <v>0</v>
      </c>
      <c r="Y14" s="366">
        <f t="shared" si="15"/>
        <v>0</v>
      </c>
      <c r="Z14" s="47">
        <v>0</v>
      </c>
      <c r="AA14" s="179">
        <f t="shared" si="20"/>
        <v>0</v>
      </c>
      <c r="AB14" s="47">
        <v>0</v>
      </c>
      <c r="AC14" s="179">
        <f t="shared" si="21"/>
        <v>0</v>
      </c>
      <c r="AD14" s="47">
        <v>0</v>
      </c>
      <c r="AE14" s="179">
        <f t="shared" si="22"/>
        <v>0</v>
      </c>
      <c r="AF14" s="47">
        <v>0</v>
      </c>
      <c r="AG14" s="179">
        <f t="shared" si="23"/>
        <v>0</v>
      </c>
      <c r="AH14" s="47">
        <v>0</v>
      </c>
      <c r="AI14" s="179">
        <f t="shared" si="24"/>
        <v>0</v>
      </c>
      <c r="AJ14" s="47">
        <v>0</v>
      </c>
      <c r="AK14" s="179">
        <f t="shared" si="25"/>
        <v>0</v>
      </c>
      <c r="AL14" s="47">
        <v>0</v>
      </c>
      <c r="AM14" s="179">
        <f t="shared" si="26"/>
        <v>0</v>
      </c>
      <c r="AN14" s="47">
        <v>0</v>
      </c>
      <c r="AO14" s="179">
        <f t="shared" si="27"/>
        <v>0</v>
      </c>
      <c r="AP14" s="47">
        <v>0</v>
      </c>
      <c r="AQ14" s="179">
        <f t="shared" si="28"/>
        <v>0</v>
      </c>
      <c r="AR14" s="47">
        <v>0</v>
      </c>
      <c r="AS14" s="179">
        <f t="shared" si="29"/>
        <v>0</v>
      </c>
      <c r="AT14" s="47">
        <v>0</v>
      </c>
      <c r="AU14" s="179">
        <f t="shared" si="30"/>
        <v>0</v>
      </c>
      <c r="AV14" s="47">
        <v>0</v>
      </c>
      <c r="AW14" s="179">
        <f t="shared" si="31"/>
        <v>0</v>
      </c>
      <c r="AX14" s="47">
        <v>0</v>
      </c>
      <c r="AY14" s="179">
        <f t="shared" si="32"/>
        <v>0</v>
      </c>
      <c r="AZ14" s="47">
        <v>0</v>
      </c>
      <c r="BA14" s="179">
        <f t="shared" si="33"/>
        <v>0</v>
      </c>
      <c r="BB14" s="47">
        <v>0</v>
      </c>
      <c r="BC14" s="179">
        <f t="shared" si="34"/>
        <v>0</v>
      </c>
      <c r="BD14" s="47">
        <v>0</v>
      </c>
      <c r="BE14" s="179">
        <f t="shared" si="35"/>
        <v>0</v>
      </c>
      <c r="BF14" s="47">
        <v>0</v>
      </c>
      <c r="BG14" s="179">
        <f t="shared" si="36"/>
        <v>0</v>
      </c>
      <c r="BH14" s="47">
        <v>0</v>
      </c>
      <c r="BI14" s="179">
        <f t="shared" si="37"/>
        <v>0</v>
      </c>
      <c r="BJ14" s="47">
        <f t="shared" si="16"/>
        <v>0</v>
      </c>
      <c r="BK14" s="117">
        <f t="shared" si="16"/>
        <v>0</v>
      </c>
      <c r="BL14" s="293" t="s">
        <v>470</v>
      </c>
      <c r="BN14" s="113"/>
      <c r="BO14" s="113"/>
      <c r="BP14" s="113"/>
      <c r="BQ14" s="113"/>
      <c r="BR14" s="113">
        <f t="shared" si="17"/>
        <v>0</v>
      </c>
      <c r="BS14" s="113"/>
      <c r="BT14" s="113">
        <f t="shared" si="18"/>
        <v>0</v>
      </c>
      <c r="BU14" s="124">
        <f t="shared" si="19"/>
        <v>0</v>
      </c>
      <c r="BV14" s="179">
        <f t="shared" si="0"/>
        <v>0</v>
      </c>
    </row>
    <row r="15" spans="1:74" ht="47.25" x14ac:dyDescent="0.25">
      <c r="A15" s="1023"/>
      <c r="B15" s="38">
        <v>41104</v>
      </c>
      <c r="C15" s="38" t="s">
        <v>845</v>
      </c>
      <c r="D15" s="38" t="s">
        <v>240</v>
      </c>
      <c r="E15" s="365">
        <f>1750*4</f>
        <v>7000</v>
      </c>
      <c r="F15" s="38">
        <f>17*12</f>
        <v>204</v>
      </c>
      <c r="G15" s="85">
        <f t="shared" si="1"/>
        <v>1428000</v>
      </c>
      <c r="H15" s="85">
        <f t="shared" si="2"/>
        <v>714000</v>
      </c>
      <c r="I15" s="85">
        <f t="shared" si="3"/>
        <v>714000</v>
      </c>
      <c r="J15" s="85">
        <f t="shared" si="4"/>
        <v>0</v>
      </c>
      <c r="K15" s="85">
        <f t="shared" si="5"/>
        <v>0</v>
      </c>
      <c r="L15" s="85">
        <f t="shared" si="6"/>
        <v>0</v>
      </c>
      <c r="M15" s="85">
        <f t="shared" si="7"/>
        <v>0</v>
      </c>
      <c r="N15" s="85">
        <f t="shared" si="8"/>
        <v>0</v>
      </c>
      <c r="O15" s="85">
        <f t="shared" si="9"/>
        <v>0</v>
      </c>
      <c r="P15" s="85">
        <f t="shared" si="10"/>
        <v>0</v>
      </c>
      <c r="Q15" s="85">
        <f t="shared" si="11"/>
        <v>0</v>
      </c>
      <c r="R15" s="47">
        <f>F15*0.25</f>
        <v>51</v>
      </c>
      <c r="S15" s="47">
        <f>F15*0.25</f>
        <v>51</v>
      </c>
      <c r="T15" s="47">
        <f>F15*0.25</f>
        <v>51</v>
      </c>
      <c r="U15" s="47">
        <f>F15*0.25</f>
        <v>51</v>
      </c>
      <c r="V15" s="366">
        <f t="shared" si="12"/>
        <v>357000</v>
      </c>
      <c r="W15" s="366">
        <f t="shared" si="13"/>
        <v>357000</v>
      </c>
      <c r="X15" s="366">
        <f t="shared" si="14"/>
        <v>357000</v>
      </c>
      <c r="Y15" s="366">
        <f t="shared" si="15"/>
        <v>357000</v>
      </c>
      <c r="Z15" s="47">
        <v>12</v>
      </c>
      <c r="AA15" s="179">
        <f t="shared" si="20"/>
        <v>84000</v>
      </c>
      <c r="AB15" s="47">
        <v>12</v>
      </c>
      <c r="AC15" s="179">
        <f t="shared" si="21"/>
        <v>84000</v>
      </c>
      <c r="AD15" s="47">
        <v>12</v>
      </c>
      <c r="AE15" s="179">
        <f t="shared" si="22"/>
        <v>84000</v>
      </c>
      <c r="AF15" s="47">
        <v>12</v>
      </c>
      <c r="AG15" s="179">
        <f t="shared" si="23"/>
        <v>84000</v>
      </c>
      <c r="AH15" s="47">
        <v>12</v>
      </c>
      <c r="AI15" s="179">
        <f t="shared" si="24"/>
        <v>84000</v>
      </c>
      <c r="AJ15" s="47">
        <v>12</v>
      </c>
      <c r="AK15" s="179">
        <f t="shared" si="25"/>
        <v>84000</v>
      </c>
      <c r="AL15" s="47">
        <v>12</v>
      </c>
      <c r="AM15" s="179">
        <f t="shared" si="26"/>
        <v>84000</v>
      </c>
      <c r="AN15" s="47">
        <v>12</v>
      </c>
      <c r="AO15" s="179">
        <f t="shared" si="27"/>
        <v>84000</v>
      </c>
      <c r="AP15" s="47">
        <v>12</v>
      </c>
      <c r="AQ15" s="179">
        <f t="shared" si="28"/>
        <v>84000</v>
      </c>
      <c r="AR15" s="47">
        <v>12</v>
      </c>
      <c r="AS15" s="179">
        <f t="shared" si="29"/>
        <v>84000</v>
      </c>
      <c r="AT15" s="47">
        <v>12</v>
      </c>
      <c r="AU15" s="179">
        <f t="shared" si="30"/>
        <v>84000</v>
      </c>
      <c r="AV15" s="47">
        <v>12</v>
      </c>
      <c r="AW15" s="179">
        <f t="shared" si="31"/>
        <v>84000</v>
      </c>
      <c r="AX15" s="47">
        <v>12</v>
      </c>
      <c r="AY15" s="179">
        <f t="shared" si="32"/>
        <v>84000</v>
      </c>
      <c r="AZ15" s="47">
        <v>12</v>
      </c>
      <c r="BA15" s="179">
        <f t="shared" si="33"/>
        <v>84000</v>
      </c>
      <c r="BB15" s="47">
        <v>12</v>
      </c>
      <c r="BC15" s="179">
        <f t="shared" si="34"/>
        <v>84000</v>
      </c>
      <c r="BD15" s="47">
        <v>12</v>
      </c>
      <c r="BE15" s="179">
        <f t="shared" si="35"/>
        <v>84000</v>
      </c>
      <c r="BF15" s="47">
        <v>12</v>
      </c>
      <c r="BG15" s="179">
        <f t="shared" si="36"/>
        <v>84000</v>
      </c>
      <c r="BH15" s="47">
        <v>0</v>
      </c>
      <c r="BI15" s="179">
        <f t="shared" si="37"/>
        <v>0</v>
      </c>
      <c r="BJ15" s="47">
        <f t="shared" si="16"/>
        <v>204</v>
      </c>
      <c r="BK15" s="117">
        <f t="shared" si="16"/>
        <v>1428000</v>
      </c>
      <c r="BL15" s="293" t="s">
        <v>470</v>
      </c>
      <c r="BN15" s="113"/>
      <c r="BO15" s="113"/>
      <c r="BP15" s="113"/>
      <c r="BQ15" s="113"/>
      <c r="BR15" s="113">
        <f t="shared" si="17"/>
        <v>0</v>
      </c>
      <c r="BS15" s="113"/>
      <c r="BT15" s="113">
        <f t="shared" si="18"/>
        <v>1428000</v>
      </c>
      <c r="BU15" s="124">
        <f t="shared" si="19"/>
        <v>1428000</v>
      </c>
      <c r="BV15" s="179">
        <f t="shared" si="0"/>
        <v>1428000</v>
      </c>
    </row>
    <row r="16" spans="1:74" ht="31.5" x14ac:dyDescent="0.25">
      <c r="A16" s="1023"/>
      <c r="B16" s="38">
        <v>41105</v>
      </c>
      <c r="C16" s="38" t="s">
        <v>244</v>
      </c>
      <c r="D16" s="38" t="s">
        <v>240</v>
      </c>
      <c r="E16" s="365">
        <f>250*4</f>
        <v>1000</v>
      </c>
      <c r="F16" s="38">
        <f>17*12</f>
        <v>204</v>
      </c>
      <c r="G16" s="85">
        <f t="shared" si="1"/>
        <v>204000</v>
      </c>
      <c r="H16" s="85">
        <f t="shared" si="2"/>
        <v>102000</v>
      </c>
      <c r="I16" s="85">
        <f t="shared" si="3"/>
        <v>102000</v>
      </c>
      <c r="J16" s="85">
        <f t="shared" si="4"/>
        <v>0</v>
      </c>
      <c r="K16" s="85">
        <f t="shared" si="5"/>
        <v>0</v>
      </c>
      <c r="L16" s="85">
        <f t="shared" si="6"/>
        <v>0</v>
      </c>
      <c r="M16" s="85">
        <f t="shared" si="7"/>
        <v>0</v>
      </c>
      <c r="N16" s="85">
        <f t="shared" si="8"/>
        <v>0</v>
      </c>
      <c r="O16" s="85">
        <f t="shared" si="9"/>
        <v>0</v>
      </c>
      <c r="P16" s="85">
        <f t="shared" si="10"/>
        <v>0</v>
      </c>
      <c r="Q16" s="85">
        <f t="shared" si="11"/>
        <v>0</v>
      </c>
      <c r="R16" s="47">
        <f>F16*0.25</f>
        <v>51</v>
      </c>
      <c r="S16" s="47">
        <f>F16*0.25</f>
        <v>51</v>
      </c>
      <c r="T16" s="47">
        <f>F16*0.25</f>
        <v>51</v>
      </c>
      <c r="U16" s="47">
        <f>F16*0.25</f>
        <v>51</v>
      </c>
      <c r="V16" s="366">
        <f t="shared" si="12"/>
        <v>51000</v>
      </c>
      <c r="W16" s="366">
        <f t="shared" si="13"/>
        <v>51000</v>
      </c>
      <c r="X16" s="366">
        <f t="shared" si="14"/>
        <v>51000</v>
      </c>
      <c r="Y16" s="366">
        <f t="shared" si="15"/>
        <v>51000</v>
      </c>
      <c r="Z16" s="47">
        <v>12</v>
      </c>
      <c r="AA16" s="179">
        <f t="shared" si="20"/>
        <v>12000</v>
      </c>
      <c r="AB16" s="47">
        <v>12</v>
      </c>
      <c r="AC16" s="179">
        <f t="shared" si="21"/>
        <v>12000</v>
      </c>
      <c r="AD16" s="47">
        <v>12</v>
      </c>
      <c r="AE16" s="179">
        <f t="shared" si="22"/>
        <v>12000</v>
      </c>
      <c r="AF16" s="47">
        <v>12</v>
      </c>
      <c r="AG16" s="179">
        <f t="shared" si="23"/>
        <v>12000</v>
      </c>
      <c r="AH16" s="47">
        <v>12</v>
      </c>
      <c r="AI16" s="179">
        <f t="shared" si="24"/>
        <v>12000</v>
      </c>
      <c r="AJ16" s="47">
        <v>12</v>
      </c>
      <c r="AK16" s="179">
        <f t="shared" si="25"/>
        <v>12000</v>
      </c>
      <c r="AL16" s="47">
        <v>12</v>
      </c>
      <c r="AM16" s="179">
        <f t="shared" si="26"/>
        <v>12000</v>
      </c>
      <c r="AN16" s="47">
        <v>12</v>
      </c>
      <c r="AO16" s="179">
        <f t="shared" si="27"/>
        <v>12000</v>
      </c>
      <c r="AP16" s="47">
        <v>12</v>
      </c>
      <c r="AQ16" s="179">
        <f t="shared" si="28"/>
        <v>12000</v>
      </c>
      <c r="AR16" s="47">
        <v>12</v>
      </c>
      <c r="AS16" s="179">
        <f t="shared" si="29"/>
        <v>12000</v>
      </c>
      <c r="AT16" s="47">
        <v>12</v>
      </c>
      <c r="AU16" s="179">
        <f t="shared" si="30"/>
        <v>12000</v>
      </c>
      <c r="AV16" s="47">
        <v>12</v>
      </c>
      <c r="AW16" s="179">
        <f t="shared" si="31"/>
        <v>12000</v>
      </c>
      <c r="AX16" s="47">
        <v>12</v>
      </c>
      <c r="AY16" s="179">
        <f t="shared" si="32"/>
        <v>12000</v>
      </c>
      <c r="AZ16" s="47">
        <v>12</v>
      </c>
      <c r="BA16" s="179">
        <f t="shared" si="33"/>
        <v>12000</v>
      </c>
      <c r="BB16" s="47">
        <v>12</v>
      </c>
      <c r="BC16" s="179">
        <f t="shared" si="34"/>
        <v>12000</v>
      </c>
      <c r="BD16" s="47">
        <v>12</v>
      </c>
      <c r="BE16" s="179">
        <f t="shared" si="35"/>
        <v>12000</v>
      </c>
      <c r="BF16" s="47">
        <v>12</v>
      </c>
      <c r="BG16" s="179">
        <f t="shared" si="36"/>
        <v>12000</v>
      </c>
      <c r="BH16" s="47">
        <v>0</v>
      </c>
      <c r="BI16" s="179">
        <f t="shared" si="37"/>
        <v>0</v>
      </c>
      <c r="BJ16" s="47">
        <f t="shared" si="16"/>
        <v>204</v>
      </c>
      <c r="BK16" s="117">
        <f t="shared" si="16"/>
        <v>204000</v>
      </c>
      <c r="BL16" s="293" t="s">
        <v>470</v>
      </c>
      <c r="BN16" s="113"/>
      <c r="BO16" s="113"/>
      <c r="BP16" s="113"/>
      <c r="BQ16" s="113"/>
      <c r="BR16" s="113">
        <f t="shared" si="17"/>
        <v>0</v>
      </c>
      <c r="BS16" s="113"/>
      <c r="BT16" s="113">
        <f t="shared" si="18"/>
        <v>204000</v>
      </c>
      <c r="BU16" s="124">
        <f t="shared" si="19"/>
        <v>204000</v>
      </c>
      <c r="BV16" s="179">
        <f t="shared" si="0"/>
        <v>204000</v>
      </c>
    </row>
    <row r="17" spans="1:74" x14ac:dyDescent="0.25">
      <c r="A17" s="1023"/>
      <c r="B17" s="38">
        <v>41106</v>
      </c>
      <c r="C17" s="38" t="s">
        <v>334</v>
      </c>
      <c r="D17" s="38" t="s">
        <v>240</v>
      </c>
      <c r="E17" s="365">
        <f>0*100000</f>
        <v>0</v>
      </c>
      <c r="F17" s="38">
        <f>BJ17</f>
        <v>0</v>
      </c>
      <c r="G17" s="85">
        <f t="shared" si="1"/>
        <v>0</v>
      </c>
      <c r="H17" s="85">
        <f t="shared" si="2"/>
        <v>0</v>
      </c>
      <c r="I17" s="85">
        <f t="shared" si="3"/>
        <v>0</v>
      </c>
      <c r="J17" s="85">
        <f t="shared" si="4"/>
        <v>0</v>
      </c>
      <c r="K17" s="85">
        <f t="shared" si="5"/>
        <v>0</v>
      </c>
      <c r="L17" s="85">
        <f t="shared" si="6"/>
        <v>0</v>
      </c>
      <c r="M17" s="85">
        <f t="shared" si="7"/>
        <v>0</v>
      </c>
      <c r="N17" s="85">
        <f t="shared" si="8"/>
        <v>0</v>
      </c>
      <c r="O17" s="85">
        <f t="shared" si="9"/>
        <v>0</v>
      </c>
      <c r="P17" s="85">
        <f t="shared" si="10"/>
        <v>0</v>
      </c>
      <c r="Q17" s="85">
        <f t="shared" si="11"/>
        <v>0</v>
      </c>
      <c r="R17" s="47">
        <f>F17*0.25</f>
        <v>0</v>
      </c>
      <c r="S17" s="47">
        <f>F17*0.25</f>
        <v>0</v>
      </c>
      <c r="T17" s="47">
        <f>F17*0.25</f>
        <v>0</v>
      </c>
      <c r="U17" s="47">
        <f>F17*0.25</f>
        <v>0</v>
      </c>
      <c r="V17" s="366">
        <f t="shared" si="12"/>
        <v>0</v>
      </c>
      <c r="W17" s="366">
        <f t="shared" si="13"/>
        <v>0</v>
      </c>
      <c r="X17" s="366">
        <f t="shared" si="14"/>
        <v>0</v>
      </c>
      <c r="Y17" s="366">
        <f t="shared" si="15"/>
        <v>0</v>
      </c>
      <c r="Z17" s="47">
        <v>0</v>
      </c>
      <c r="AA17" s="179">
        <f t="shared" si="20"/>
        <v>0</v>
      </c>
      <c r="AB17" s="47">
        <v>0</v>
      </c>
      <c r="AC17" s="179">
        <f t="shared" si="21"/>
        <v>0</v>
      </c>
      <c r="AD17" s="47">
        <v>0</v>
      </c>
      <c r="AE17" s="179">
        <f t="shared" si="22"/>
        <v>0</v>
      </c>
      <c r="AF17" s="47">
        <v>0</v>
      </c>
      <c r="AG17" s="179">
        <f t="shared" si="23"/>
        <v>0</v>
      </c>
      <c r="AH17" s="47">
        <v>0</v>
      </c>
      <c r="AI17" s="179">
        <f t="shared" si="24"/>
        <v>0</v>
      </c>
      <c r="AJ17" s="47">
        <v>0</v>
      </c>
      <c r="AK17" s="179">
        <f t="shared" si="25"/>
        <v>0</v>
      </c>
      <c r="AL17" s="47">
        <v>0</v>
      </c>
      <c r="AM17" s="179">
        <f t="shared" si="26"/>
        <v>0</v>
      </c>
      <c r="AN17" s="47">
        <v>0</v>
      </c>
      <c r="AO17" s="179">
        <f t="shared" si="27"/>
        <v>0</v>
      </c>
      <c r="AP17" s="47">
        <v>0</v>
      </c>
      <c r="AQ17" s="179">
        <f t="shared" si="28"/>
        <v>0</v>
      </c>
      <c r="AR17" s="47">
        <v>0</v>
      </c>
      <c r="AS17" s="179">
        <f t="shared" si="29"/>
        <v>0</v>
      </c>
      <c r="AT17" s="47">
        <v>0</v>
      </c>
      <c r="AU17" s="179">
        <f t="shared" si="30"/>
        <v>0</v>
      </c>
      <c r="AV17" s="47">
        <v>0</v>
      </c>
      <c r="AW17" s="179">
        <f t="shared" si="31"/>
        <v>0</v>
      </c>
      <c r="AX17" s="47">
        <v>0</v>
      </c>
      <c r="AY17" s="179">
        <f t="shared" si="32"/>
        <v>0</v>
      </c>
      <c r="AZ17" s="47">
        <v>0</v>
      </c>
      <c r="BA17" s="179">
        <f t="shared" si="33"/>
        <v>0</v>
      </c>
      <c r="BB17" s="47">
        <v>0</v>
      </c>
      <c r="BC17" s="179">
        <f t="shared" si="34"/>
        <v>0</v>
      </c>
      <c r="BD17" s="47">
        <v>0</v>
      </c>
      <c r="BE17" s="179">
        <f t="shared" si="35"/>
        <v>0</v>
      </c>
      <c r="BF17" s="47">
        <v>0</v>
      </c>
      <c r="BG17" s="179">
        <f t="shared" si="36"/>
        <v>0</v>
      </c>
      <c r="BH17" s="47">
        <v>0</v>
      </c>
      <c r="BI17" s="179">
        <f t="shared" si="37"/>
        <v>0</v>
      </c>
      <c r="BJ17" s="47">
        <f t="shared" si="16"/>
        <v>0</v>
      </c>
      <c r="BK17" s="117">
        <f t="shared" si="16"/>
        <v>0</v>
      </c>
      <c r="BL17" s="293" t="s">
        <v>470</v>
      </c>
      <c r="BN17" s="113"/>
      <c r="BO17" s="113"/>
      <c r="BP17" s="113"/>
      <c r="BQ17" s="113"/>
      <c r="BR17" s="113">
        <f t="shared" si="17"/>
        <v>0</v>
      </c>
      <c r="BS17" s="113"/>
      <c r="BT17" s="113">
        <f t="shared" si="18"/>
        <v>0</v>
      </c>
      <c r="BU17" s="124">
        <f t="shared" si="19"/>
        <v>0</v>
      </c>
      <c r="BV17" s="179">
        <f t="shared" si="0"/>
        <v>0</v>
      </c>
    </row>
    <row r="18" spans="1:74" s="67" customFormat="1" x14ac:dyDescent="0.25">
      <c r="A18" s="1023"/>
      <c r="B18" s="367"/>
      <c r="C18" s="368" t="s">
        <v>245</v>
      </c>
      <c r="D18" s="369"/>
      <c r="E18" s="369"/>
      <c r="F18" s="369">
        <f>SUM(F12:F17)</f>
        <v>601</v>
      </c>
      <c r="G18" s="370">
        <f>SUM(G12:G17)</f>
        <v>11282000</v>
      </c>
      <c r="H18" s="370">
        <f t="shared" ref="H18:Q18" si="38">SUM(H12:H17)</f>
        <v>5641000</v>
      </c>
      <c r="I18" s="370">
        <f t="shared" si="38"/>
        <v>5641000</v>
      </c>
      <c r="J18" s="370">
        <f t="shared" si="38"/>
        <v>0</v>
      </c>
      <c r="K18" s="370">
        <f t="shared" si="38"/>
        <v>0</v>
      </c>
      <c r="L18" s="370">
        <f t="shared" si="38"/>
        <v>0</v>
      </c>
      <c r="M18" s="370">
        <f t="shared" si="38"/>
        <v>0</v>
      </c>
      <c r="N18" s="370">
        <f t="shared" si="38"/>
        <v>0</v>
      </c>
      <c r="O18" s="370">
        <f t="shared" si="38"/>
        <v>0</v>
      </c>
      <c r="P18" s="370">
        <f t="shared" si="38"/>
        <v>0</v>
      </c>
      <c r="Q18" s="370">
        <f t="shared" si="38"/>
        <v>0</v>
      </c>
      <c r="R18" s="369">
        <f t="shared" ref="R18:BK18" si="39">SUM(R12:R17)</f>
        <v>150.25</v>
      </c>
      <c r="S18" s="369">
        <f t="shared" si="39"/>
        <v>150.25</v>
      </c>
      <c r="T18" s="369">
        <f t="shared" si="39"/>
        <v>150.25</v>
      </c>
      <c r="U18" s="369">
        <f t="shared" si="39"/>
        <v>150.25</v>
      </c>
      <c r="V18" s="370">
        <f t="shared" si="39"/>
        <v>2820500</v>
      </c>
      <c r="W18" s="370">
        <f t="shared" si="39"/>
        <v>2820500</v>
      </c>
      <c r="X18" s="370">
        <f t="shared" si="39"/>
        <v>2820500</v>
      </c>
      <c r="Y18" s="370">
        <f t="shared" si="39"/>
        <v>2820500</v>
      </c>
      <c r="Z18" s="369">
        <f t="shared" si="39"/>
        <v>36</v>
      </c>
      <c r="AA18" s="369">
        <f t="shared" si="39"/>
        <v>696000</v>
      </c>
      <c r="AB18" s="369">
        <f t="shared" si="39"/>
        <v>28</v>
      </c>
      <c r="AC18" s="369">
        <f t="shared" si="39"/>
        <v>296000</v>
      </c>
      <c r="AD18" s="369">
        <f t="shared" si="39"/>
        <v>36</v>
      </c>
      <c r="AE18" s="369">
        <f t="shared" si="39"/>
        <v>696000</v>
      </c>
      <c r="AF18" s="369">
        <f t="shared" si="39"/>
        <v>36</v>
      </c>
      <c r="AG18" s="369">
        <f t="shared" si="39"/>
        <v>696000</v>
      </c>
      <c r="AH18" s="369">
        <f t="shared" si="39"/>
        <v>36</v>
      </c>
      <c r="AI18" s="369">
        <f t="shared" si="39"/>
        <v>696000</v>
      </c>
      <c r="AJ18" s="369">
        <f t="shared" si="39"/>
        <v>36</v>
      </c>
      <c r="AK18" s="369">
        <f t="shared" si="39"/>
        <v>696000</v>
      </c>
      <c r="AL18" s="369">
        <f t="shared" si="39"/>
        <v>36</v>
      </c>
      <c r="AM18" s="369">
        <f t="shared" si="39"/>
        <v>696000</v>
      </c>
      <c r="AN18" s="369">
        <f t="shared" si="39"/>
        <v>36</v>
      </c>
      <c r="AO18" s="369">
        <f t="shared" si="39"/>
        <v>696000</v>
      </c>
      <c r="AP18" s="369">
        <f t="shared" si="39"/>
        <v>36</v>
      </c>
      <c r="AQ18" s="369">
        <f t="shared" si="39"/>
        <v>696000</v>
      </c>
      <c r="AR18" s="369">
        <f t="shared" si="39"/>
        <v>33</v>
      </c>
      <c r="AS18" s="369">
        <f t="shared" si="39"/>
        <v>546000</v>
      </c>
      <c r="AT18" s="369">
        <f t="shared" si="39"/>
        <v>36</v>
      </c>
      <c r="AU18" s="369">
        <f t="shared" si="39"/>
        <v>696000</v>
      </c>
      <c r="AV18" s="369">
        <f t="shared" si="39"/>
        <v>36</v>
      </c>
      <c r="AW18" s="369">
        <f t="shared" si="39"/>
        <v>696000</v>
      </c>
      <c r="AX18" s="369">
        <f t="shared" si="39"/>
        <v>36</v>
      </c>
      <c r="AY18" s="369">
        <f t="shared" si="39"/>
        <v>696000</v>
      </c>
      <c r="AZ18" s="369">
        <f t="shared" si="39"/>
        <v>36</v>
      </c>
      <c r="BA18" s="369">
        <f t="shared" si="39"/>
        <v>696000</v>
      </c>
      <c r="BB18" s="369">
        <f t="shared" si="39"/>
        <v>36</v>
      </c>
      <c r="BC18" s="369">
        <f t="shared" si="39"/>
        <v>696000</v>
      </c>
      <c r="BD18" s="369">
        <f t="shared" si="39"/>
        <v>36</v>
      </c>
      <c r="BE18" s="369">
        <f t="shared" si="39"/>
        <v>696000</v>
      </c>
      <c r="BF18" s="369">
        <f t="shared" si="39"/>
        <v>36</v>
      </c>
      <c r="BG18" s="369">
        <f t="shared" si="39"/>
        <v>696000</v>
      </c>
      <c r="BH18" s="369">
        <f t="shared" si="39"/>
        <v>0</v>
      </c>
      <c r="BI18" s="369">
        <f t="shared" si="39"/>
        <v>0</v>
      </c>
      <c r="BJ18" s="369">
        <f t="shared" si="39"/>
        <v>601</v>
      </c>
      <c r="BK18" s="371">
        <f t="shared" si="39"/>
        <v>11282000</v>
      </c>
      <c r="BL18" s="118"/>
      <c r="BN18" s="372">
        <f t="shared" ref="BN18:BU18" si="40">SUM(BN12:BN17)</f>
        <v>0</v>
      </c>
      <c r="BO18" s="372">
        <f t="shared" si="40"/>
        <v>0</v>
      </c>
      <c r="BP18" s="372">
        <f t="shared" si="40"/>
        <v>0</v>
      </c>
      <c r="BQ18" s="372">
        <f t="shared" si="40"/>
        <v>0</v>
      </c>
      <c r="BR18" s="372">
        <f t="shared" si="40"/>
        <v>0</v>
      </c>
      <c r="BS18" s="372">
        <f t="shared" si="40"/>
        <v>0</v>
      </c>
      <c r="BT18" s="372">
        <f t="shared" si="40"/>
        <v>11282000</v>
      </c>
      <c r="BU18" s="372">
        <f t="shared" si="40"/>
        <v>11282000</v>
      </c>
      <c r="BV18" s="179">
        <f t="shared" si="0"/>
        <v>11282000</v>
      </c>
    </row>
    <row r="19" spans="1:74" x14ac:dyDescent="0.25">
      <c r="A19" s="1023"/>
      <c r="B19" s="38">
        <v>41200</v>
      </c>
      <c r="C19" s="38" t="s">
        <v>246</v>
      </c>
      <c r="D19" s="38"/>
      <c r="E19" s="365"/>
      <c r="F19" s="38"/>
      <c r="G19" s="85"/>
      <c r="H19" s="85"/>
      <c r="I19" s="85"/>
      <c r="J19" s="85"/>
      <c r="K19" s="85"/>
      <c r="L19" s="85"/>
      <c r="M19" s="85"/>
      <c r="N19" s="85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179">
        <f t="shared" si="20"/>
        <v>0</v>
      </c>
      <c r="AB19" s="47"/>
      <c r="AC19" s="179">
        <f t="shared" si="21"/>
        <v>0</v>
      </c>
      <c r="AD19" s="47"/>
      <c r="AE19" s="179">
        <f t="shared" si="22"/>
        <v>0</v>
      </c>
      <c r="AF19" s="47"/>
      <c r="AG19" s="179">
        <f t="shared" si="23"/>
        <v>0</v>
      </c>
      <c r="AH19" s="47"/>
      <c r="AI19" s="179">
        <f t="shared" si="24"/>
        <v>0</v>
      </c>
      <c r="AJ19" s="47"/>
      <c r="AK19" s="179">
        <f t="shared" si="25"/>
        <v>0</v>
      </c>
      <c r="AL19" s="47"/>
      <c r="AM19" s="179">
        <f t="shared" si="26"/>
        <v>0</v>
      </c>
      <c r="AN19" s="47"/>
      <c r="AO19" s="179">
        <f t="shared" si="27"/>
        <v>0</v>
      </c>
      <c r="AP19" s="47"/>
      <c r="AQ19" s="179">
        <f t="shared" si="28"/>
        <v>0</v>
      </c>
      <c r="AR19" s="47"/>
      <c r="AS19" s="179">
        <f t="shared" si="29"/>
        <v>0</v>
      </c>
      <c r="AT19" s="47"/>
      <c r="AU19" s="179">
        <f t="shared" si="30"/>
        <v>0</v>
      </c>
      <c r="AV19" s="47"/>
      <c r="AW19" s="179">
        <f t="shared" si="31"/>
        <v>0</v>
      </c>
      <c r="AX19" s="47"/>
      <c r="AY19" s="179">
        <f t="shared" si="32"/>
        <v>0</v>
      </c>
      <c r="AZ19" s="47"/>
      <c r="BA19" s="179">
        <f t="shared" si="33"/>
        <v>0</v>
      </c>
      <c r="BB19" s="47"/>
      <c r="BC19" s="179">
        <f t="shared" si="34"/>
        <v>0</v>
      </c>
      <c r="BD19" s="47"/>
      <c r="BE19" s="179">
        <f t="shared" si="35"/>
        <v>0</v>
      </c>
      <c r="BF19" s="47"/>
      <c r="BG19" s="179">
        <f t="shared" si="36"/>
        <v>0</v>
      </c>
      <c r="BH19" s="47"/>
      <c r="BI19" s="179">
        <f t="shared" si="37"/>
        <v>0</v>
      </c>
      <c r="BJ19" s="47"/>
      <c r="BK19" s="123"/>
      <c r="BL19" s="47"/>
      <c r="BN19" s="113"/>
      <c r="BO19" s="113"/>
      <c r="BP19" s="113"/>
      <c r="BQ19" s="113"/>
      <c r="BR19" s="113"/>
      <c r="BS19" s="113"/>
      <c r="BT19" s="113"/>
      <c r="BU19" s="124"/>
      <c r="BV19" s="179">
        <f t="shared" si="0"/>
        <v>0</v>
      </c>
    </row>
    <row r="20" spans="1:74" x14ac:dyDescent="0.25">
      <c r="A20" s="1023"/>
      <c r="B20" s="38">
        <v>41201</v>
      </c>
      <c r="C20" s="38" t="s">
        <v>720</v>
      </c>
      <c r="D20" s="38" t="s">
        <v>240</v>
      </c>
      <c r="E20" s="365">
        <f>0.75*100000</f>
        <v>75000</v>
      </c>
      <c r="F20" s="47">
        <v>0</v>
      </c>
      <c r="G20" s="85">
        <f t="shared" ref="G20:G45" si="41">E20*F20</f>
        <v>0</v>
      </c>
      <c r="H20" s="85">
        <f>G20*0.2</f>
        <v>0</v>
      </c>
      <c r="I20" s="85">
        <f>G20*0.8</f>
        <v>0</v>
      </c>
      <c r="J20" s="85">
        <f t="shared" ref="J20:J45" si="42">G20*0</f>
        <v>0</v>
      </c>
      <c r="K20" s="85">
        <f t="shared" ref="K20:K45" si="43">G20*0</f>
        <v>0</v>
      </c>
      <c r="L20" s="85">
        <f>G20*0</f>
        <v>0</v>
      </c>
      <c r="M20" s="85">
        <f t="shared" ref="M20:M45" si="44">G20*0</f>
        <v>0</v>
      </c>
      <c r="N20" s="85">
        <f t="shared" ref="N20:N45" si="45">G20*0</f>
        <v>0</v>
      </c>
      <c r="O20" s="85">
        <f t="shared" ref="O20:O45" si="46">G20*0</f>
        <v>0</v>
      </c>
      <c r="P20" s="85">
        <f t="shared" ref="P20:P45" si="47">G20*0</f>
        <v>0</v>
      </c>
      <c r="Q20" s="85">
        <f>G20*0</f>
        <v>0</v>
      </c>
      <c r="R20" s="47"/>
      <c r="S20" s="47">
        <f>F20</f>
        <v>0</v>
      </c>
      <c r="T20" s="47"/>
      <c r="U20" s="47"/>
      <c r="V20" s="366">
        <f>R20*E20</f>
        <v>0</v>
      </c>
      <c r="W20" s="366">
        <f>S20*E20</f>
        <v>0</v>
      </c>
      <c r="X20" s="366">
        <f>T20*E20</f>
        <v>0</v>
      </c>
      <c r="Y20" s="366">
        <f>U20*E20</f>
        <v>0</v>
      </c>
      <c r="Z20" s="47">
        <v>0</v>
      </c>
      <c r="AA20" s="179">
        <f t="shared" si="20"/>
        <v>0</v>
      </c>
      <c r="AB20" s="47">
        <v>0</v>
      </c>
      <c r="AC20" s="179">
        <f t="shared" si="21"/>
        <v>0</v>
      </c>
      <c r="AD20" s="47">
        <v>0</v>
      </c>
      <c r="AE20" s="179">
        <f t="shared" si="22"/>
        <v>0</v>
      </c>
      <c r="AF20" s="47">
        <v>0</v>
      </c>
      <c r="AG20" s="179">
        <f t="shared" si="23"/>
        <v>0</v>
      </c>
      <c r="AH20" s="47">
        <v>0</v>
      </c>
      <c r="AI20" s="179">
        <f t="shared" si="24"/>
        <v>0</v>
      </c>
      <c r="AJ20" s="47">
        <v>0</v>
      </c>
      <c r="AK20" s="179">
        <f t="shared" si="25"/>
        <v>0</v>
      </c>
      <c r="AL20" s="47">
        <v>0</v>
      </c>
      <c r="AM20" s="179">
        <f t="shared" si="26"/>
        <v>0</v>
      </c>
      <c r="AN20" s="47">
        <v>0</v>
      </c>
      <c r="AO20" s="179">
        <f t="shared" si="27"/>
        <v>0</v>
      </c>
      <c r="AP20" s="47">
        <v>0</v>
      </c>
      <c r="AQ20" s="179">
        <f t="shared" si="28"/>
        <v>0</v>
      </c>
      <c r="AR20" s="47">
        <v>0</v>
      </c>
      <c r="AS20" s="179">
        <f t="shared" si="29"/>
        <v>0</v>
      </c>
      <c r="AT20" s="47">
        <v>0</v>
      </c>
      <c r="AU20" s="179">
        <f t="shared" si="30"/>
        <v>0</v>
      </c>
      <c r="AV20" s="47">
        <v>0</v>
      </c>
      <c r="AW20" s="179">
        <f t="shared" si="31"/>
        <v>0</v>
      </c>
      <c r="AX20" s="47">
        <v>0</v>
      </c>
      <c r="AY20" s="179">
        <f t="shared" si="32"/>
        <v>0</v>
      </c>
      <c r="AZ20" s="47">
        <v>0</v>
      </c>
      <c r="BA20" s="179">
        <f t="shared" si="33"/>
        <v>0</v>
      </c>
      <c r="BB20" s="47">
        <v>0</v>
      </c>
      <c r="BC20" s="179">
        <f t="shared" si="34"/>
        <v>0</v>
      </c>
      <c r="BD20" s="47">
        <v>0</v>
      </c>
      <c r="BE20" s="179">
        <f t="shared" si="35"/>
        <v>0</v>
      </c>
      <c r="BF20" s="47">
        <v>0</v>
      </c>
      <c r="BG20" s="179">
        <f t="shared" si="36"/>
        <v>0</v>
      </c>
      <c r="BH20" s="47">
        <v>0</v>
      </c>
      <c r="BI20" s="179">
        <f t="shared" si="37"/>
        <v>0</v>
      </c>
      <c r="BJ20" s="47">
        <f t="shared" ref="BJ20:BK45" si="48">Z20+AB20+AD20+AF20+AH20+AJ20+AL20+AN20+AP20+AR20+AT20+AV20+AX20+AZ20+BB20+BD20+BF20+BH20</f>
        <v>0</v>
      </c>
      <c r="BK20" s="117">
        <f t="shared" si="48"/>
        <v>0</v>
      </c>
      <c r="BL20" s="293" t="s">
        <v>467</v>
      </c>
      <c r="BN20" s="113"/>
      <c r="BO20" s="113"/>
      <c r="BP20" s="257">
        <f t="shared" ref="BP20:BP35" si="49">G20</f>
        <v>0</v>
      </c>
      <c r="BQ20" s="113"/>
      <c r="BR20" s="113">
        <f>BN20+BO20+BP20+BQ20</f>
        <v>0</v>
      </c>
      <c r="BS20" s="113"/>
      <c r="BT20" s="113"/>
      <c r="BU20" s="124">
        <f>BS20+BT20</f>
        <v>0</v>
      </c>
      <c r="BV20" s="179">
        <f t="shared" si="0"/>
        <v>0</v>
      </c>
    </row>
    <row r="21" spans="1:74" x14ac:dyDescent="0.25">
      <c r="A21" s="1023"/>
      <c r="B21" s="38">
        <v>41202</v>
      </c>
      <c r="C21" s="38" t="s">
        <v>247</v>
      </c>
      <c r="D21" s="38" t="s">
        <v>240</v>
      </c>
      <c r="E21" s="365">
        <f>0.5*100000</f>
        <v>50000</v>
      </c>
      <c r="F21" s="47">
        <v>0</v>
      </c>
      <c r="G21" s="85">
        <f t="shared" si="41"/>
        <v>0</v>
      </c>
      <c r="H21" s="85">
        <f t="shared" ref="H21:H45" si="50">G21*0.2</f>
        <v>0</v>
      </c>
      <c r="I21" s="85">
        <f t="shared" ref="I21:I45" si="51">G21*0.8</f>
        <v>0</v>
      </c>
      <c r="J21" s="85">
        <f t="shared" si="42"/>
        <v>0</v>
      </c>
      <c r="K21" s="85">
        <f t="shared" si="43"/>
        <v>0</v>
      </c>
      <c r="L21" s="85">
        <f t="shared" ref="L21:L45" si="52">G21*0</f>
        <v>0</v>
      </c>
      <c r="M21" s="85">
        <f t="shared" si="44"/>
        <v>0</v>
      </c>
      <c r="N21" s="85">
        <f t="shared" si="45"/>
        <v>0</v>
      </c>
      <c r="O21" s="85">
        <f t="shared" si="46"/>
        <v>0</v>
      </c>
      <c r="P21" s="85">
        <f t="shared" si="47"/>
        <v>0</v>
      </c>
      <c r="Q21" s="85">
        <f t="shared" ref="Q21:Q45" si="53">G21*0</f>
        <v>0</v>
      </c>
      <c r="R21" s="47"/>
      <c r="S21" s="47">
        <f t="shared" ref="S21:S45" si="54">F21</f>
        <v>0</v>
      </c>
      <c r="T21" s="47"/>
      <c r="U21" s="47"/>
      <c r="V21" s="366">
        <f t="shared" ref="V21:V45" si="55">R21*E21</f>
        <v>0</v>
      </c>
      <c r="W21" s="366">
        <f t="shared" ref="W21:W45" si="56">S21*E21</f>
        <v>0</v>
      </c>
      <c r="X21" s="366">
        <f t="shared" ref="X21:X45" si="57">T21*E21</f>
        <v>0</v>
      </c>
      <c r="Y21" s="366">
        <f t="shared" ref="Y21:Y45" si="58">U21*E21</f>
        <v>0</v>
      </c>
      <c r="Z21" s="47">
        <v>0</v>
      </c>
      <c r="AA21" s="179">
        <f t="shared" si="20"/>
        <v>0</v>
      </c>
      <c r="AB21" s="47">
        <v>0</v>
      </c>
      <c r="AC21" s="179">
        <f t="shared" si="21"/>
        <v>0</v>
      </c>
      <c r="AD21" s="47">
        <v>0</v>
      </c>
      <c r="AE21" s="179">
        <f t="shared" si="22"/>
        <v>0</v>
      </c>
      <c r="AF21" s="47">
        <v>0</v>
      </c>
      <c r="AG21" s="179">
        <f t="shared" si="23"/>
        <v>0</v>
      </c>
      <c r="AH21" s="47">
        <v>0</v>
      </c>
      <c r="AI21" s="179">
        <f t="shared" si="24"/>
        <v>0</v>
      </c>
      <c r="AJ21" s="47">
        <v>0</v>
      </c>
      <c r="AK21" s="179">
        <f t="shared" si="25"/>
        <v>0</v>
      </c>
      <c r="AL21" s="47">
        <v>0</v>
      </c>
      <c r="AM21" s="179">
        <f t="shared" si="26"/>
        <v>0</v>
      </c>
      <c r="AN21" s="47">
        <v>0</v>
      </c>
      <c r="AO21" s="179">
        <f t="shared" si="27"/>
        <v>0</v>
      </c>
      <c r="AP21" s="47">
        <v>0</v>
      </c>
      <c r="AQ21" s="179">
        <f t="shared" si="28"/>
        <v>0</v>
      </c>
      <c r="AR21" s="47">
        <v>0</v>
      </c>
      <c r="AS21" s="179">
        <f t="shared" si="29"/>
        <v>0</v>
      </c>
      <c r="AT21" s="47">
        <v>0</v>
      </c>
      <c r="AU21" s="179">
        <f t="shared" si="30"/>
        <v>0</v>
      </c>
      <c r="AV21" s="47">
        <v>0</v>
      </c>
      <c r="AW21" s="179">
        <f t="shared" si="31"/>
        <v>0</v>
      </c>
      <c r="AX21" s="47">
        <v>0</v>
      </c>
      <c r="AY21" s="179">
        <f t="shared" si="32"/>
        <v>0</v>
      </c>
      <c r="AZ21" s="47">
        <v>0</v>
      </c>
      <c r="BA21" s="179">
        <f t="shared" si="33"/>
        <v>0</v>
      </c>
      <c r="BB21" s="47">
        <v>0</v>
      </c>
      <c r="BC21" s="179">
        <f t="shared" si="34"/>
        <v>0</v>
      </c>
      <c r="BD21" s="47">
        <v>0</v>
      </c>
      <c r="BE21" s="179">
        <f t="shared" si="35"/>
        <v>0</v>
      </c>
      <c r="BF21" s="47">
        <v>0</v>
      </c>
      <c r="BG21" s="179">
        <f t="shared" si="36"/>
        <v>0</v>
      </c>
      <c r="BH21" s="47">
        <v>0</v>
      </c>
      <c r="BI21" s="179">
        <f t="shared" si="37"/>
        <v>0</v>
      </c>
      <c r="BJ21" s="47">
        <f t="shared" si="48"/>
        <v>0</v>
      </c>
      <c r="BK21" s="117">
        <f t="shared" si="48"/>
        <v>0</v>
      </c>
      <c r="BL21" s="293" t="s">
        <v>467</v>
      </c>
      <c r="BN21" s="113"/>
      <c r="BO21" s="113"/>
      <c r="BP21" s="257">
        <f t="shared" si="49"/>
        <v>0</v>
      </c>
      <c r="BQ21" s="113"/>
      <c r="BR21" s="113">
        <f t="shared" ref="BR21:BR45" si="59">BN21+BO21+BP21+BQ21</f>
        <v>0</v>
      </c>
      <c r="BS21" s="113"/>
      <c r="BT21" s="113"/>
      <c r="BU21" s="124">
        <f t="shared" ref="BU21:BU45" si="60">BS21+BT21</f>
        <v>0</v>
      </c>
      <c r="BV21" s="179">
        <f t="shared" si="0"/>
        <v>0</v>
      </c>
    </row>
    <row r="22" spans="1:74" s="106" customFormat="1" ht="31.5" x14ac:dyDescent="0.25">
      <c r="A22" s="1023"/>
      <c r="B22" s="38">
        <v>41203</v>
      </c>
      <c r="C22" s="38" t="s">
        <v>248</v>
      </c>
      <c r="D22" s="38" t="s">
        <v>240</v>
      </c>
      <c r="E22" s="365">
        <f>0.75*100000</f>
        <v>75000</v>
      </c>
      <c r="F22" s="373">
        <f t="shared" ref="F22:F45" si="61">BJ22</f>
        <v>0</v>
      </c>
      <c r="G22" s="156">
        <f t="shared" si="41"/>
        <v>0</v>
      </c>
      <c r="H22" s="156">
        <f t="shared" si="50"/>
        <v>0</v>
      </c>
      <c r="I22" s="156">
        <f t="shared" si="51"/>
        <v>0</v>
      </c>
      <c r="J22" s="156">
        <f t="shared" si="42"/>
        <v>0</v>
      </c>
      <c r="K22" s="156">
        <f t="shared" si="43"/>
        <v>0</v>
      </c>
      <c r="L22" s="156">
        <f t="shared" si="52"/>
        <v>0</v>
      </c>
      <c r="M22" s="156">
        <f t="shared" si="44"/>
        <v>0</v>
      </c>
      <c r="N22" s="156">
        <f t="shared" si="45"/>
        <v>0</v>
      </c>
      <c r="O22" s="156">
        <f t="shared" si="46"/>
        <v>0</v>
      </c>
      <c r="P22" s="156">
        <f t="shared" si="47"/>
        <v>0</v>
      </c>
      <c r="Q22" s="156">
        <f t="shared" si="53"/>
        <v>0</v>
      </c>
      <c r="R22" s="373"/>
      <c r="S22" s="373">
        <f t="shared" si="54"/>
        <v>0</v>
      </c>
      <c r="T22" s="373"/>
      <c r="U22" s="373"/>
      <c r="V22" s="366">
        <f t="shared" si="55"/>
        <v>0</v>
      </c>
      <c r="W22" s="366">
        <f t="shared" si="56"/>
        <v>0</v>
      </c>
      <c r="X22" s="366">
        <f t="shared" si="57"/>
        <v>0</v>
      </c>
      <c r="Y22" s="366">
        <f t="shared" si="58"/>
        <v>0</v>
      </c>
      <c r="Z22" s="373">
        <v>0</v>
      </c>
      <c r="AA22" s="179">
        <f t="shared" si="20"/>
        <v>0</v>
      </c>
      <c r="AB22" s="373">
        <v>0</v>
      </c>
      <c r="AC22" s="179">
        <f t="shared" si="21"/>
        <v>0</v>
      </c>
      <c r="AD22" s="373">
        <v>0</v>
      </c>
      <c r="AE22" s="179">
        <f t="shared" si="22"/>
        <v>0</v>
      </c>
      <c r="AF22" s="373">
        <v>0</v>
      </c>
      <c r="AG22" s="179">
        <f t="shared" si="23"/>
        <v>0</v>
      </c>
      <c r="AH22" s="373">
        <v>0</v>
      </c>
      <c r="AI22" s="179">
        <f t="shared" si="24"/>
        <v>0</v>
      </c>
      <c r="AJ22" s="373">
        <v>0</v>
      </c>
      <c r="AK22" s="179">
        <f t="shared" si="25"/>
        <v>0</v>
      </c>
      <c r="AL22" s="373">
        <v>0</v>
      </c>
      <c r="AM22" s="179">
        <f t="shared" si="26"/>
        <v>0</v>
      </c>
      <c r="AN22" s="373">
        <v>0</v>
      </c>
      <c r="AO22" s="179">
        <f t="shared" si="27"/>
        <v>0</v>
      </c>
      <c r="AP22" s="373">
        <v>0</v>
      </c>
      <c r="AQ22" s="179">
        <f t="shared" si="28"/>
        <v>0</v>
      </c>
      <c r="AR22" s="373">
        <v>0</v>
      </c>
      <c r="AS22" s="179">
        <f t="shared" si="29"/>
        <v>0</v>
      </c>
      <c r="AT22" s="373">
        <v>0</v>
      </c>
      <c r="AU22" s="179">
        <f t="shared" si="30"/>
        <v>0</v>
      </c>
      <c r="AV22" s="373">
        <v>0</v>
      </c>
      <c r="AW22" s="179">
        <f t="shared" si="31"/>
        <v>0</v>
      </c>
      <c r="AX22" s="373">
        <v>0</v>
      </c>
      <c r="AY22" s="179">
        <f t="shared" si="32"/>
        <v>0</v>
      </c>
      <c r="AZ22" s="373">
        <v>0</v>
      </c>
      <c r="BA22" s="179">
        <f t="shared" si="33"/>
        <v>0</v>
      </c>
      <c r="BB22" s="373">
        <v>0</v>
      </c>
      <c r="BC22" s="179">
        <f t="shared" si="34"/>
        <v>0</v>
      </c>
      <c r="BD22" s="373">
        <v>0</v>
      </c>
      <c r="BE22" s="179">
        <f t="shared" si="35"/>
        <v>0</v>
      </c>
      <c r="BF22" s="373">
        <v>0</v>
      </c>
      <c r="BG22" s="179">
        <f t="shared" si="36"/>
        <v>0</v>
      </c>
      <c r="BH22" s="373">
        <v>0</v>
      </c>
      <c r="BI22" s="179">
        <f t="shared" si="37"/>
        <v>0</v>
      </c>
      <c r="BJ22" s="373">
        <f t="shared" si="48"/>
        <v>0</v>
      </c>
      <c r="BK22" s="374">
        <f t="shared" si="48"/>
        <v>0</v>
      </c>
      <c r="BL22" s="297" t="s">
        <v>467</v>
      </c>
      <c r="BN22" s="375"/>
      <c r="BO22" s="375"/>
      <c r="BP22" s="270">
        <f t="shared" si="49"/>
        <v>0</v>
      </c>
      <c r="BQ22" s="375"/>
      <c r="BR22" s="375">
        <f t="shared" si="59"/>
        <v>0</v>
      </c>
      <c r="BS22" s="375"/>
      <c r="BT22" s="375"/>
      <c r="BU22" s="376">
        <f t="shared" si="60"/>
        <v>0</v>
      </c>
      <c r="BV22" s="377">
        <f t="shared" si="0"/>
        <v>0</v>
      </c>
    </row>
    <row r="23" spans="1:74" ht="31.5" x14ac:dyDescent="0.25">
      <c r="A23" s="1023"/>
      <c r="B23" s="205">
        <v>41204</v>
      </c>
      <c r="C23" s="205" t="s">
        <v>249</v>
      </c>
      <c r="D23" s="205" t="s">
        <v>240</v>
      </c>
      <c r="E23" s="378">
        <f>0.15*100000</f>
        <v>15000</v>
      </c>
      <c r="F23" s="47">
        <v>0</v>
      </c>
      <c r="G23" s="85">
        <f t="shared" si="41"/>
        <v>0</v>
      </c>
      <c r="H23" s="85">
        <f t="shared" si="50"/>
        <v>0</v>
      </c>
      <c r="I23" s="85">
        <f t="shared" si="51"/>
        <v>0</v>
      </c>
      <c r="J23" s="85">
        <f t="shared" si="42"/>
        <v>0</v>
      </c>
      <c r="K23" s="85">
        <f t="shared" si="43"/>
        <v>0</v>
      </c>
      <c r="L23" s="85">
        <f t="shared" si="52"/>
        <v>0</v>
      </c>
      <c r="M23" s="85">
        <f t="shared" si="44"/>
        <v>0</v>
      </c>
      <c r="N23" s="85">
        <f t="shared" si="45"/>
        <v>0</v>
      </c>
      <c r="O23" s="85">
        <f t="shared" si="46"/>
        <v>0</v>
      </c>
      <c r="P23" s="85">
        <f t="shared" si="47"/>
        <v>0</v>
      </c>
      <c r="Q23" s="85">
        <f t="shared" si="53"/>
        <v>0</v>
      </c>
      <c r="R23" s="47"/>
      <c r="S23" s="47">
        <f t="shared" si="54"/>
        <v>0</v>
      </c>
      <c r="T23" s="47"/>
      <c r="U23" s="47"/>
      <c r="V23" s="366">
        <f t="shared" si="55"/>
        <v>0</v>
      </c>
      <c r="W23" s="366">
        <f t="shared" si="56"/>
        <v>0</v>
      </c>
      <c r="X23" s="366">
        <f t="shared" si="57"/>
        <v>0</v>
      </c>
      <c r="Y23" s="366">
        <f t="shared" si="58"/>
        <v>0</v>
      </c>
      <c r="Z23" s="47">
        <v>0</v>
      </c>
      <c r="AA23" s="179">
        <f t="shared" si="20"/>
        <v>0</v>
      </c>
      <c r="AB23" s="47">
        <v>0</v>
      </c>
      <c r="AC23" s="179">
        <f t="shared" si="21"/>
        <v>0</v>
      </c>
      <c r="AD23" s="47">
        <v>0</v>
      </c>
      <c r="AE23" s="179">
        <f t="shared" si="22"/>
        <v>0</v>
      </c>
      <c r="AF23" s="47">
        <v>0</v>
      </c>
      <c r="AG23" s="179">
        <f t="shared" si="23"/>
        <v>0</v>
      </c>
      <c r="AH23" s="47">
        <v>0</v>
      </c>
      <c r="AI23" s="179">
        <f t="shared" si="24"/>
        <v>0</v>
      </c>
      <c r="AJ23" s="47">
        <v>0</v>
      </c>
      <c r="AK23" s="179">
        <f t="shared" si="25"/>
        <v>0</v>
      </c>
      <c r="AL23" s="47">
        <v>0</v>
      </c>
      <c r="AM23" s="179">
        <f t="shared" si="26"/>
        <v>0</v>
      </c>
      <c r="AN23" s="47">
        <v>0</v>
      </c>
      <c r="AO23" s="179">
        <f t="shared" si="27"/>
        <v>0</v>
      </c>
      <c r="AP23" s="47">
        <v>0</v>
      </c>
      <c r="AQ23" s="179">
        <f t="shared" si="28"/>
        <v>0</v>
      </c>
      <c r="AR23" s="47">
        <v>0</v>
      </c>
      <c r="AS23" s="179">
        <f t="shared" si="29"/>
        <v>0</v>
      </c>
      <c r="AT23" s="47">
        <v>0</v>
      </c>
      <c r="AU23" s="179">
        <f t="shared" si="30"/>
        <v>0</v>
      </c>
      <c r="AV23" s="47">
        <v>0</v>
      </c>
      <c r="AW23" s="179">
        <f t="shared" si="31"/>
        <v>0</v>
      </c>
      <c r="AX23" s="47">
        <v>0</v>
      </c>
      <c r="AY23" s="179">
        <f t="shared" si="32"/>
        <v>0</v>
      </c>
      <c r="AZ23" s="47">
        <v>0</v>
      </c>
      <c r="BA23" s="179">
        <f t="shared" si="33"/>
        <v>0</v>
      </c>
      <c r="BB23" s="47">
        <v>0</v>
      </c>
      <c r="BC23" s="179">
        <f t="shared" si="34"/>
        <v>0</v>
      </c>
      <c r="BD23" s="47">
        <v>0</v>
      </c>
      <c r="BE23" s="179">
        <f t="shared" si="35"/>
        <v>0</v>
      </c>
      <c r="BF23" s="47">
        <v>0</v>
      </c>
      <c r="BG23" s="179">
        <f t="shared" si="36"/>
        <v>0</v>
      </c>
      <c r="BH23" s="47">
        <v>0</v>
      </c>
      <c r="BI23" s="179">
        <f t="shared" si="37"/>
        <v>0</v>
      </c>
      <c r="BJ23" s="47">
        <f t="shared" si="48"/>
        <v>0</v>
      </c>
      <c r="BK23" s="117">
        <f t="shared" si="48"/>
        <v>0</v>
      </c>
      <c r="BL23" s="293" t="s">
        <v>467</v>
      </c>
      <c r="BN23" s="113"/>
      <c r="BO23" s="113"/>
      <c r="BP23" s="257">
        <f t="shared" si="49"/>
        <v>0</v>
      </c>
      <c r="BQ23" s="113"/>
      <c r="BR23" s="113">
        <f t="shared" si="59"/>
        <v>0</v>
      </c>
      <c r="BS23" s="113"/>
      <c r="BT23" s="113"/>
      <c r="BU23" s="124">
        <f t="shared" si="60"/>
        <v>0</v>
      </c>
      <c r="BV23" s="179">
        <f t="shared" si="0"/>
        <v>0</v>
      </c>
    </row>
    <row r="24" spans="1:74" x14ac:dyDescent="0.25">
      <c r="A24" s="1023"/>
      <c r="B24" s="38">
        <v>41205</v>
      </c>
      <c r="C24" s="38" t="s">
        <v>250</v>
      </c>
      <c r="D24" s="38" t="s">
        <v>240</v>
      </c>
      <c r="E24" s="365">
        <f>0.1*100000</f>
        <v>10000</v>
      </c>
      <c r="F24" s="47">
        <v>0</v>
      </c>
      <c r="G24" s="85">
        <f t="shared" si="41"/>
        <v>0</v>
      </c>
      <c r="H24" s="85">
        <f t="shared" si="50"/>
        <v>0</v>
      </c>
      <c r="I24" s="85">
        <f t="shared" si="51"/>
        <v>0</v>
      </c>
      <c r="J24" s="85">
        <f t="shared" si="42"/>
        <v>0</v>
      </c>
      <c r="K24" s="85">
        <f t="shared" si="43"/>
        <v>0</v>
      </c>
      <c r="L24" s="85">
        <f t="shared" si="52"/>
        <v>0</v>
      </c>
      <c r="M24" s="85">
        <f t="shared" si="44"/>
        <v>0</v>
      </c>
      <c r="N24" s="85">
        <f t="shared" si="45"/>
        <v>0</v>
      </c>
      <c r="O24" s="85">
        <f t="shared" si="46"/>
        <v>0</v>
      </c>
      <c r="P24" s="85">
        <f t="shared" si="47"/>
        <v>0</v>
      </c>
      <c r="Q24" s="85">
        <f t="shared" si="53"/>
        <v>0</v>
      </c>
      <c r="R24" s="47"/>
      <c r="S24" s="47">
        <f t="shared" si="54"/>
        <v>0</v>
      </c>
      <c r="T24" s="47"/>
      <c r="U24" s="47"/>
      <c r="V24" s="366">
        <f t="shared" si="55"/>
        <v>0</v>
      </c>
      <c r="W24" s="366">
        <f t="shared" si="56"/>
        <v>0</v>
      </c>
      <c r="X24" s="366">
        <f t="shared" si="57"/>
        <v>0</v>
      </c>
      <c r="Y24" s="366">
        <f t="shared" si="58"/>
        <v>0</v>
      </c>
      <c r="Z24" s="47">
        <v>0</v>
      </c>
      <c r="AA24" s="179">
        <f t="shared" si="20"/>
        <v>0</v>
      </c>
      <c r="AB24" s="47">
        <v>0</v>
      </c>
      <c r="AC24" s="179">
        <f t="shared" si="21"/>
        <v>0</v>
      </c>
      <c r="AD24" s="47">
        <v>0</v>
      </c>
      <c r="AE24" s="179">
        <f t="shared" si="22"/>
        <v>0</v>
      </c>
      <c r="AF24" s="47">
        <v>0</v>
      </c>
      <c r="AG24" s="179">
        <f t="shared" si="23"/>
        <v>0</v>
      </c>
      <c r="AH24" s="47">
        <v>0</v>
      </c>
      <c r="AI24" s="179">
        <f t="shared" si="24"/>
        <v>0</v>
      </c>
      <c r="AJ24" s="47">
        <v>0</v>
      </c>
      <c r="AK24" s="179">
        <f t="shared" si="25"/>
        <v>0</v>
      </c>
      <c r="AL24" s="47">
        <v>0</v>
      </c>
      <c r="AM24" s="179">
        <f t="shared" si="26"/>
        <v>0</v>
      </c>
      <c r="AN24" s="47">
        <v>0</v>
      </c>
      <c r="AO24" s="179">
        <f t="shared" si="27"/>
        <v>0</v>
      </c>
      <c r="AP24" s="47">
        <v>0</v>
      </c>
      <c r="AQ24" s="179">
        <f t="shared" si="28"/>
        <v>0</v>
      </c>
      <c r="AR24" s="47">
        <v>0</v>
      </c>
      <c r="AS24" s="179">
        <f t="shared" si="29"/>
        <v>0</v>
      </c>
      <c r="AT24" s="47">
        <v>0</v>
      </c>
      <c r="AU24" s="179">
        <f t="shared" si="30"/>
        <v>0</v>
      </c>
      <c r="AV24" s="47">
        <v>0</v>
      </c>
      <c r="AW24" s="179">
        <f t="shared" si="31"/>
        <v>0</v>
      </c>
      <c r="AX24" s="47">
        <v>0</v>
      </c>
      <c r="AY24" s="179">
        <f t="shared" si="32"/>
        <v>0</v>
      </c>
      <c r="AZ24" s="47">
        <v>0</v>
      </c>
      <c r="BA24" s="179">
        <f t="shared" si="33"/>
        <v>0</v>
      </c>
      <c r="BB24" s="47">
        <v>0</v>
      </c>
      <c r="BC24" s="179">
        <f t="shared" si="34"/>
        <v>0</v>
      </c>
      <c r="BD24" s="47">
        <v>0</v>
      </c>
      <c r="BE24" s="179">
        <f t="shared" si="35"/>
        <v>0</v>
      </c>
      <c r="BF24" s="47">
        <v>0</v>
      </c>
      <c r="BG24" s="179">
        <f t="shared" si="36"/>
        <v>0</v>
      </c>
      <c r="BH24" s="47">
        <v>0</v>
      </c>
      <c r="BI24" s="179">
        <f t="shared" si="37"/>
        <v>0</v>
      </c>
      <c r="BJ24" s="47">
        <f t="shared" si="48"/>
        <v>0</v>
      </c>
      <c r="BK24" s="117">
        <f t="shared" si="48"/>
        <v>0</v>
      </c>
      <c r="BL24" s="293" t="s">
        <v>467</v>
      </c>
      <c r="BN24" s="113"/>
      <c r="BO24" s="113"/>
      <c r="BP24" s="257">
        <f t="shared" si="49"/>
        <v>0</v>
      </c>
      <c r="BQ24" s="113"/>
      <c r="BR24" s="113">
        <f t="shared" si="59"/>
        <v>0</v>
      </c>
      <c r="BS24" s="113"/>
      <c r="BT24" s="113"/>
      <c r="BU24" s="124">
        <f t="shared" si="60"/>
        <v>0</v>
      </c>
      <c r="BV24" s="179">
        <f t="shared" si="0"/>
        <v>0</v>
      </c>
    </row>
    <row r="25" spans="1:74" x14ac:dyDescent="0.25">
      <c r="A25" s="1023"/>
      <c r="B25" s="38">
        <v>41206</v>
      </c>
      <c r="C25" s="636" t="s">
        <v>251</v>
      </c>
      <c r="D25" s="38" t="s">
        <v>240</v>
      </c>
      <c r="E25" s="365">
        <f>0.7*100000</f>
        <v>70000</v>
      </c>
      <c r="F25" s="47">
        <f t="shared" si="61"/>
        <v>12</v>
      </c>
      <c r="G25" s="85">
        <f>E25*F25</f>
        <v>840000</v>
      </c>
      <c r="H25" s="85">
        <f t="shared" si="50"/>
        <v>168000</v>
      </c>
      <c r="I25" s="85">
        <f t="shared" si="51"/>
        <v>672000</v>
      </c>
      <c r="J25" s="85">
        <f t="shared" si="42"/>
        <v>0</v>
      </c>
      <c r="K25" s="85">
        <f t="shared" si="43"/>
        <v>0</v>
      </c>
      <c r="L25" s="85">
        <f t="shared" si="52"/>
        <v>0</v>
      </c>
      <c r="M25" s="85">
        <f t="shared" si="44"/>
        <v>0</v>
      </c>
      <c r="N25" s="85">
        <f t="shared" si="45"/>
        <v>0</v>
      </c>
      <c r="O25" s="85">
        <f t="shared" si="46"/>
        <v>0</v>
      </c>
      <c r="P25" s="85">
        <f t="shared" si="47"/>
        <v>0</v>
      </c>
      <c r="Q25" s="85">
        <f t="shared" si="53"/>
        <v>0</v>
      </c>
      <c r="R25" s="47"/>
      <c r="S25" s="47">
        <f t="shared" si="54"/>
        <v>12</v>
      </c>
      <c r="T25" s="47"/>
      <c r="U25" s="47"/>
      <c r="V25" s="366">
        <f t="shared" si="55"/>
        <v>0</v>
      </c>
      <c r="W25" s="366">
        <f t="shared" si="56"/>
        <v>840000</v>
      </c>
      <c r="X25" s="366">
        <f t="shared" si="57"/>
        <v>0</v>
      </c>
      <c r="Y25" s="366">
        <f t="shared" si="58"/>
        <v>0</v>
      </c>
      <c r="Z25" s="47">
        <v>1</v>
      </c>
      <c r="AA25" s="179">
        <f t="shared" si="20"/>
        <v>70000</v>
      </c>
      <c r="AB25" s="47">
        <v>1</v>
      </c>
      <c r="AC25" s="179">
        <f t="shared" si="21"/>
        <v>70000</v>
      </c>
      <c r="AD25" s="47">
        <v>1</v>
      </c>
      <c r="AE25" s="179">
        <f t="shared" si="22"/>
        <v>70000</v>
      </c>
      <c r="AF25" s="47">
        <v>0</v>
      </c>
      <c r="AG25" s="179">
        <f t="shared" si="23"/>
        <v>0</v>
      </c>
      <c r="AH25" s="47">
        <v>0</v>
      </c>
      <c r="AI25" s="179">
        <f t="shared" si="24"/>
        <v>0</v>
      </c>
      <c r="AJ25" s="47">
        <v>1</v>
      </c>
      <c r="AK25" s="179">
        <f t="shared" si="25"/>
        <v>70000</v>
      </c>
      <c r="AL25" s="47">
        <v>1</v>
      </c>
      <c r="AM25" s="179">
        <f t="shared" si="26"/>
        <v>70000</v>
      </c>
      <c r="AN25" s="47">
        <v>1</v>
      </c>
      <c r="AO25" s="179">
        <f t="shared" si="27"/>
        <v>70000</v>
      </c>
      <c r="AP25" s="47">
        <v>0</v>
      </c>
      <c r="AQ25" s="179">
        <f t="shared" si="28"/>
        <v>0</v>
      </c>
      <c r="AR25" s="47">
        <v>1</v>
      </c>
      <c r="AS25" s="179">
        <f t="shared" si="29"/>
        <v>70000</v>
      </c>
      <c r="AT25" s="47">
        <v>1</v>
      </c>
      <c r="AU25" s="179">
        <f t="shared" si="30"/>
        <v>70000</v>
      </c>
      <c r="AV25" s="47">
        <v>0</v>
      </c>
      <c r="AW25" s="189">
        <f t="shared" si="31"/>
        <v>0</v>
      </c>
      <c r="AX25" s="47">
        <v>0</v>
      </c>
      <c r="AY25" s="179">
        <f t="shared" si="32"/>
        <v>0</v>
      </c>
      <c r="AZ25" s="47">
        <v>1</v>
      </c>
      <c r="BA25" s="179">
        <f t="shared" si="33"/>
        <v>70000</v>
      </c>
      <c r="BB25" s="47">
        <v>1</v>
      </c>
      <c r="BC25" s="179">
        <f t="shared" si="34"/>
        <v>70000</v>
      </c>
      <c r="BD25" s="47">
        <v>1</v>
      </c>
      <c r="BE25" s="179">
        <f t="shared" si="35"/>
        <v>70000</v>
      </c>
      <c r="BF25" s="47">
        <v>1</v>
      </c>
      <c r="BG25" s="179">
        <f t="shared" si="36"/>
        <v>70000</v>
      </c>
      <c r="BH25" s="47">
        <v>0</v>
      </c>
      <c r="BI25" s="179">
        <f t="shared" si="37"/>
        <v>0</v>
      </c>
      <c r="BJ25" s="47">
        <f t="shared" si="48"/>
        <v>12</v>
      </c>
      <c r="BK25" s="694">
        <f t="shared" si="48"/>
        <v>840000</v>
      </c>
      <c r="BL25" s="293" t="s">
        <v>467</v>
      </c>
      <c r="BN25" s="113"/>
      <c r="BO25" s="113"/>
      <c r="BP25" s="257">
        <f t="shared" si="49"/>
        <v>840000</v>
      </c>
      <c r="BQ25" s="113"/>
      <c r="BR25" s="113">
        <f t="shared" si="59"/>
        <v>840000</v>
      </c>
      <c r="BS25" s="113"/>
      <c r="BT25" s="113"/>
      <c r="BU25" s="124">
        <f t="shared" si="60"/>
        <v>0</v>
      </c>
      <c r="BV25" s="179">
        <f t="shared" si="0"/>
        <v>840000</v>
      </c>
    </row>
    <row r="26" spans="1:74" x14ac:dyDescent="0.25">
      <c r="A26" s="1023"/>
      <c r="B26" s="38">
        <v>41207</v>
      </c>
      <c r="C26" s="38" t="s">
        <v>252</v>
      </c>
      <c r="D26" s="38" t="s">
        <v>240</v>
      </c>
      <c r="E26" s="365">
        <f>0.3*100000</f>
        <v>30000</v>
      </c>
      <c r="F26" s="47">
        <f t="shared" si="61"/>
        <v>0</v>
      </c>
      <c r="G26" s="85">
        <f t="shared" si="41"/>
        <v>0</v>
      </c>
      <c r="H26" s="85">
        <f t="shared" si="50"/>
        <v>0</v>
      </c>
      <c r="I26" s="85">
        <f t="shared" si="51"/>
        <v>0</v>
      </c>
      <c r="J26" s="85">
        <f t="shared" si="42"/>
        <v>0</v>
      </c>
      <c r="K26" s="85">
        <f t="shared" si="43"/>
        <v>0</v>
      </c>
      <c r="L26" s="85">
        <f t="shared" si="52"/>
        <v>0</v>
      </c>
      <c r="M26" s="85">
        <f t="shared" si="44"/>
        <v>0</v>
      </c>
      <c r="N26" s="85">
        <f t="shared" si="45"/>
        <v>0</v>
      </c>
      <c r="O26" s="85">
        <f t="shared" si="46"/>
        <v>0</v>
      </c>
      <c r="P26" s="85">
        <f t="shared" si="47"/>
        <v>0</v>
      </c>
      <c r="Q26" s="85">
        <f t="shared" si="53"/>
        <v>0</v>
      </c>
      <c r="R26" s="47"/>
      <c r="S26" s="47">
        <f t="shared" si="54"/>
        <v>0</v>
      </c>
      <c r="T26" s="47"/>
      <c r="U26" s="47"/>
      <c r="V26" s="366">
        <f t="shared" si="55"/>
        <v>0</v>
      </c>
      <c r="W26" s="366">
        <f t="shared" si="56"/>
        <v>0</v>
      </c>
      <c r="X26" s="366">
        <f t="shared" si="57"/>
        <v>0</v>
      </c>
      <c r="Y26" s="366">
        <f t="shared" si="58"/>
        <v>0</v>
      </c>
      <c r="Z26" s="47">
        <v>0</v>
      </c>
      <c r="AA26" s="179">
        <f t="shared" si="20"/>
        <v>0</v>
      </c>
      <c r="AB26" s="47">
        <v>0</v>
      </c>
      <c r="AC26" s="179">
        <f t="shared" si="21"/>
        <v>0</v>
      </c>
      <c r="AD26" s="47">
        <v>0</v>
      </c>
      <c r="AE26" s="179">
        <f t="shared" si="22"/>
        <v>0</v>
      </c>
      <c r="AF26" s="47">
        <v>0</v>
      </c>
      <c r="AG26" s="179">
        <f t="shared" si="23"/>
        <v>0</v>
      </c>
      <c r="AH26" s="47">
        <v>0</v>
      </c>
      <c r="AI26" s="179">
        <f t="shared" si="24"/>
        <v>0</v>
      </c>
      <c r="AJ26" s="47">
        <v>0</v>
      </c>
      <c r="AK26" s="179">
        <f t="shared" si="25"/>
        <v>0</v>
      </c>
      <c r="AL26" s="47">
        <v>0</v>
      </c>
      <c r="AM26" s="179">
        <f t="shared" si="26"/>
        <v>0</v>
      </c>
      <c r="AN26" s="47">
        <v>0</v>
      </c>
      <c r="AO26" s="179">
        <f t="shared" si="27"/>
        <v>0</v>
      </c>
      <c r="AP26" s="47">
        <v>0</v>
      </c>
      <c r="AQ26" s="179">
        <f t="shared" si="28"/>
        <v>0</v>
      </c>
      <c r="AR26" s="47">
        <v>0</v>
      </c>
      <c r="AS26" s="179">
        <f t="shared" si="29"/>
        <v>0</v>
      </c>
      <c r="AT26" s="47">
        <v>0</v>
      </c>
      <c r="AU26" s="179">
        <f t="shared" si="30"/>
        <v>0</v>
      </c>
      <c r="AV26" s="47">
        <v>0</v>
      </c>
      <c r="AW26" s="189">
        <f t="shared" si="31"/>
        <v>0</v>
      </c>
      <c r="AX26" s="47">
        <v>0</v>
      </c>
      <c r="AY26" s="179">
        <f t="shared" si="32"/>
        <v>0</v>
      </c>
      <c r="AZ26" s="47">
        <v>0</v>
      </c>
      <c r="BA26" s="179">
        <f t="shared" si="33"/>
        <v>0</v>
      </c>
      <c r="BB26" s="47">
        <v>0</v>
      </c>
      <c r="BC26" s="179">
        <f t="shared" si="34"/>
        <v>0</v>
      </c>
      <c r="BD26" s="47">
        <v>0</v>
      </c>
      <c r="BE26" s="179">
        <f t="shared" si="35"/>
        <v>0</v>
      </c>
      <c r="BF26" s="47">
        <v>0</v>
      </c>
      <c r="BG26" s="179">
        <f t="shared" si="36"/>
        <v>0</v>
      </c>
      <c r="BH26" s="47">
        <v>0</v>
      </c>
      <c r="BI26" s="179">
        <f t="shared" si="37"/>
        <v>0</v>
      </c>
      <c r="BJ26" s="47">
        <f t="shared" si="48"/>
        <v>0</v>
      </c>
      <c r="BK26" s="117">
        <f t="shared" si="48"/>
        <v>0</v>
      </c>
      <c r="BL26" s="293" t="s">
        <v>467</v>
      </c>
      <c r="BN26" s="113"/>
      <c r="BO26" s="113"/>
      <c r="BP26" s="257">
        <f t="shared" si="49"/>
        <v>0</v>
      </c>
      <c r="BQ26" s="113"/>
      <c r="BR26" s="113">
        <f t="shared" si="59"/>
        <v>0</v>
      </c>
      <c r="BS26" s="113"/>
      <c r="BT26" s="113"/>
      <c r="BU26" s="124">
        <f t="shared" si="60"/>
        <v>0</v>
      </c>
      <c r="BV26" s="179">
        <f t="shared" si="0"/>
        <v>0</v>
      </c>
    </row>
    <row r="27" spans="1:74" x14ac:dyDescent="0.25">
      <c r="A27" s="1023"/>
      <c r="B27" s="38">
        <v>41208</v>
      </c>
      <c r="C27" s="636" t="s">
        <v>253</v>
      </c>
      <c r="D27" s="38" t="s">
        <v>240</v>
      </c>
      <c r="E27" s="365">
        <v>50000</v>
      </c>
      <c r="F27" s="47">
        <f t="shared" si="61"/>
        <v>12</v>
      </c>
      <c r="G27" s="85">
        <f>E27*F27</f>
        <v>600000</v>
      </c>
      <c r="H27" s="85">
        <f t="shared" si="50"/>
        <v>120000</v>
      </c>
      <c r="I27" s="85">
        <f t="shared" si="51"/>
        <v>480000</v>
      </c>
      <c r="J27" s="85">
        <f t="shared" si="42"/>
        <v>0</v>
      </c>
      <c r="K27" s="85">
        <f t="shared" si="43"/>
        <v>0</v>
      </c>
      <c r="L27" s="85">
        <f t="shared" si="52"/>
        <v>0</v>
      </c>
      <c r="M27" s="85">
        <f t="shared" si="44"/>
        <v>0</v>
      </c>
      <c r="N27" s="85">
        <f t="shared" si="45"/>
        <v>0</v>
      </c>
      <c r="O27" s="85">
        <f t="shared" si="46"/>
        <v>0</v>
      </c>
      <c r="P27" s="85">
        <f t="shared" si="47"/>
        <v>0</v>
      </c>
      <c r="Q27" s="85">
        <f t="shared" si="53"/>
        <v>0</v>
      </c>
      <c r="R27" s="47"/>
      <c r="S27" s="47">
        <f t="shared" si="54"/>
        <v>12</v>
      </c>
      <c r="T27" s="47"/>
      <c r="U27" s="47"/>
      <c r="V27" s="366">
        <f t="shared" si="55"/>
        <v>0</v>
      </c>
      <c r="W27" s="366">
        <f t="shared" si="56"/>
        <v>600000</v>
      </c>
      <c r="X27" s="366">
        <f t="shared" si="57"/>
        <v>0</v>
      </c>
      <c r="Y27" s="366">
        <f t="shared" si="58"/>
        <v>0</v>
      </c>
      <c r="Z27" s="47">
        <v>1</v>
      </c>
      <c r="AA27" s="179">
        <f t="shared" si="20"/>
        <v>50000</v>
      </c>
      <c r="AB27" s="47">
        <v>1</v>
      </c>
      <c r="AC27" s="179">
        <f t="shared" si="21"/>
        <v>50000</v>
      </c>
      <c r="AD27" s="47">
        <v>0</v>
      </c>
      <c r="AE27" s="179">
        <f t="shared" si="22"/>
        <v>0</v>
      </c>
      <c r="AF27" s="624">
        <v>0</v>
      </c>
      <c r="AG27" s="179">
        <f t="shared" si="23"/>
        <v>0</v>
      </c>
      <c r="AH27" s="47">
        <v>0</v>
      </c>
      <c r="AI27" s="179">
        <f t="shared" si="24"/>
        <v>0</v>
      </c>
      <c r="AJ27" s="47">
        <v>1</v>
      </c>
      <c r="AK27" s="179">
        <f t="shared" si="25"/>
        <v>50000</v>
      </c>
      <c r="AL27" s="47">
        <v>1</v>
      </c>
      <c r="AM27" s="179">
        <f t="shared" si="26"/>
        <v>50000</v>
      </c>
      <c r="AN27" s="47">
        <v>1</v>
      </c>
      <c r="AO27" s="179">
        <f t="shared" si="27"/>
        <v>50000</v>
      </c>
      <c r="AP27" s="47">
        <v>0</v>
      </c>
      <c r="AQ27" s="179">
        <f t="shared" si="28"/>
        <v>0</v>
      </c>
      <c r="AR27" s="47">
        <v>1</v>
      </c>
      <c r="AS27" s="179">
        <f t="shared" si="29"/>
        <v>50000</v>
      </c>
      <c r="AT27" s="47">
        <v>1</v>
      </c>
      <c r="AU27" s="179">
        <f t="shared" si="30"/>
        <v>50000</v>
      </c>
      <c r="AV27" s="47">
        <v>1</v>
      </c>
      <c r="AW27" s="189">
        <f t="shared" si="31"/>
        <v>50000</v>
      </c>
      <c r="AX27" s="47">
        <v>0</v>
      </c>
      <c r="AY27" s="179">
        <f t="shared" si="32"/>
        <v>0</v>
      </c>
      <c r="AZ27" s="47">
        <v>1</v>
      </c>
      <c r="BA27" s="179">
        <f t="shared" si="33"/>
        <v>50000</v>
      </c>
      <c r="BB27" s="47">
        <v>1</v>
      </c>
      <c r="BC27" s="179">
        <f t="shared" si="34"/>
        <v>50000</v>
      </c>
      <c r="BD27" s="47">
        <v>1</v>
      </c>
      <c r="BE27" s="179">
        <f t="shared" si="35"/>
        <v>50000</v>
      </c>
      <c r="BF27" s="47">
        <v>1</v>
      </c>
      <c r="BG27" s="179">
        <f t="shared" si="36"/>
        <v>50000</v>
      </c>
      <c r="BH27" s="47">
        <v>0</v>
      </c>
      <c r="BI27" s="179">
        <f t="shared" si="37"/>
        <v>0</v>
      </c>
      <c r="BJ27" s="47">
        <f t="shared" si="48"/>
        <v>12</v>
      </c>
      <c r="BK27" s="694">
        <f>AA27+AC27+AE27+AG27+AI27+AK27+AM27+AO27+AQ27+AS27+AU27+AW27+AY27+BA27+BC27+BE27+BG27+BI27</f>
        <v>600000</v>
      </c>
      <c r="BL27" s="293" t="s">
        <v>467</v>
      </c>
      <c r="BN27" s="113"/>
      <c r="BO27" s="113"/>
      <c r="BP27" s="257">
        <f t="shared" si="49"/>
        <v>600000</v>
      </c>
      <c r="BQ27" s="113"/>
      <c r="BR27" s="113">
        <f t="shared" si="59"/>
        <v>600000</v>
      </c>
      <c r="BS27" s="113"/>
      <c r="BT27" s="113"/>
      <c r="BU27" s="124">
        <f t="shared" si="60"/>
        <v>0</v>
      </c>
      <c r="BV27" s="179">
        <f t="shared" si="0"/>
        <v>600000</v>
      </c>
    </row>
    <row r="28" spans="1:74" s="163" customFormat="1" x14ac:dyDescent="0.25">
      <c r="A28" s="1023"/>
      <c r="B28" s="169">
        <v>41209</v>
      </c>
      <c r="C28" s="636" t="s">
        <v>335</v>
      </c>
      <c r="D28" s="169" t="s">
        <v>240</v>
      </c>
      <c r="E28" s="178">
        <v>2500</v>
      </c>
      <c r="F28" s="135">
        <f t="shared" si="61"/>
        <v>153</v>
      </c>
      <c r="G28" s="133">
        <f>E28*F28</f>
        <v>382500</v>
      </c>
      <c r="H28" s="133">
        <f t="shared" si="50"/>
        <v>76500</v>
      </c>
      <c r="I28" s="133">
        <f t="shared" si="51"/>
        <v>306000</v>
      </c>
      <c r="J28" s="133">
        <f t="shared" si="42"/>
        <v>0</v>
      </c>
      <c r="K28" s="133">
        <f t="shared" si="43"/>
        <v>0</v>
      </c>
      <c r="L28" s="133">
        <f t="shared" si="52"/>
        <v>0</v>
      </c>
      <c r="M28" s="133">
        <f t="shared" si="44"/>
        <v>0</v>
      </c>
      <c r="N28" s="133">
        <f t="shared" si="45"/>
        <v>0</v>
      </c>
      <c r="O28" s="133">
        <f t="shared" si="46"/>
        <v>0</v>
      </c>
      <c r="P28" s="133">
        <f t="shared" si="47"/>
        <v>0</v>
      </c>
      <c r="Q28" s="133">
        <f t="shared" si="53"/>
        <v>0</v>
      </c>
      <c r="R28" s="135"/>
      <c r="S28" s="135">
        <f t="shared" si="54"/>
        <v>153</v>
      </c>
      <c r="T28" s="135"/>
      <c r="U28" s="135"/>
      <c r="V28" s="366">
        <f t="shared" si="55"/>
        <v>0</v>
      </c>
      <c r="W28" s="366">
        <f t="shared" si="56"/>
        <v>382500</v>
      </c>
      <c r="X28" s="366">
        <f t="shared" si="57"/>
        <v>0</v>
      </c>
      <c r="Y28" s="366">
        <f t="shared" si="58"/>
        <v>0</v>
      </c>
      <c r="Z28" s="135">
        <v>16</v>
      </c>
      <c r="AA28" s="179">
        <f t="shared" si="20"/>
        <v>40000</v>
      </c>
      <c r="AB28" s="135">
        <v>16</v>
      </c>
      <c r="AC28" s="179">
        <f t="shared" si="21"/>
        <v>40000</v>
      </c>
      <c r="AD28" s="135">
        <v>0</v>
      </c>
      <c r="AE28" s="179">
        <f t="shared" si="22"/>
        <v>0</v>
      </c>
      <c r="AF28" s="629">
        <v>0</v>
      </c>
      <c r="AG28" s="179">
        <f t="shared" si="23"/>
        <v>0</v>
      </c>
      <c r="AH28" s="135">
        <v>0</v>
      </c>
      <c r="AI28" s="179">
        <f t="shared" si="24"/>
        <v>0</v>
      </c>
      <c r="AJ28" s="135">
        <v>16</v>
      </c>
      <c r="AK28" s="179">
        <f t="shared" si="25"/>
        <v>40000</v>
      </c>
      <c r="AL28" s="135">
        <v>16</v>
      </c>
      <c r="AM28" s="179">
        <f t="shared" si="26"/>
        <v>40000</v>
      </c>
      <c r="AN28" s="135">
        <v>16</v>
      </c>
      <c r="AO28" s="179">
        <f t="shared" si="27"/>
        <v>40000</v>
      </c>
      <c r="AP28" s="135">
        <v>0</v>
      </c>
      <c r="AQ28" s="179">
        <f t="shared" si="28"/>
        <v>0</v>
      </c>
      <c r="AR28" s="135">
        <v>8</v>
      </c>
      <c r="AS28" s="179">
        <f t="shared" si="29"/>
        <v>20000</v>
      </c>
      <c r="AT28" s="135">
        <v>8</v>
      </c>
      <c r="AU28" s="179">
        <f t="shared" si="30"/>
        <v>20000</v>
      </c>
      <c r="AV28" s="135">
        <v>16</v>
      </c>
      <c r="AW28" s="189">
        <f t="shared" si="31"/>
        <v>40000</v>
      </c>
      <c r="AX28" s="135">
        <v>0</v>
      </c>
      <c r="AY28" s="179">
        <f t="shared" si="32"/>
        <v>0</v>
      </c>
      <c r="AZ28" s="135">
        <v>8</v>
      </c>
      <c r="BA28" s="179">
        <f t="shared" si="33"/>
        <v>20000</v>
      </c>
      <c r="BB28" s="135">
        <v>1</v>
      </c>
      <c r="BC28" s="179">
        <f t="shared" si="34"/>
        <v>2500</v>
      </c>
      <c r="BD28" s="135">
        <v>16</v>
      </c>
      <c r="BE28" s="179">
        <f t="shared" si="35"/>
        <v>40000</v>
      </c>
      <c r="BF28" s="135">
        <v>16</v>
      </c>
      <c r="BG28" s="179">
        <f t="shared" si="36"/>
        <v>40000</v>
      </c>
      <c r="BH28" s="135">
        <v>0</v>
      </c>
      <c r="BI28" s="179">
        <f t="shared" si="37"/>
        <v>0</v>
      </c>
      <c r="BJ28" s="135">
        <f t="shared" si="48"/>
        <v>153</v>
      </c>
      <c r="BK28" s="695">
        <f>AA28+AC28+AE28+AG28+AI28+AK28+AM28+AO28+AQ28+AS28+AU28+AW28+AY28+BA28+BC28+BE28+BG28+BI28</f>
        <v>382500</v>
      </c>
      <c r="BL28" s="298" t="s">
        <v>467</v>
      </c>
      <c r="BN28" s="176"/>
      <c r="BO28" s="176"/>
      <c r="BP28" s="379">
        <f t="shared" si="49"/>
        <v>382500</v>
      </c>
      <c r="BQ28" s="176"/>
      <c r="BR28" s="176">
        <f t="shared" si="59"/>
        <v>382500</v>
      </c>
      <c r="BS28" s="176"/>
      <c r="BT28" s="176"/>
      <c r="BU28" s="164">
        <f t="shared" si="60"/>
        <v>0</v>
      </c>
      <c r="BV28" s="189">
        <f t="shared" si="0"/>
        <v>382500</v>
      </c>
    </row>
    <row r="29" spans="1:74" x14ac:dyDescent="0.25">
      <c r="A29" s="1023"/>
      <c r="B29" s="38">
        <v>41210</v>
      </c>
      <c r="C29" s="636" t="s">
        <v>255</v>
      </c>
      <c r="D29" s="38" t="s">
        <v>240</v>
      </c>
      <c r="E29" s="365">
        <f>3*100000</f>
        <v>300000</v>
      </c>
      <c r="F29" s="47">
        <f t="shared" si="61"/>
        <v>11</v>
      </c>
      <c r="G29" s="85">
        <f>E29*F29</f>
        <v>3300000</v>
      </c>
      <c r="H29" s="85">
        <f t="shared" si="50"/>
        <v>660000</v>
      </c>
      <c r="I29" s="85">
        <f t="shared" si="51"/>
        <v>2640000</v>
      </c>
      <c r="J29" s="85">
        <f t="shared" si="42"/>
        <v>0</v>
      </c>
      <c r="K29" s="85">
        <f t="shared" si="43"/>
        <v>0</v>
      </c>
      <c r="L29" s="85">
        <f t="shared" si="52"/>
        <v>0</v>
      </c>
      <c r="M29" s="85">
        <f t="shared" si="44"/>
        <v>0</v>
      </c>
      <c r="N29" s="85">
        <f t="shared" si="45"/>
        <v>0</v>
      </c>
      <c r="O29" s="85">
        <f t="shared" si="46"/>
        <v>0</v>
      </c>
      <c r="P29" s="85">
        <f t="shared" si="47"/>
        <v>0</v>
      </c>
      <c r="Q29" s="85">
        <f t="shared" si="53"/>
        <v>0</v>
      </c>
      <c r="R29" s="47"/>
      <c r="S29" s="47">
        <f t="shared" si="54"/>
        <v>11</v>
      </c>
      <c r="T29" s="47"/>
      <c r="U29" s="47"/>
      <c r="V29" s="366">
        <f t="shared" si="55"/>
        <v>0</v>
      </c>
      <c r="W29" s="366">
        <f t="shared" si="56"/>
        <v>3300000</v>
      </c>
      <c r="X29" s="366">
        <f t="shared" si="57"/>
        <v>0</v>
      </c>
      <c r="Y29" s="366">
        <f t="shared" si="58"/>
        <v>0</v>
      </c>
      <c r="Z29" s="47">
        <v>1</v>
      </c>
      <c r="AA29" s="179">
        <f t="shared" si="20"/>
        <v>300000</v>
      </c>
      <c r="AB29" s="47">
        <v>1</v>
      </c>
      <c r="AC29" s="179">
        <f t="shared" si="21"/>
        <v>300000</v>
      </c>
      <c r="AD29" s="47">
        <v>0</v>
      </c>
      <c r="AE29" s="179">
        <f t="shared" si="22"/>
        <v>0</v>
      </c>
      <c r="AF29" s="624">
        <v>0</v>
      </c>
      <c r="AG29" s="179">
        <f t="shared" si="23"/>
        <v>0</v>
      </c>
      <c r="AH29" s="47">
        <v>0</v>
      </c>
      <c r="AI29" s="179">
        <f t="shared" si="24"/>
        <v>0</v>
      </c>
      <c r="AJ29" s="47">
        <v>1</v>
      </c>
      <c r="AK29" s="179">
        <f t="shared" si="25"/>
        <v>300000</v>
      </c>
      <c r="AL29" s="47">
        <v>1</v>
      </c>
      <c r="AM29" s="179">
        <f t="shared" si="26"/>
        <v>300000</v>
      </c>
      <c r="AN29" s="47">
        <v>1</v>
      </c>
      <c r="AO29" s="179">
        <f t="shared" si="27"/>
        <v>300000</v>
      </c>
      <c r="AP29" s="47">
        <v>0</v>
      </c>
      <c r="AQ29" s="179">
        <f t="shared" si="28"/>
        <v>0</v>
      </c>
      <c r="AR29" s="47">
        <v>1</v>
      </c>
      <c r="AS29" s="179">
        <f t="shared" si="29"/>
        <v>300000</v>
      </c>
      <c r="AT29" s="47">
        <v>1</v>
      </c>
      <c r="AU29" s="179">
        <f t="shared" si="30"/>
        <v>300000</v>
      </c>
      <c r="AV29" s="47">
        <v>0</v>
      </c>
      <c r="AW29" s="189">
        <f t="shared" si="31"/>
        <v>0</v>
      </c>
      <c r="AX29" s="47">
        <v>0</v>
      </c>
      <c r="AY29" s="179">
        <f t="shared" si="32"/>
        <v>0</v>
      </c>
      <c r="AZ29" s="47">
        <v>1</v>
      </c>
      <c r="BA29" s="179">
        <f t="shared" si="33"/>
        <v>300000</v>
      </c>
      <c r="BB29" s="47">
        <v>1</v>
      </c>
      <c r="BC29" s="179">
        <f t="shared" si="34"/>
        <v>300000</v>
      </c>
      <c r="BD29" s="47">
        <v>1</v>
      </c>
      <c r="BE29" s="179">
        <f t="shared" si="35"/>
        <v>300000</v>
      </c>
      <c r="BF29" s="47">
        <v>1</v>
      </c>
      <c r="BG29" s="179">
        <f t="shared" si="36"/>
        <v>300000</v>
      </c>
      <c r="BH29" s="47">
        <v>0</v>
      </c>
      <c r="BI29" s="179">
        <f t="shared" si="37"/>
        <v>0</v>
      </c>
      <c r="BJ29" s="47">
        <f t="shared" si="48"/>
        <v>11</v>
      </c>
      <c r="BK29" s="117">
        <f t="shared" si="48"/>
        <v>3300000</v>
      </c>
      <c r="BL29" s="293" t="s">
        <v>467</v>
      </c>
      <c r="BN29" s="113"/>
      <c r="BO29" s="113"/>
      <c r="BP29" s="257">
        <f t="shared" si="49"/>
        <v>3300000</v>
      </c>
      <c r="BQ29" s="113"/>
      <c r="BR29" s="113">
        <f t="shared" si="59"/>
        <v>3300000</v>
      </c>
      <c r="BS29" s="113"/>
      <c r="BT29" s="113"/>
      <c r="BU29" s="124">
        <f t="shared" si="60"/>
        <v>0</v>
      </c>
      <c r="BV29" s="179">
        <f t="shared" si="0"/>
        <v>3300000</v>
      </c>
    </row>
    <row r="30" spans="1:74" x14ac:dyDescent="0.25">
      <c r="A30" s="1023"/>
      <c r="B30" s="38">
        <v>41211</v>
      </c>
      <c r="C30" s="636" t="s">
        <v>256</v>
      </c>
      <c r="D30" s="38" t="s">
        <v>240</v>
      </c>
      <c r="E30" s="365">
        <v>250000</v>
      </c>
      <c r="F30" s="47">
        <f t="shared" si="61"/>
        <v>12</v>
      </c>
      <c r="G30" s="85">
        <f>E30*F30</f>
        <v>3000000</v>
      </c>
      <c r="H30" s="85">
        <f t="shared" si="50"/>
        <v>600000</v>
      </c>
      <c r="I30" s="85">
        <f t="shared" si="51"/>
        <v>2400000</v>
      </c>
      <c r="J30" s="85">
        <f t="shared" si="42"/>
        <v>0</v>
      </c>
      <c r="K30" s="85">
        <f t="shared" si="43"/>
        <v>0</v>
      </c>
      <c r="L30" s="85">
        <f t="shared" si="52"/>
        <v>0</v>
      </c>
      <c r="M30" s="85">
        <f t="shared" si="44"/>
        <v>0</v>
      </c>
      <c r="N30" s="85">
        <f t="shared" si="45"/>
        <v>0</v>
      </c>
      <c r="O30" s="85">
        <f t="shared" si="46"/>
        <v>0</v>
      </c>
      <c r="P30" s="85">
        <f t="shared" si="47"/>
        <v>0</v>
      </c>
      <c r="Q30" s="85">
        <f t="shared" si="53"/>
        <v>0</v>
      </c>
      <c r="R30" s="47"/>
      <c r="S30" s="47">
        <f t="shared" si="54"/>
        <v>12</v>
      </c>
      <c r="T30" s="47"/>
      <c r="U30" s="47"/>
      <c r="V30" s="366">
        <f t="shared" si="55"/>
        <v>0</v>
      </c>
      <c r="W30" s="366">
        <f t="shared" si="56"/>
        <v>3000000</v>
      </c>
      <c r="X30" s="366">
        <f t="shared" si="57"/>
        <v>0</v>
      </c>
      <c r="Y30" s="366">
        <f t="shared" si="58"/>
        <v>0</v>
      </c>
      <c r="Z30" s="47">
        <v>1</v>
      </c>
      <c r="AA30" s="179">
        <f t="shared" si="20"/>
        <v>250000</v>
      </c>
      <c r="AB30" s="47">
        <v>1</v>
      </c>
      <c r="AC30" s="179">
        <f t="shared" si="21"/>
        <v>250000</v>
      </c>
      <c r="AD30" s="47">
        <v>0</v>
      </c>
      <c r="AE30" s="179">
        <f t="shared" si="22"/>
        <v>0</v>
      </c>
      <c r="AF30" s="624">
        <v>0</v>
      </c>
      <c r="AG30" s="179">
        <f t="shared" si="23"/>
        <v>0</v>
      </c>
      <c r="AH30" s="47">
        <v>0</v>
      </c>
      <c r="AI30" s="179">
        <f t="shared" si="24"/>
        <v>0</v>
      </c>
      <c r="AJ30" s="47">
        <v>1</v>
      </c>
      <c r="AK30" s="179">
        <f t="shared" si="25"/>
        <v>250000</v>
      </c>
      <c r="AL30" s="47">
        <v>1</v>
      </c>
      <c r="AM30" s="179">
        <f t="shared" si="26"/>
        <v>250000</v>
      </c>
      <c r="AN30" s="47">
        <v>1</v>
      </c>
      <c r="AO30" s="179">
        <f t="shared" si="27"/>
        <v>250000</v>
      </c>
      <c r="AP30" s="47">
        <v>1</v>
      </c>
      <c r="AQ30" s="179">
        <f t="shared" si="28"/>
        <v>250000</v>
      </c>
      <c r="AR30" s="47">
        <v>1</v>
      </c>
      <c r="AS30" s="179">
        <f t="shared" si="29"/>
        <v>250000</v>
      </c>
      <c r="AT30" s="47">
        <v>1</v>
      </c>
      <c r="AU30" s="179">
        <f t="shared" si="30"/>
        <v>250000</v>
      </c>
      <c r="AV30" s="47">
        <v>0</v>
      </c>
      <c r="AW30" s="189">
        <f t="shared" si="31"/>
        <v>0</v>
      </c>
      <c r="AX30" s="47">
        <v>0</v>
      </c>
      <c r="AY30" s="179">
        <f t="shared" si="32"/>
        <v>0</v>
      </c>
      <c r="AZ30" s="47">
        <v>1</v>
      </c>
      <c r="BA30" s="179">
        <f t="shared" si="33"/>
        <v>250000</v>
      </c>
      <c r="BB30" s="47">
        <v>1</v>
      </c>
      <c r="BC30" s="179">
        <f t="shared" si="34"/>
        <v>250000</v>
      </c>
      <c r="BD30" s="47">
        <v>1</v>
      </c>
      <c r="BE30" s="179">
        <f t="shared" si="35"/>
        <v>250000</v>
      </c>
      <c r="BF30" s="47">
        <v>1</v>
      </c>
      <c r="BG30" s="179">
        <f t="shared" si="36"/>
        <v>250000</v>
      </c>
      <c r="BH30" s="47">
        <v>0</v>
      </c>
      <c r="BI30" s="179">
        <f t="shared" si="37"/>
        <v>0</v>
      </c>
      <c r="BJ30" s="47">
        <f t="shared" si="48"/>
        <v>12</v>
      </c>
      <c r="BK30" s="694">
        <f t="shared" si="48"/>
        <v>3000000</v>
      </c>
      <c r="BL30" s="293" t="s">
        <v>467</v>
      </c>
      <c r="BN30" s="113"/>
      <c r="BO30" s="113"/>
      <c r="BP30" s="257">
        <f t="shared" si="49"/>
        <v>3000000</v>
      </c>
      <c r="BQ30" s="113"/>
      <c r="BR30" s="113">
        <f t="shared" si="59"/>
        <v>3000000</v>
      </c>
      <c r="BS30" s="113"/>
      <c r="BT30" s="113"/>
      <c r="BU30" s="124">
        <f t="shared" si="60"/>
        <v>0</v>
      </c>
      <c r="BV30" s="179">
        <f t="shared" si="0"/>
        <v>3000000</v>
      </c>
    </row>
    <row r="31" spans="1:74" s="163" customFormat="1" x14ac:dyDescent="0.25">
      <c r="A31" s="1023"/>
      <c r="B31" s="169"/>
      <c r="C31" s="38" t="s">
        <v>700</v>
      </c>
      <c r="D31" s="169" t="s">
        <v>240</v>
      </c>
      <c r="E31" s="178">
        <v>20000</v>
      </c>
      <c r="F31" s="135">
        <f t="shared" si="61"/>
        <v>0</v>
      </c>
      <c r="G31" s="133">
        <f>F31*E31</f>
        <v>0</v>
      </c>
      <c r="H31" s="133">
        <f t="shared" si="50"/>
        <v>0</v>
      </c>
      <c r="I31" s="133">
        <f t="shared" si="51"/>
        <v>0</v>
      </c>
      <c r="J31" s="133">
        <f t="shared" si="42"/>
        <v>0</v>
      </c>
      <c r="K31" s="133">
        <f t="shared" si="43"/>
        <v>0</v>
      </c>
      <c r="L31" s="133">
        <f t="shared" si="52"/>
        <v>0</v>
      </c>
      <c r="M31" s="133">
        <f t="shared" si="44"/>
        <v>0</v>
      </c>
      <c r="N31" s="133">
        <f t="shared" si="45"/>
        <v>0</v>
      </c>
      <c r="O31" s="133">
        <f t="shared" si="46"/>
        <v>0</v>
      </c>
      <c r="P31" s="133">
        <f t="shared" si="47"/>
        <v>0</v>
      </c>
      <c r="Q31" s="133">
        <f t="shared" si="53"/>
        <v>0</v>
      </c>
      <c r="R31" s="135"/>
      <c r="S31" s="135">
        <f t="shared" si="54"/>
        <v>0</v>
      </c>
      <c r="T31" s="135"/>
      <c r="U31" s="135"/>
      <c r="V31" s="366">
        <f t="shared" si="55"/>
        <v>0</v>
      </c>
      <c r="W31" s="366">
        <f t="shared" si="56"/>
        <v>0</v>
      </c>
      <c r="X31" s="366">
        <f t="shared" si="57"/>
        <v>0</v>
      </c>
      <c r="Y31" s="366">
        <f t="shared" si="58"/>
        <v>0</v>
      </c>
      <c r="Z31" s="135">
        <v>0</v>
      </c>
      <c r="AA31" s="179">
        <f t="shared" si="20"/>
        <v>0</v>
      </c>
      <c r="AB31" s="135">
        <v>0</v>
      </c>
      <c r="AC31" s="179">
        <f t="shared" si="21"/>
        <v>0</v>
      </c>
      <c r="AD31" s="135">
        <v>0</v>
      </c>
      <c r="AE31" s="179">
        <f t="shared" si="22"/>
        <v>0</v>
      </c>
      <c r="AF31" s="135">
        <v>0</v>
      </c>
      <c r="AG31" s="179">
        <f t="shared" si="23"/>
        <v>0</v>
      </c>
      <c r="AH31" s="135">
        <v>0</v>
      </c>
      <c r="AI31" s="179">
        <f t="shared" si="24"/>
        <v>0</v>
      </c>
      <c r="AJ31" s="135">
        <v>0</v>
      </c>
      <c r="AK31" s="179">
        <f t="shared" si="25"/>
        <v>0</v>
      </c>
      <c r="AL31" s="135">
        <v>0</v>
      </c>
      <c r="AM31" s="179">
        <f t="shared" si="26"/>
        <v>0</v>
      </c>
      <c r="AN31" s="135">
        <v>0</v>
      </c>
      <c r="AO31" s="179">
        <f t="shared" si="27"/>
        <v>0</v>
      </c>
      <c r="AP31" s="135">
        <v>0</v>
      </c>
      <c r="AQ31" s="179">
        <f t="shared" si="28"/>
        <v>0</v>
      </c>
      <c r="AR31" s="135">
        <v>0</v>
      </c>
      <c r="AS31" s="179">
        <f t="shared" si="29"/>
        <v>0</v>
      </c>
      <c r="AT31" s="135">
        <v>0</v>
      </c>
      <c r="AU31" s="179">
        <f t="shared" si="30"/>
        <v>0</v>
      </c>
      <c r="AV31" s="135">
        <v>0</v>
      </c>
      <c r="AW31" s="179">
        <f t="shared" si="31"/>
        <v>0</v>
      </c>
      <c r="AX31" s="135">
        <v>0</v>
      </c>
      <c r="AY31" s="179">
        <f t="shared" si="32"/>
        <v>0</v>
      </c>
      <c r="AZ31" s="135">
        <v>0</v>
      </c>
      <c r="BA31" s="179">
        <f t="shared" si="33"/>
        <v>0</v>
      </c>
      <c r="BB31" s="135">
        <v>0</v>
      </c>
      <c r="BC31" s="179">
        <f t="shared" si="34"/>
        <v>0</v>
      </c>
      <c r="BD31" s="135">
        <v>0</v>
      </c>
      <c r="BE31" s="179">
        <f t="shared" si="35"/>
        <v>0</v>
      </c>
      <c r="BF31" s="135">
        <v>0</v>
      </c>
      <c r="BG31" s="179">
        <f t="shared" si="36"/>
        <v>0</v>
      </c>
      <c r="BH31" s="135"/>
      <c r="BI31" s="179">
        <f t="shared" si="37"/>
        <v>0</v>
      </c>
      <c r="BJ31" s="135">
        <f t="shared" si="48"/>
        <v>0</v>
      </c>
      <c r="BK31" s="322">
        <f>AA31+AC31+AE31+AG31+AI31+AK31+AM31+AO31+AQ31+AS31+AU31+AW31+AY31+BA31+BC31+BE31+BG31+BI31</f>
        <v>0</v>
      </c>
      <c r="BL31" s="298"/>
      <c r="BN31" s="176"/>
      <c r="BO31" s="176"/>
      <c r="BP31" s="379">
        <f t="shared" si="49"/>
        <v>0</v>
      </c>
      <c r="BQ31" s="176"/>
      <c r="BR31" s="176">
        <f t="shared" si="59"/>
        <v>0</v>
      </c>
      <c r="BS31" s="176"/>
      <c r="BT31" s="176"/>
      <c r="BU31" s="164"/>
      <c r="BV31" s="189"/>
    </row>
    <row r="32" spans="1:74" s="163" customFormat="1" x14ac:dyDescent="0.25">
      <c r="A32" s="1023"/>
      <c r="B32" s="169">
        <v>41212</v>
      </c>
      <c r="C32" s="38" t="s">
        <v>722</v>
      </c>
      <c r="D32" s="169" t="s">
        <v>240</v>
      </c>
      <c r="E32" s="178">
        <v>30000</v>
      </c>
      <c r="F32" s="135">
        <f t="shared" si="61"/>
        <v>4</v>
      </c>
      <c r="G32" s="133">
        <f t="shared" si="41"/>
        <v>120000</v>
      </c>
      <c r="H32" s="133">
        <f t="shared" si="50"/>
        <v>24000</v>
      </c>
      <c r="I32" s="133">
        <f t="shared" si="51"/>
        <v>96000</v>
      </c>
      <c r="J32" s="133">
        <f t="shared" si="42"/>
        <v>0</v>
      </c>
      <c r="K32" s="133">
        <f t="shared" si="43"/>
        <v>0</v>
      </c>
      <c r="L32" s="133">
        <f t="shared" si="52"/>
        <v>0</v>
      </c>
      <c r="M32" s="133">
        <f t="shared" si="44"/>
        <v>0</v>
      </c>
      <c r="N32" s="133">
        <f t="shared" si="45"/>
        <v>0</v>
      </c>
      <c r="O32" s="133">
        <f t="shared" si="46"/>
        <v>0</v>
      </c>
      <c r="P32" s="133">
        <f t="shared" si="47"/>
        <v>0</v>
      </c>
      <c r="Q32" s="133">
        <f t="shared" si="53"/>
        <v>0</v>
      </c>
      <c r="R32" s="135"/>
      <c r="S32" s="135">
        <f t="shared" si="54"/>
        <v>4</v>
      </c>
      <c r="T32" s="135"/>
      <c r="U32" s="135"/>
      <c r="V32" s="366">
        <f t="shared" si="55"/>
        <v>0</v>
      </c>
      <c r="W32" s="366">
        <f t="shared" si="56"/>
        <v>120000</v>
      </c>
      <c r="X32" s="366">
        <f t="shared" si="57"/>
        <v>0</v>
      </c>
      <c r="Y32" s="366">
        <f t="shared" si="58"/>
        <v>0</v>
      </c>
      <c r="Z32" s="135">
        <v>0</v>
      </c>
      <c r="AA32" s="179">
        <f t="shared" si="20"/>
        <v>0</v>
      </c>
      <c r="AB32" s="135">
        <v>1</v>
      </c>
      <c r="AC32" s="179">
        <f t="shared" si="21"/>
        <v>30000</v>
      </c>
      <c r="AD32" s="135">
        <v>0</v>
      </c>
      <c r="AE32" s="179">
        <f t="shared" si="22"/>
        <v>0</v>
      </c>
      <c r="AF32" s="135">
        <v>0</v>
      </c>
      <c r="AG32" s="179">
        <f t="shared" si="23"/>
        <v>0</v>
      </c>
      <c r="AH32" s="135">
        <v>1</v>
      </c>
      <c r="AI32" s="687">
        <f t="shared" si="24"/>
        <v>30000</v>
      </c>
      <c r="AJ32" s="135">
        <v>0</v>
      </c>
      <c r="AK32" s="179">
        <f t="shared" si="25"/>
        <v>0</v>
      </c>
      <c r="AL32" s="135">
        <v>0</v>
      </c>
      <c r="AM32" s="179">
        <f t="shared" si="26"/>
        <v>0</v>
      </c>
      <c r="AN32" s="135">
        <v>1</v>
      </c>
      <c r="AO32" s="179">
        <f t="shared" si="27"/>
        <v>30000</v>
      </c>
      <c r="AP32" s="135">
        <v>0</v>
      </c>
      <c r="AQ32" s="179">
        <f t="shared" si="28"/>
        <v>0</v>
      </c>
      <c r="AR32" s="135">
        <v>1</v>
      </c>
      <c r="AS32" s="179">
        <f t="shared" si="29"/>
        <v>30000</v>
      </c>
      <c r="AT32" s="135">
        <v>0</v>
      </c>
      <c r="AU32" s="179">
        <f t="shared" si="30"/>
        <v>0</v>
      </c>
      <c r="AV32" s="135">
        <v>0</v>
      </c>
      <c r="AW32" s="179">
        <f t="shared" si="31"/>
        <v>0</v>
      </c>
      <c r="AX32" s="135">
        <v>0</v>
      </c>
      <c r="AY32" s="179">
        <f t="shared" si="32"/>
        <v>0</v>
      </c>
      <c r="AZ32" s="135">
        <v>0</v>
      </c>
      <c r="BA32" s="179">
        <f t="shared" si="33"/>
        <v>0</v>
      </c>
      <c r="BB32" s="135">
        <v>0</v>
      </c>
      <c r="BC32" s="179">
        <f t="shared" si="34"/>
        <v>0</v>
      </c>
      <c r="BD32" s="135">
        <v>0</v>
      </c>
      <c r="BE32" s="179">
        <f t="shared" si="35"/>
        <v>0</v>
      </c>
      <c r="BF32" s="135">
        <v>0</v>
      </c>
      <c r="BG32" s="179">
        <f t="shared" si="36"/>
        <v>0</v>
      </c>
      <c r="BH32" s="135">
        <v>0</v>
      </c>
      <c r="BI32" s="179">
        <f t="shared" si="37"/>
        <v>0</v>
      </c>
      <c r="BJ32" s="135">
        <f t="shared" si="48"/>
        <v>4</v>
      </c>
      <c r="BK32" s="322">
        <f t="shared" si="48"/>
        <v>120000</v>
      </c>
      <c r="BL32" s="298" t="s">
        <v>467</v>
      </c>
      <c r="BN32" s="176"/>
      <c r="BO32" s="176"/>
      <c r="BP32" s="379">
        <f t="shared" si="49"/>
        <v>120000</v>
      </c>
      <c r="BQ32" s="176"/>
      <c r="BR32" s="176">
        <f t="shared" si="59"/>
        <v>120000</v>
      </c>
      <c r="BS32" s="176"/>
      <c r="BT32" s="176"/>
      <c r="BU32" s="164">
        <f t="shared" si="60"/>
        <v>0</v>
      </c>
      <c r="BV32" s="189">
        <f t="shared" si="0"/>
        <v>120000</v>
      </c>
    </row>
    <row r="33" spans="1:74" s="163" customFormat="1" x14ac:dyDescent="0.25">
      <c r="A33" s="1023"/>
      <c r="B33" s="169"/>
      <c r="C33" s="38" t="s">
        <v>731</v>
      </c>
      <c r="D33" s="169" t="s">
        <v>240</v>
      </c>
      <c r="E33" s="178">
        <v>20000</v>
      </c>
      <c r="F33" s="135">
        <v>0</v>
      </c>
      <c r="G33" s="133">
        <f t="shared" si="41"/>
        <v>0</v>
      </c>
      <c r="H33" s="133">
        <f t="shared" si="50"/>
        <v>0</v>
      </c>
      <c r="I33" s="133">
        <f t="shared" si="51"/>
        <v>0</v>
      </c>
      <c r="J33" s="133">
        <f>G33*0</f>
        <v>0</v>
      </c>
      <c r="K33" s="133">
        <f>G33*0</f>
        <v>0</v>
      </c>
      <c r="L33" s="133">
        <f>G33*0</f>
        <v>0</v>
      </c>
      <c r="M33" s="133">
        <f>G33*0</f>
        <v>0</v>
      </c>
      <c r="N33" s="133">
        <f>G33*0</f>
        <v>0</v>
      </c>
      <c r="O33" s="133">
        <f>G33*0</f>
        <v>0</v>
      </c>
      <c r="P33" s="133">
        <f>G33*0</f>
        <v>0</v>
      </c>
      <c r="Q33" s="133">
        <f>G33*0</f>
        <v>0</v>
      </c>
      <c r="R33" s="135"/>
      <c r="S33" s="135">
        <v>0</v>
      </c>
      <c r="T33" s="135"/>
      <c r="U33" s="135"/>
      <c r="V33" s="366">
        <f t="shared" si="55"/>
        <v>0</v>
      </c>
      <c r="W33" s="366">
        <f t="shared" si="56"/>
        <v>0</v>
      </c>
      <c r="X33" s="366">
        <f t="shared" si="57"/>
        <v>0</v>
      </c>
      <c r="Y33" s="366">
        <f t="shared" si="58"/>
        <v>0</v>
      </c>
      <c r="Z33" s="135">
        <v>0</v>
      </c>
      <c r="AA33" s="179">
        <f t="shared" si="20"/>
        <v>0</v>
      </c>
      <c r="AB33" s="135">
        <v>0</v>
      </c>
      <c r="AC33" s="179">
        <f t="shared" si="21"/>
        <v>0</v>
      </c>
      <c r="AD33" s="135">
        <v>0</v>
      </c>
      <c r="AE33" s="179">
        <f t="shared" si="22"/>
        <v>0</v>
      </c>
      <c r="AF33" s="135">
        <v>0</v>
      </c>
      <c r="AG33" s="179">
        <f t="shared" si="23"/>
        <v>0</v>
      </c>
      <c r="AH33" s="135">
        <v>0</v>
      </c>
      <c r="AI33" s="179">
        <f t="shared" si="24"/>
        <v>0</v>
      </c>
      <c r="AJ33" s="135">
        <v>0</v>
      </c>
      <c r="AK33" s="179">
        <f t="shared" si="25"/>
        <v>0</v>
      </c>
      <c r="AL33" s="135">
        <v>0</v>
      </c>
      <c r="AM33" s="179">
        <f t="shared" si="26"/>
        <v>0</v>
      </c>
      <c r="AN33" s="135">
        <v>0</v>
      </c>
      <c r="AO33" s="179">
        <f t="shared" si="27"/>
        <v>0</v>
      </c>
      <c r="AP33" s="135">
        <v>0</v>
      </c>
      <c r="AQ33" s="179">
        <f t="shared" si="28"/>
        <v>0</v>
      </c>
      <c r="AR33" s="135">
        <v>0</v>
      </c>
      <c r="AS33" s="179">
        <f t="shared" si="29"/>
        <v>0</v>
      </c>
      <c r="AT33" s="135">
        <v>0</v>
      </c>
      <c r="AU33" s="179">
        <f t="shared" si="30"/>
        <v>0</v>
      </c>
      <c r="AV33" s="135">
        <v>0</v>
      </c>
      <c r="AW33" s="179">
        <f t="shared" si="31"/>
        <v>0</v>
      </c>
      <c r="AX33" s="135">
        <v>0</v>
      </c>
      <c r="AY33" s="179">
        <f t="shared" si="32"/>
        <v>0</v>
      </c>
      <c r="AZ33" s="135">
        <v>0</v>
      </c>
      <c r="BA33" s="179">
        <f t="shared" si="33"/>
        <v>0</v>
      </c>
      <c r="BB33" s="135">
        <v>0</v>
      </c>
      <c r="BC33" s="179">
        <f t="shared" si="34"/>
        <v>0</v>
      </c>
      <c r="BD33" s="135">
        <v>0</v>
      </c>
      <c r="BE33" s="179">
        <f t="shared" si="35"/>
        <v>0</v>
      </c>
      <c r="BF33" s="135">
        <v>0</v>
      </c>
      <c r="BG33" s="179">
        <f t="shared" si="36"/>
        <v>0</v>
      </c>
      <c r="BH33" s="135"/>
      <c r="BI33" s="179">
        <f t="shared" si="37"/>
        <v>0</v>
      </c>
      <c r="BJ33" s="135">
        <f t="shared" si="48"/>
        <v>0</v>
      </c>
      <c r="BK33" s="322">
        <f t="shared" si="48"/>
        <v>0</v>
      </c>
      <c r="BL33" s="298" t="s">
        <v>467</v>
      </c>
      <c r="BN33" s="176"/>
      <c r="BO33" s="176"/>
      <c r="BP33" s="379">
        <f t="shared" si="49"/>
        <v>0</v>
      </c>
      <c r="BQ33" s="176"/>
      <c r="BR33" s="176">
        <f t="shared" si="59"/>
        <v>0</v>
      </c>
      <c r="BS33" s="176"/>
      <c r="BT33" s="176"/>
      <c r="BU33" s="164"/>
      <c r="BV33" s="189"/>
    </row>
    <row r="34" spans="1:74" x14ac:dyDescent="0.25">
      <c r="A34" s="1023"/>
      <c r="B34" s="38">
        <v>41213</v>
      </c>
      <c r="C34" s="38" t="s">
        <v>258</v>
      </c>
      <c r="D34" s="38" t="s">
        <v>208</v>
      </c>
      <c r="E34" s="365">
        <f>0.2*100000</f>
        <v>20000</v>
      </c>
      <c r="F34" s="47">
        <f t="shared" si="61"/>
        <v>0</v>
      </c>
      <c r="G34" s="85">
        <f t="shared" si="41"/>
        <v>0</v>
      </c>
      <c r="H34" s="85">
        <f t="shared" si="50"/>
        <v>0</v>
      </c>
      <c r="I34" s="85">
        <f t="shared" si="51"/>
        <v>0</v>
      </c>
      <c r="J34" s="85">
        <f t="shared" si="42"/>
        <v>0</v>
      </c>
      <c r="K34" s="85">
        <f t="shared" si="43"/>
        <v>0</v>
      </c>
      <c r="L34" s="85">
        <f t="shared" si="52"/>
        <v>0</v>
      </c>
      <c r="M34" s="85">
        <f t="shared" si="44"/>
        <v>0</v>
      </c>
      <c r="N34" s="85">
        <f t="shared" si="45"/>
        <v>0</v>
      </c>
      <c r="O34" s="85">
        <f t="shared" si="46"/>
        <v>0</v>
      </c>
      <c r="P34" s="85">
        <f t="shared" si="47"/>
        <v>0</v>
      </c>
      <c r="Q34" s="85">
        <f t="shared" si="53"/>
        <v>0</v>
      </c>
      <c r="R34" s="47"/>
      <c r="S34" s="47">
        <f t="shared" si="54"/>
        <v>0</v>
      </c>
      <c r="T34" s="47"/>
      <c r="U34" s="47"/>
      <c r="V34" s="366">
        <f t="shared" si="55"/>
        <v>0</v>
      </c>
      <c r="W34" s="366">
        <f t="shared" si="56"/>
        <v>0</v>
      </c>
      <c r="X34" s="366">
        <f t="shared" si="57"/>
        <v>0</v>
      </c>
      <c r="Y34" s="366">
        <f t="shared" si="58"/>
        <v>0</v>
      </c>
      <c r="Z34" s="47">
        <v>0</v>
      </c>
      <c r="AA34" s="179">
        <f t="shared" si="20"/>
        <v>0</v>
      </c>
      <c r="AB34" s="47">
        <v>0</v>
      </c>
      <c r="AC34" s="179">
        <f t="shared" si="21"/>
        <v>0</v>
      </c>
      <c r="AD34" s="47">
        <v>0</v>
      </c>
      <c r="AE34" s="179">
        <f t="shared" si="22"/>
        <v>0</v>
      </c>
      <c r="AF34" s="47">
        <v>0</v>
      </c>
      <c r="AG34" s="179">
        <f t="shared" si="23"/>
        <v>0</v>
      </c>
      <c r="AH34" s="47">
        <v>0</v>
      </c>
      <c r="AI34" s="179">
        <f t="shared" si="24"/>
        <v>0</v>
      </c>
      <c r="AJ34" s="47">
        <v>0</v>
      </c>
      <c r="AK34" s="179">
        <f t="shared" si="25"/>
        <v>0</v>
      </c>
      <c r="AL34" s="47">
        <v>0</v>
      </c>
      <c r="AM34" s="179">
        <f t="shared" si="26"/>
        <v>0</v>
      </c>
      <c r="AN34" s="47">
        <v>0</v>
      </c>
      <c r="AO34" s="179">
        <f t="shared" si="27"/>
        <v>0</v>
      </c>
      <c r="AP34" s="47">
        <v>0</v>
      </c>
      <c r="AQ34" s="179">
        <f t="shared" si="28"/>
        <v>0</v>
      </c>
      <c r="AR34" s="47">
        <v>0</v>
      </c>
      <c r="AS34" s="179">
        <f t="shared" si="29"/>
        <v>0</v>
      </c>
      <c r="AT34" s="47">
        <v>0</v>
      </c>
      <c r="AU34" s="179">
        <f t="shared" si="30"/>
        <v>0</v>
      </c>
      <c r="AV34" s="47">
        <v>0</v>
      </c>
      <c r="AW34" s="179">
        <f t="shared" si="31"/>
        <v>0</v>
      </c>
      <c r="AX34" s="47">
        <v>0</v>
      </c>
      <c r="AY34" s="179">
        <f t="shared" si="32"/>
        <v>0</v>
      </c>
      <c r="AZ34" s="47">
        <v>0</v>
      </c>
      <c r="BA34" s="179">
        <f t="shared" si="33"/>
        <v>0</v>
      </c>
      <c r="BB34" s="47">
        <v>0</v>
      </c>
      <c r="BC34" s="179">
        <f t="shared" si="34"/>
        <v>0</v>
      </c>
      <c r="BD34" s="47">
        <v>0</v>
      </c>
      <c r="BE34" s="179">
        <f t="shared" si="35"/>
        <v>0</v>
      </c>
      <c r="BF34" s="47">
        <v>0</v>
      </c>
      <c r="BG34" s="179">
        <f t="shared" si="36"/>
        <v>0</v>
      </c>
      <c r="BH34" s="47">
        <v>0</v>
      </c>
      <c r="BI34" s="179">
        <f t="shared" si="37"/>
        <v>0</v>
      </c>
      <c r="BJ34" s="47">
        <f t="shared" si="48"/>
        <v>0</v>
      </c>
      <c r="BK34" s="117">
        <f t="shared" si="48"/>
        <v>0</v>
      </c>
      <c r="BL34" s="293" t="s">
        <v>467</v>
      </c>
      <c r="BN34" s="113"/>
      <c r="BO34" s="113"/>
      <c r="BP34" s="257">
        <f t="shared" si="49"/>
        <v>0</v>
      </c>
      <c r="BQ34" s="113"/>
      <c r="BR34" s="113">
        <f t="shared" si="59"/>
        <v>0</v>
      </c>
      <c r="BS34" s="113"/>
      <c r="BT34" s="113"/>
      <c r="BU34" s="124">
        <f t="shared" si="60"/>
        <v>0</v>
      </c>
      <c r="BV34" s="179">
        <f t="shared" si="0"/>
        <v>0</v>
      </c>
    </row>
    <row r="35" spans="1:74" x14ac:dyDescent="0.25">
      <c r="A35" s="1023"/>
      <c r="B35" s="38">
        <v>41214</v>
      </c>
      <c r="C35" s="38" t="s">
        <v>259</v>
      </c>
      <c r="D35" s="38" t="s">
        <v>208</v>
      </c>
      <c r="E35" s="365">
        <f>0.15*100000</f>
        <v>15000</v>
      </c>
      <c r="F35" s="47">
        <f t="shared" si="61"/>
        <v>0</v>
      </c>
      <c r="G35" s="85">
        <f t="shared" si="41"/>
        <v>0</v>
      </c>
      <c r="H35" s="85">
        <f t="shared" si="50"/>
        <v>0</v>
      </c>
      <c r="I35" s="85">
        <f t="shared" si="51"/>
        <v>0</v>
      </c>
      <c r="J35" s="85">
        <f t="shared" si="42"/>
        <v>0</v>
      </c>
      <c r="K35" s="85">
        <f t="shared" si="43"/>
        <v>0</v>
      </c>
      <c r="L35" s="85">
        <f t="shared" si="52"/>
        <v>0</v>
      </c>
      <c r="M35" s="85">
        <f t="shared" si="44"/>
        <v>0</v>
      </c>
      <c r="N35" s="85">
        <f t="shared" si="45"/>
        <v>0</v>
      </c>
      <c r="O35" s="85">
        <f t="shared" si="46"/>
        <v>0</v>
      </c>
      <c r="P35" s="85">
        <f t="shared" si="47"/>
        <v>0</v>
      </c>
      <c r="Q35" s="85">
        <f t="shared" si="53"/>
        <v>0</v>
      </c>
      <c r="R35" s="47"/>
      <c r="S35" s="47">
        <f t="shared" si="54"/>
        <v>0</v>
      </c>
      <c r="T35" s="47"/>
      <c r="U35" s="47"/>
      <c r="V35" s="366">
        <f t="shared" si="55"/>
        <v>0</v>
      </c>
      <c r="W35" s="366">
        <f t="shared" si="56"/>
        <v>0</v>
      </c>
      <c r="X35" s="366">
        <f t="shared" si="57"/>
        <v>0</v>
      </c>
      <c r="Y35" s="366">
        <f t="shared" si="58"/>
        <v>0</v>
      </c>
      <c r="Z35" s="47">
        <v>0</v>
      </c>
      <c r="AA35" s="179">
        <f t="shared" si="20"/>
        <v>0</v>
      </c>
      <c r="AB35" s="47">
        <v>0</v>
      </c>
      <c r="AC35" s="179">
        <f t="shared" si="21"/>
        <v>0</v>
      </c>
      <c r="AD35" s="47">
        <v>0</v>
      </c>
      <c r="AE35" s="179">
        <f t="shared" si="22"/>
        <v>0</v>
      </c>
      <c r="AF35" s="47">
        <v>0</v>
      </c>
      <c r="AG35" s="179">
        <f t="shared" si="23"/>
        <v>0</v>
      </c>
      <c r="AH35" s="47">
        <v>0</v>
      </c>
      <c r="AI35" s="179">
        <f t="shared" si="24"/>
        <v>0</v>
      </c>
      <c r="AJ35" s="47">
        <v>0</v>
      </c>
      <c r="AK35" s="179">
        <f t="shared" si="25"/>
        <v>0</v>
      </c>
      <c r="AL35" s="47">
        <v>0</v>
      </c>
      <c r="AM35" s="179">
        <f t="shared" si="26"/>
        <v>0</v>
      </c>
      <c r="AN35" s="47">
        <v>0</v>
      </c>
      <c r="AO35" s="179">
        <f t="shared" si="27"/>
        <v>0</v>
      </c>
      <c r="AP35" s="47">
        <v>0</v>
      </c>
      <c r="AQ35" s="179">
        <f t="shared" si="28"/>
        <v>0</v>
      </c>
      <c r="AR35" s="47">
        <v>0</v>
      </c>
      <c r="AS35" s="179">
        <f t="shared" si="29"/>
        <v>0</v>
      </c>
      <c r="AT35" s="47">
        <v>0</v>
      </c>
      <c r="AU35" s="179">
        <f t="shared" si="30"/>
        <v>0</v>
      </c>
      <c r="AV35" s="47">
        <v>0</v>
      </c>
      <c r="AW35" s="179">
        <f t="shared" si="31"/>
        <v>0</v>
      </c>
      <c r="AX35" s="47">
        <v>0</v>
      </c>
      <c r="AY35" s="179">
        <f t="shared" si="32"/>
        <v>0</v>
      </c>
      <c r="AZ35" s="47">
        <v>0</v>
      </c>
      <c r="BA35" s="179">
        <f t="shared" si="33"/>
        <v>0</v>
      </c>
      <c r="BB35" s="47">
        <v>0</v>
      </c>
      <c r="BC35" s="179">
        <f t="shared" si="34"/>
        <v>0</v>
      </c>
      <c r="BD35" s="47">
        <v>0</v>
      </c>
      <c r="BE35" s="179">
        <f t="shared" si="35"/>
        <v>0</v>
      </c>
      <c r="BF35" s="47">
        <v>0</v>
      </c>
      <c r="BG35" s="179">
        <f t="shared" si="36"/>
        <v>0</v>
      </c>
      <c r="BH35" s="47">
        <v>0</v>
      </c>
      <c r="BI35" s="179">
        <f t="shared" si="37"/>
        <v>0</v>
      </c>
      <c r="BJ35" s="47">
        <f t="shared" si="48"/>
        <v>0</v>
      </c>
      <c r="BK35" s="117">
        <f t="shared" si="48"/>
        <v>0</v>
      </c>
      <c r="BL35" s="293" t="s">
        <v>467</v>
      </c>
      <c r="BN35" s="113"/>
      <c r="BO35" s="113"/>
      <c r="BP35" s="257">
        <f t="shared" si="49"/>
        <v>0</v>
      </c>
      <c r="BQ35" s="113"/>
      <c r="BR35" s="113">
        <f t="shared" si="59"/>
        <v>0</v>
      </c>
      <c r="BS35" s="113"/>
      <c r="BT35" s="113"/>
      <c r="BU35" s="124">
        <f t="shared" si="60"/>
        <v>0</v>
      </c>
      <c r="BV35" s="179">
        <f t="shared" si="0"/>
        <v>0</v>
      </c>
    </row>
    <row r="36" spans="1:74" s="67" customFormat="1" ht="31.5" x14ac:dyDescent="0.25">
      <c r="A36" s="1023"/>
      <c r="B36" s="38">
        <v>41215</v>
      </c>
      <c r="C36" s="38" t="s">
        <v>260</v>
      </c>
      <c r="D36" s="38" t="s">
        <v>240</v>
      </c>
      <c r="E36" s="365">
        <f>3*100000</f>
        <v>300000</v>
      </c>
      <c r="F36" s="47">
        <v>0</v>
      </c>
      <c r="G36" s="85">
        <f t="shared" si="41"/>
        <v>0</v>
      </c>
      <c r="H36" s="85">
        <f t="shared" si="50"/>
        <v>0</v>
      </c>
      <c r="I36" s="85">
        <f t="shared" si="51"/>
        <v>0</v>
      </c>
      <c r="J36" s="85">
        <f t="shared" si="42"/>
        <v>0</v>
      </c>
      <c r="K36" s="85">
        <f t="shared" si="43"/>
        <v>0</v>
      </c>
      <c r="L36" s="85">
        <f t="shared" si="52"/>
        <v>0</v>
      </c>
      <c r="M36" s="85">
        <f t="shared" si="44"/>
        <v>0</v>
      </c>
      <c r="N36" s="85">
        <f t="shared" si="45"/>
        <v>0</v>
      </c>
      <c r="O36" s="85">
        <f t="shared" si="46"/>
        <v>0</v>
      </c>
      <c r="P36" s="85">
        <f t="shared" si="47"/>
        <v>0</v>
      </c>
      <c r="Q36" s="85">
        <f t="shared" si="53"/>
        <v>0</v>
      </c>
      <c r="R36" s="47"/>
      <c r="S36" s="47">
        <f t="shared" si="54"/>
        <v>0</v>
      </c>
      <c r="T36" s="47"/>
      <c r="U36" s="47"/>
      <c r="V36" s="366">
        <f t="shared" si="55"/>
        <v>0</v>
      </c>
      <c r="W36" s="366">
        <f t="shared" si="56"/>
        <v>0</v>
      </c>
      <c r="X36" s="366">
        <f t="shared" si="57"/>
        <v>0</v>
      </c>
      <c r="Y36" s="366">
        <f t="shared" si="58"/>
        <v>0</v>
      </c>
      <c r="Z36" s="47">
        <v>0</v>
      </c>
      <c r="AA36" s="179">
        <f t="shared" si="20"/>
        <v>0</v>
      </c>
      <c r="AB36" s="47">
        <v>0</v>
      </c>
      <c r="AC36" s="179">
        <f t="shared" si="21"/>
        <v>0</v>
      </c>
      <c r="AD36" s="47">
        <v>0</v>
      </c>
      <c r="AE36" s="179">
        <f t="shared" si="22"/>
        <v>0</v>
      </c>
      <c r="AF36" s="47">
        <v>0</v>
      </c>
      <c r="AG36" s="179">
        <f t="shared" si="23"/>
        <v>0</v>
      </c>
      <c r="AH36" s="47">
        <v>0</v>
      </c>
      <c r="AI36" s="179">
        <f t="shared" si="24"/>
        <v>0</v>
      </c>
      <c r="AJ36" s="47">
        <v>0</v>
      </c>
      <c r="AK36" s="179">
        <f t="shared" si="25"/>
        <v>0</v>
      </c>
      <c r="AL36" s="47">
        <v>0</v>
      </c>
      <c r="AM36" s="179">
        <f t="shared" si="26"/>
        <v>0</v>
      </c>
      <c r="AN36" s="47">
        <v>0</v>
      </c>
      <c r="AO36" s="179">
        <f t="shared" si="27"/>
        <v>0</v>
      </c>
      <c r="AP36" s="47">
        <v>0</v>
      </c>
      <c r="AQ36" s="179">
        <f t="shared" si="28"/>
        <v>0</v>
      </c>
      <c r="AR36" s="47">
        <v>0</v>
      </c>
      <c r="AS36" s="179">
        <f t="shared" si="29"/>
        <v>0</v>
      </c>
      <c r="AT36" s="47">
        <v>0</v>
      </c>
      <c r="AU36" s="179">
        <f t="shared" si="30"/>
        <v>0</v>
      </c>
      <c r="AV36" s="47">
        <v>0</v>
      </c>
      <c r="AW36" s="179">
        <f t="shared" si="31"/>
        <v>0</v>
      </c>
      <c r="AX36" s="47">
        <v>0</v>
      </c>
      <c r="AY36" s="179">
        <f t="shared" si="32"/>
        <v>0</v>
      </c>
      <c r="AZ36" s="47">
        <v>0</v>
      </c>
      <c r="BA36" s="179">
        <f t="shared" si="33"/>
        <v>0</v>
      </c>
      <c r="BB36" s="47">
        <v>0</v>
      </c>
      <c r="BC36" s="179">
        <f t="shared" si="34"/>
        <v>0</v>
      </c>
      <c r="BD36" s="47">
        <v>0</v>
      </c>
      <c r="BE36" s="179">
        <f t="shared" si="35"/>
        <v>0</v>
      </c>
      <c r="BF36" s="47">
        <v>0</v>
      </c>
      <c r="BG36" s="179">
        <f t="shared" si="36"/>
        <v>0</v>
      </c>
      <c r="BH36" s="47">
        <v>0</v>
      </c>
      <c r="BI36" s="179">
        <f t="shared" si="37"/>
        <v>0</v>
      </c>
      <c r="BJ36" s="47">
        <f t="shared" si="48"/>
        <v>0</v>
      </c>
      <c r="BK36" s="117">
        <f t="shared" si="48"/>
        <v>0</v>
      </c>
      <c r="BL36" s="293" t="s">
        <v>467</v>
      </c>
      <c r="BN36" s="257"/>
      <c r="BO36" s="257"/>
      <c r="BP36" s="257">
        <f>G36</f>
        <v>0</v>
      </c>
      <c r="BQ36" s="257"/>
      <c r="BR36" s="113">
        <f t="shared" si="59"/>
        <v>0</v>
      </c>
      <c r="BS36" s="257"/>
      <c r="BT36" s="257"/>
      <c r="BU36" s="124">
        <f t="shared" si="60"/>
        <v>0</v>
      </c>
      <c r="BV36" s="179">
        <f t="shared" si="0"/>
        <v>0</v>
      </c>
    </row>
    <row r="37" spans="1:74" s="163" customFormat="1" x14ac:dyDescent="0.25">
      <c r="A37" s="1023"/>
      <c r="B37" s="169">
        <v>41216</v>
      </c>
      <c r="C37" s="38" t="s">
        <v>261</v>
      </c>
      <c r="D37" s="169" t="s">
        <v>208</v>
      </c>
      <c r="E37" s="178">
        <f>0.02*100000</f>
        <v>2000</v>
      </c>
      <c r="F37" s="135">
        <f t="shared" si="61"/>
        <v>0</v>
      </c>
      <c r="G37" s="133">
        <f t="shared" si="41"/>
        <v>0</v>
      </c>
      <c r="H37" s="133">
        <f t="shared" si="50"/>
        <v>0</v>
      </c>
      <c r="I37" s="133">
        <f t="shared" si="51"/>
        <v>0</v>
      </c>
      <c r="J37" s="133">
        <f t="shared" si="42"/>
        <v>0</v>
      </c>
      <c r="K37" s="133">
        <f t="shared" si="43"/>
        <v>0</v>
      </c>
      <c r="L37" s="133">
        <f t="shared" si="52"/>
        <v>0</v>
      </c>
      <c r="M37" s="133">
        <f t="shared" si="44"/>
        <v>0</v>
      </c>
      <c r="N37" s="133">
        <f t="shared" si="45"/>
        <v>0</v>
      </c>
      <c r="O37" s="133">
        <f t="shared" si="46"/>
        <v>0</v>
      </c>
      <c r="P37" s="133">
        <f t="shared" si="47"/>
        <v>0</v>
      </c>
      <c r="Q37" s="133">
        <f t="shared" si="53"/>
        <v>0</v>
      </c>
      <c r="R37" s="135"/>
      <c r="S37" s="135">
        <f t="shared" si="54"/>
        <v>0</v>
      </c>
      <c r="T37" s="135"/>
      <c r="U37" s="135"/>
      <c r="V37" s="366">
        <f t="shared" si="55"/>
        <v>0</v>
      </c>
      <c r="W37" s="366">
        <f t="shared" si="56"/>
        <v>0</v>
      </c>
      <c r="X37" s="366">
        <f t="shared" si="57"/>
        <v>0</v>
      </c>
      <c r="Y37" s="366">
        <f t="shared" si="58"/>
        <v>0</v>
      </c>
      <c r="Z37" s="135">
        <v>0</v>
      </c>
      <c r="AA37" s="179">
        <f t="shared" si="20"/>
        <v>0</v>
      </c>
      <c r="AB37" s="135">
        <v>0</v>
      </c>
      <c r="AC37" s="179">
        <f t="shared" si="21"/>
        <v>0</v>
      </c>
      <c r="AD37" s="135">
        <v>0</v>
      </c>
      <c r="AE37" s="179">
        <f t="shared" si="22"/>
        <v>0</v>
      </c>
      <c r="AF37" s="135">
        <v>0</v>
      </c>
      <c r="AG37" s="179">
        <f t="shared" si="23"/>
        <v>0</v>
      </c>
      <c r="AH37" s="135">
        <v>0</v>
      </c>
      <c r="AI37" s="179">
        <f t="shared" si="24"/>
        <v>0</v>
      </c>
      <c r="AJ37" s="135">
        <v>0</v>
      </c>
      <c r="AK37" s="179">
        <f t="shared" si="25"/>
        <v>0</v>
      </c>
      <c r="AL37" s="135">
        <v>0</v>
      </c>
      <c r="AM37" s="179">
        <f t="shared" si="26"/>
        <v>0</v>
      </c>
      <c r="AN37" s="135">
        <v>0</v>
      </c>
      <c r="AO37" s="179">
        <f t="shared" si="27"/>
        <v>0</v>
      </c>
      <c r="AP37" s="135">
        <v>0</v>
      </c>
      <c r="AQ37" s="179">
        <f t="shared" si="28"/>
        <v>0</v>
      </c>
      <c r="AR37" s="135">
        <v>0</v>
      </c>
      <c r="AS37" s="179">
        <f t="shared" si="29"/>
        <v>0</v>
      </c>
      <c r="AT37" s="135">
        <v>0</v>
      </c>
      <c r="AU37" s="179">
        <f t="shared" si="30"/>
        <v>0</v>
      </c>
      <c r="AV37" s="135">
        <v>0</v>
      </c>
      <c r="AW37" s="179">
        <f t="shared" si="31"/>
        <v>0</v>
      </c>
      <c r="AX37" s="135">
        <v>0</v>
      </c>
      <c r="AY37" s="179">
        <f t="shared" si="32"/>
        <v>0</v>
      </c>
      <c r="AZ37" s="135">
        <v>0</v>
      </c>
      <c r="BA37" s="179">
        <f t="shared" si="33"/>
        <v>0</v>
      </c>
      <c r="BB37" s="135">
        <v>0</v>
      </c>
      <c r="BC37" s="179">
        <f t="shared" si="34"/>
        <v>0</v>
      </c>
      <c r="BD37" s="135">
        <v>0</v>
      </c>
      <c r="BE37" s="179">
        <f t="shared" si="35"/>
        <v>0</v>
      </c>
      <c r="BF37" s="135">
        <v>0</v>
      </c>
      <c r="BG37" s="179">
        <f t="shared" si="36"/>
        <v>0</v>
      </c>
      <c r="BH37" s="135">
        <v>0</v>
      </c>
      <c r="BI37" s="179">
        <f t="shared" si="37"/>
        <v>0</v>
      </c>
      <c r="BJ37" s="135">
        <f t="shared" si="48"/>
        <v>0</v>
      </c>
      <c r="BK37" s="322">
        <f t="shared" si="48"/>
        <v>0</v>
      </c>
      <c r="BL37" s="298" t="s">
        <v>467</v>
      </c>
      <c r="BN37" s="176"/>
      <c r="BO37" s="176"/>
      <c r="BP37" s="379">
        <f t="shared" ref="BP37:BP45" si="62">G37</f>
        <v>0</v>
      </c>
      <c r="BQ37" s="176"/>
      <c r="BR37" s="176">
        <f t="shared" si="59"/>
        <v>0</v>
      </c>
      <c r="BS37" s="176"/>
      <c r="BT37" s="176"/>
      <c r="BU37" s="164">
        <f t="shared" si="60"/>
        <v>0</v>
      </c>
      <c r="BV37" s="189">
        <f t="shared" si="0"/>
        <v>0</v>
      </c>
    </row>
    <row r="38" spans="1:74" x14ac:dyDescent="0.25">
      <c r="A38" s="1023"/>
      <c r="B38" s="38">
        <v>41217</v>
      </c>
      <c r="C38" s="38" t="s">
        <v>262</v>
      </c>
      <c r="D38" s="38" t="s">
        <v>208</v>
      </c>
      <c r="E38" s="365">
        <f>0.35*100000</f>
        <v>35000</v>
      </c>
      <c r="F38" s="47">
        <f t="shared" si="61"/>
        <v>0</v>
      </c>
      <c r="G38" s="85">
        <f t="shared" si="41"/>
        <v>0</v>
      </c>
      <c r="H38" s="85">
        <f t="shared" si="50"/>
        <v>0</v>
      </c>
      <c r="I38" s="85">
        <f t="shared" si="51"/>
        <v>0</v>
      </c>
      <c r="J38" s="85">
        <f t="shared" si="42"/>
        <v>0</v>
      </c>
      <c r="K38" s="85">
        <f t="shared" si="43"/>
        <v>0</v>
      </c>
      <c r="L38" s="85">
        <f t="shared" si="52"/>
        <v>0</v>
      </c>
      <c r="M38" s="85">
        <f t="shared" si="44"/>
        <v>0</v>
      </c>
      <c r="N38" s="85">
        <f t="shared" si="45"/>
        <v>0</v>
      </c>
      <c r="O38" s="85">
        <f t="shared" si="46"/>
        <v>0</v>
      </c>
      <c r="P38" s="85">
        <f t="shared" si="47"/>
        <v>0</v>
      </c>
      <c r="Q38" s="85">
        <f t="shared" si="53"/>
        <v>0</v>
      </c>
      <c r="R38" s="47"/>
      <c r="S38" s="47">
        <f t="shared" si="54"/>
        <v>0</v>
      </c>
      <c r="T38" s="47"/>
      <c r="U38" s="47"/>
      <c r="V38" s="366">
        <f t="shared" si="55"/>
        <v>0</v>
      </c>
      <c r="W38" s="366">
        <f t="shared" si="56"/>
        <v>0</v>
      </c>
      <c r="X38" s="366">
        <f t="shared" si="57"/>
        <v>0</v>
      </c>
      <c r="Y38" s="366">
        <f t="shared" si="58"/>
        <v>0</v>
      </c>
      <c r="Z38" s="47">
        <v>0</v>
      </c>
      <c r="AA38" s="179">
        <f t="shared" si="20"/>
        <v>0</v>
      </c>
      <c r="AB38" s="47">
        <v>0</v>
      </c>
      <c r="AC38" s="179">
        <f t="shared" si="21"/>
        <v>0</v>
      </c>
      <c r="AD38" s="47">
        <v>0</v>
      </c>
      <c r="AE38" s="179">
        <f t="shared" si="22"/>
        <v>0</v>
      </c>
      <c r="AF38" s="47">
        <v>0</v>
      </c>
      <c r="AG38" s="179">
        <f t="shared" si="23"/>
        <v>0</v>
      </c>
      <c r="AH38" s="47">
        <v>0</v>
      </c>
      <c r="AI38" s="179">
        <f t="shared" si="24"/>
        <v>0</v>
      </c>
      <c r="AJ38" s="47">
        <v>0</v>
      </c>
      <c r="AK38" s="179">
        <f t="shared" si="25"/>
        <v>0</v>
      </c>
      <c r="AL38" s="47">
        <v>0</v>
      </c>
      <c r="AM38" s="179">
        <f t="shared" si="26"/>
        <v>0</v>
      </c>
      <c r="AN38" s="47">
        <v>0</v>
      </c>
      <c r="AO38" s="179">
        <f t="shared" si="27"/>
        <v>0</v>
      </c>
      <c r="AP38" s="47">
        <v>0</v>
      </c>
      <c r="AQ38" s="179">
        <f t="shared" si="28"/>
        <v>0</v>
      </c>
      <c r="AR38" s="47">
        <v>0</v>
      </c>
      <c r="AS38" s="179">
        <f t="shared" si="29"/>
        <v>0</v>
      </c>
      <c r="AT38" s="47">
        <v>0</v>
      </c>
      <c r="AU38" s="179">
        <f t="shared" si="30"/>
        <v>0</v>
      </c>
      <c r="AV38" s="47">
        <v>0</v>
      </c>
      <c r="AW38" s="179">
        <f t="shared" si="31"/>
        <v>0</v>
      </c>
      <c r="AX38" s="47">
        <v>0</v>
      </c>
      <c r="AY38" s="179">
        <f t="shared" si="32"/>
        <v>0</v>
      </c>
      <c r="AZ38" s="47">
        <v>0</v>
      </c>
      <c r="BA38" s="179">
        <f t="shared" si="33"/>
        <v>0</v>
      </c>
      <c r="BB38" s="47">
        <v>0</v>
      </c>
      <c r="BC38" s="179">
        <f t="shared" si="34"/>
        <v>0</v>
      </c>
      <c r="BD38" s="47">
        <v>0</v>
      </c>
      <c r="BE38" s="179">
        <f t="shared" si="35"/>
        <v>0</v>
      </c>
      <c r="BF38" s="47">
        <v>0</v>
      </c>
      <c r="BG38" s="179">
        <f t="shared" si="36"/>
        <v>0</v>
      </c>
      <c r="BH38" s="47">
        <v>0</v>
      </c>
      <c r="BI38" s="179">
        <f t="shared" si="37"/>
        <v>0</v>
      </c>
      <c r="BJ38" s="47">
        <f t="shared" si="48"/>
        <v>0</v>
      </c>
      <c r="BK38" s="117">
        <f t="shared" si="48"/>
        <v>0</v>
      </c>
      <c r="BL38" s="293" t="s">
        <v>467</v>
      </c>
      <c r="BN38" s="113"/>
      <c r="BO38" s="113"/>
      <c r="BP38" s="257">
        <f t="shared" si="62"/>
        <v>0</v>
      </c>
      <c r="BQ38" s="113"/>
      <c r="BR38" s="113">
        <f t="shared" si="59"/>
        <v>0</v>
      </c>
      <c r="BS38" s="113"/>
      <c r="BT38" s="113"/>
      <c r="BU38" s="124">
        <f t="shared" si="60"/>
        <v>0</v>
      </c>
      <c r="BV38" s="179">
        <f t="shared" si="0"/>
        <v>0</v>
      </c>
    </row>
    <row r="39" spans="1:74" x14ac:dyDescent="0.25">
      <c r="A39" s="1023"/>
      <c r="B39" s="38">
        <v>41218</v>
      </c>
      <c r="C39" s="38" t="s">
        <v>263</v>
      </c>
      <c r="D39" s="38" t="s">
        <v>208</v>
      </c>
      <c r="E39" s="365">
        <f>0.075*100000</f>
        <v>7500</v>
      </c>
      <c r="F39" s="47">
        <f t="shared" si="61"/>
        <v>0</v>
      </c>
      <c r="G39" s="85">
        <f t="shared" si="41"/>
        <v>0</v>
      </c>
      <c r="H39" s="85">
        <f t="shared" si="50"/>
        <v>0</v>
      </c>
      <c r="I39" s="85">
        <f t="shared" si="51"/>
        <v>0</v>
      </c>
      <c r="J39" s="85">
        <f t="shared" si="42"/>
        <v>0</v>
      </c>
      <c r="K39" s="85">
        <f t="shared" si="43"/>
        <v>0</v>
      </c>
      <c r="L39" s="85">
        <f t="shared" si="52"/>
        <v>0</v>
      </c>
      <c r="M39" s="85">
        <f t="shared" si="44"/>
        <v>0</v>
      </c>
      <c r="N39" s="85">
        <f t="shared" si="45"/>
        <v>0</v>
      </c>
      <c r="O39" s="85">
        <f t="shared" si="46"/>
        <v>0</v>
      </c>
      <c r="P39" s="85">
        <f t="shared" si="47"/>
        <v>0</v>
      </c>
      <c r="Q39" s="85">
        <f t="shared" si="53"/>
        <v>0</v>
      </c>
      <c r="R39" s="47"/>
      <c r="S39" s="47">
        <f t="shared" si="54"/>
        <v>0</v>
      </c>
      <c r="T39" s="47"/>
      <c r="U39" s="47"/>
      <c r="V39" s="366">
        <f t="shared" si="55"/>
        <v>0</v>
      </c>
      <c r="W39" s="366">
        <f t="shared" si="56"/>
        <v>0</v>
      </c>
      <c r="X39" s="366">
        <f t="shared" si="57"/>
        <v>0</v>
      </c>
      <c r="Y39" s="366">
        <f t="shared" si="58"/>
        <v>0</v>
      </c>
      <c r="Z39" s="47">
        <v>0</v>
      </c>
      <c r="AA39" s="179">
        <f t="shared" si="20"/>
        <v>0</v>
      </c>
      <c r="AB39" s="47">
        <v>0</v>
      </c>
      <c r="AC39" s="179">
        <f t="shared" si="21"/>
        <v>0</v>
      </c>
      <c r="AD39" s="47">
        <v>0</v>
      </c>
      <c r="AE39" s="179">
        <f t="shared" si="22"/>
        <v>0</v>
      </c>
      <c r="AF39" s="47">
        <v>0</v>
      </c>
      <c r="AG39" s="179">
        <f t="shared" si="23"/>
        <v>0</v>
      </c>
      <c r="AH39" s="47">
        <v>0</v>
      </c>
      <c r="AI39" s="179">
        <f t="shared" si="24"/>
        <v>0</v>
      </c>
      <c r="AJ39" s="47">
        <v>0</v>
      </c>
      <c r="AK39" s="179">
        <f t="shared" si="25"/>
        <v>0</v>
      </c>
      <c r="AL39" s="47">
        <v>0</v>
      </c>
      <c r="AM39" s="179">
        <f t="shared" si="26"/>
        <v>0</v>
      </c>
      <c r="AN39" s="47">
        <v>0</v>
      </c>
      <c r="AO39" s="179">
        <f t="shared" si="27"/>
        <v>0</v>
      </c>
      <c r="AP39" s="47">
        <v>0</v>
      </c>
      <c r="AQ39" s="179">
        <f t="shared" si="28"/>
        <v>0</v>
      </c>
      <c r="AR39" s="47">
        <v>0</v>
      </c>
      <c r="AS39" s="179">
        <f t="shared" si="29"/>
        <v>0</v>
      </c>
      <c r="AT39" s="47">
        <v>0</v>
      </c>
      <c r="AU39" s="179">
        <f t="shared" si="30"/>
        <v>0</v>
      </c>
      <c r="AV39" s="47">
        <v>0</v>
      </c>
      <c r="AW39" s="179">
        <f t="shared" si="31"/>
        <v>0</v>
      </c>
      <c r="AX39" s="47">
        <v>0</v>
      </c>
      <c r="AY39" s="179">
        <f t="shared" si="32"/>
        <v>0</v>
      </c>
      <c r="AZ39" s="47">
        <v>0</v>
      </c>
      <c r="BA39" s="179">
        <f t="shared" si="33"/>
        <v>0</v>
      </c>
      <c r="BB39" s="47">
        <v>0</v>
      </c>
      <c r="BC39" s="179">
        <f t="shared" si="34"/>
        <v>0</v>
      </c>
      <c r="BD39" s="47">
        <v>0</v>
      </c>
      <c r="BE39" s="179">
        <f t="shared" si="35"/>
        <v>0</v>
      </c>
      <c r="BF39" s="47">
        <v>0</v>
      </c>
      <c r="BG39" s="179">
        <f t="shared" si="36"/>
        <v>0</v>
      </c>
      <c r="BH39" s="47">
        <v>0</v>
      </c>
      <c r="BI39" s="179">
        <f t="shared" si="37"/>
        <v>0</v>
      </c>
      <c r="BJ39" s="47">
        <f t="shared" si="48"/>
        <v>0</v>
      </c>
      <c r="BK39" s="117">
        <f t="shared" si="48"/>
        <v>0</v>
      </c>
      <c r="BL39" s="293" t="s">
        <v>467</v>
      </c>
      <c r="BN39" s="113"/>
      <c r="BO39" s="113"/>
      <c r="BP39" s="257">
        <f t="shared" si="62"/>
        <v>0</v>
      </c>
      <c r="BQ39" s="113"/>
      <c r="BR39" s="113">
        <f t="shared" si="59"/>
        <v>0</v>
      </c>
      <c r="BS39" s="113"/>
      <c r="BT39" s="113"/>
      <c r="BU39" s="124">
        <f t="shared" si="60"/>
        <v>0</v>
      </c>
      <c r="BV39" s="179">
        <f t="shared" si="0"/>
        <v>0</v>
      </c>
    </row>
    <row r="40" spans="1:74" x14ac:dyDescent="0.25">
      <c r="A40" s="1023"/>
      <c r="B40" s="38">
        <v>41219</v>
      </c>
      <c r="C40" s="38" t="s">
        <v>264</v>
      </c>
      <c r="D40" s="38" t="s">
        <v>208</v>
      </c>
      <c r="E40" s="365">
        <f>0.1*100000</f>
        <v>10000</v>
      </c>
      <c r="F40" s="47">
        <f t="shared" si="61"/>
        <v>0</v>
      </c>
      <c r="G40" s="85">
        <f t="shared" si="41"/>
        <v>0</v>
      </c>
      <c r="H40" s="85">
        <f t="shared" si="50"/>
        <v>0</v>
      </c>
      <c r="I40" s="85">
        <f t="shared" si="51"/>
        <v>0</v>
      </c>
      <c r="J40" s="85">
        <f t="shared" si="42"/>
        <v>0</v>
      </c>
      <c r="K40" s="85">
        <f t="shared" si="43"/>
        <v>0</v>
      </c>
      <c r="L40" s="85">
        <f t="shared" si="52"/>
        <v>0</v>
      </c>
      <c r="M40" s="85">
        <f t="shared" si="44"/>
        <v>0</v>
      </c>
      <c r="N40" s="85">
        <f t="shared" si="45"/>
        <v>0</v>
      </c>
      <c r="O40" s="85">
        <f t="shared" si="46"/>
        <v>0</v>
      </c>
      <c r="P40" s="85">
        <f t="shared" si="47"/>
        <v>0</v>
      </c>
      <c r="Q40" s="85">
        <f t="shared" si="53"/>
        <v>0</v>
      </c>
      <c r="R40" s="47"/>
      <c r="S40" s="47">
        <f t="shared" si="54"/>
        <v>0</v>
      </c>
      <c r="T40" s="47"/>
      <c r="U40" s="47"/>
      <c r="V40" s="366">
        <f t="shared" si="55"/>
        <v>0</v>
      </c>
      <c r="W40" s="366">
        <f t="shared" si="56"/>
        <v>0</v>
      </c>
      <c r="X40" s="366">
        <f t="shared" si="57"/>
        <v>0</v>
      </c>
      <c r="Y40" s="366">
        <f t="shared" si="58"/>
        <v>0</v>
      </c>
      <c r="Z40" s="47">
        <v>0</v>
      </c>
      <c r="AA40" s="179">
        <f t="shared" si="20"/>
        <v>0</v>
      </c>
      <c r="AB40" s="47">
        <v>0</v>
      </c>
      <c r="AC40" s="179">
        <f t="shared" si="21"/>
        <v>0</v>
      </c>
      <c r="AD40" s="47">
        <v>0</v>
      </c>
      <c r="AE40" s="179">
        <f t="shared" si="22"/>
        <v>0</v>
      </c>
      <c r="AF40" s="47">
        <v>0</v>
      </c>
      <c r="AG40" s="179">
        <f t="shared" si="23"/>
        <v>0</v>
      </c>
      <c r="AH40" s="47">
        <v>0</v>
      </c>
      <c r="AI40" s="179">
        <f t="shared" si="24"/>
        <v>0</v>
      </c>
      <c r="AJ40" s="47">
        <v>0</v>
      </c>
      <c r="AK40" s="179">
        <f t="shared" si="25"/>
        <v>0</v>
      </c>
      <c r="AL40" s="47">
        <v>0</v>
      </c>
      <c r="AM40" s="179">
        <f t="shared" si="26"/>
        <v>0</v>
      </c>
      <c r="AN40" s="47">
        <v>0</v>
      </c>
      <c r="AO40" s="179">
        <f t="shared" si="27"/>
        <v>0</v>
      </c>
      <c r="AP40" s="47">
        <v>0</v>
      </c>
      <c r="AQ40" s="179">
        <f t="shared" si="28"/>
        <v>0</v>
      </c>
      <c r="AR40" s="47">
        <v>0</v>
      </c>
      <c r="AS40" s="179">
        <f t="shared" si="29"/>
        <v>0</v>
      </c>
      <c r="AT40" s="47">
        <v>0</v>
      </c>
      <c r="AU40" s="179">
        <f t="shared" si="30"/>
        <v>0</v>
      </c>
      <c r="AV40" s="47">
        <v>0</v>
      </c>
      <c r="AW40" s="179">
        <f t="shared" si="31"/>
        <v>0</v>
      </c>
      <c r="AX40" s="47">
        <v>0</v>
      </c>
      <c r="AY40" s="179">
        <f t="shared" si="32"/>
        <v>0</v>
      </c>
      <c r="AZ40" s="47">
        <v>0</v>
      </c>
      <c r="BA40" s="179">
        <f t="shared" si="33"/>
        <v>0</v>
      </c>
      <c r="BB40" s="47">
        <v>0</v>
      </c>
      <c r="BC40" s="179">
        <f t="shared" si="34"/>
        <v>0</v>
      </c>
      <c r="BD40" s="47">
        <v>0</v>
      </c>
      <c r="BE40" s="179">
        <f t="shared" si="35"/>
        <v>0</v>
      </c>
      <c r="BF40" s="47">
        <v>0</v>
      </c>
      <c r="BG40" s="179">
        <f t="shared" si="36"/>
        <v>0</v>
      </c>
      <c r="BH40" s="47">
        <v>0</v>
      </c>
      <c r="BI40" s="179">
        <f t="shared" si="37"/>
        <v>0</v>
      </c>
      <c r="BJ40" s="47">
        <f t="shared" si="48"/>
        <v>0</v>
      </c>
      <c r="BK40" s="117">
        <f t="shared" si="48"/>
        <v>0</v>
      </c>
      <c r="BL40" s="293" t="s">
        <v>467</v>
      </c>
      <c r="BN40" s="113"/>
      <c r="BO40" s="113"/>
      <c r="BP40" s="257">
        <f t="shared" si="62"/>
        <v>0</v>
      </c>
      <c r="BQ40" s="113"/>
      <c r="BR40" s="113">
        <f t="shared" si="59"/>
        <v>0</v>
      </c>
      <c r="BS40" s="113"/>
      <c r="BT40" s="113"/>
      <c r="BU40" s="124">
        <f t="shared" si="60"/>
        <v>0</v>
      </c>
      <c r="BV40" s="179">
        <f t="shared" si="0"/>
        <v>0</v>
      </c>
    </row>
    <row r="41" spans="1:74" x14ac:dyDescent="0.25">
      <c r="A41" s="1023"/>
      <c r="B41" s="38">
        <v>41220</v>
      </c>
      <c r="C41" s="38" t="s">
        <v>265</v>
      </c>
      <c r="D41" s="38" t="s">
        <v>208</v>
      </c>
      <c r="E41" s="365">
        <f>0.25*100000</f>
        <v>25000</v>
      </c>
      <c r="F41" s="47">
        <f t="shared" si="61"/>
        <v>0</v>
      </c>
      <c r="G41" s="85">
        <f t="shared" si="41"/>
        <v>0</v>
      </c>
      <c r="H41" s="85">
        <f t="shared" si="50"/>
        <v>0</v>
      </c>
      <c r="I41" s="85">
        <f t="shared" si="51"/>
        <v>0</v>
      </c>
      <c r="J41" s="85">
        <f t="shared" si="42"/>
        <v>0</v>
      </c>
      <c r="K41" s="85">
        <f t="shared" si="43"/>
        <v>0</v>
      </c>
      <c r="L41" s="85">
        <f t="shared" si="52"/>
        <v>0</v>
      </c>
      <c r="M41" s="85">
        <f t="shared" si="44"/>
        <v>0</v>
      </c>
      <c r="N41" s="85">
        <f t="shared" si="45"/>
        <v>0</v>
      </c>
      <c r="O41" s="85">
        <f t="shared" si="46"/>
        <v>0</v>
      </c>
      <c r="P41" s="85">
        <f t="shared" si="47"/>
        <v>0</v>
      </c>
      <c r="Q41" s="85">
        <f t="shared" si="53"/>
        <v>0</v>
      </c>
      <c r="R41" s="47"/>
      <c r="S41" s="47">
        <f t="shared" si="54"/>
        <v>0</v>
      </c>
      <c r="T41" s="47"/>
      <c r="U41" s="47"/>
      <c r="V41" s="366">
        <f t="shared" si="55"/>
        <v>0</v>
      </c>
      <c r="W41" s="366">
        <f t="shared" si="56"/>
        <v>0</v>
      </c>
      <c r="X41" s="366">
        <f t="shared" si="57"/>
        <v>0</v>
      </c>
      <c r="Y41" s="366">
        <f t="shared" si="58"/>
        <v>0</v>
      </c>
      <c r="Z41" s="47">
        <v>0</v>
      </c>
      <c r="AA41" s="179">
        <f t="shared" si="20"/>
        <v>0</v>
      </c>
      <c r="AB41" s="47">
        <v>0</v>
      </c>
      <c r="AC41" s="179">
        <f t="shared" si="21"/>
        <v>0</v>
      </c>
      <c r="AD41" s="47">
        <v>0</v>
      </c>
      <c r="AE41" s="179">
        <f t="shared" si="22"/>
        <v>0</v>
      </c>
      <c r="AF41" s="47">
        <v>0</v>
      </c>
      <c r="AG41" s="179">
        <f t="shared" si="23"/>
        <v>0</v>
      </c>
      <c r="AH41" s="47">
        <v>0</v>
      </c>
      <c r="AI41" s="179">
        <f t="shared" si="24"/>
        <v>0</v>
      </c>
      <c r="AJ41" s="47">
        <v>0</v>
      </c>
      <c r="AK41" s="179">
        <f t="shared" si="25"/>
        <v>0</v>
      </c>
      <c r="AL41" s="47">
        <v>0</v>
      </c>
      <c r="AM41" s="179">
        <f t="shared" si="26"/>
        <v>0</v>
      </c>
      <c r="AN41" s="47">
        <v>0</v>
      </c>
      <c r="AO41" s="179">
        <f t="shared" si="27"/>
        <v>0</v>
      </c>
      <c r="AP41" s="47">
        <v>0</v>
      </c>
      <c r="AQ41" s="179">
        <f t="shared" si="28"/>
        <v>0</v>
      </c>
      <c r="AR41" s="47">
        <v>0</v>
      </c>
      <c r="AS41" s="179">
        <f t="shared" si="29"/>
        <v>0</v>
      </c>
      <c r="AT41" s="47">
        <v>0</v>
      </c>
      <c r="AU41" s="179">
        <f t="shared" si="30"/>
        <v>0</v>
      </c>
      <c r="AV41" s="47">
        <v>0</v>
      </c>
      <c r="AW41" s="179">
        <f t="shared" si="31"/>
        <v>0</v>
      </c>
      <c r="AX41" s="47">
        <v>0</v>
      </c>
      <c r="AY41" s="179">
        <f t="shared" si="32"/>
        <v>0</v>
      </c>
      <c r="AZ41" s="47">
        <v>0</v>
      </c>
      <c r="BA41" s="179">
        <f t="shared" si="33"/>
        <v>0</v>
      </c>
      <c r="BB41" s="47">
        <v>0</v>
      </c>
      <c r="BC41" s="179">
        <f t="shared" si="34"/>
        <v>0</v>
      </c>
      <c r="BD41" s="47">
        <v>0</v>
      </c>
      <c r="BE41" s="179">
        <f t="shared" si="35"/>
        <v>0</v>
      </c>
      <c r="BF41" s="47">
        <v>0</v>
      </c>
      <c r="BG41" s="179">
        <f t="shared" si="36"/>
        <v>0</v>
      </c>
      <c r="BH41" s="47">
        <v>0</v>
      </c>
      <c r="BI41" s="179">
        <f t="shared" si="37"/>
        <v>0</v>
      </c>
      <c r="BJ41" s="47">
        <f t="shared" si="48"/>
        <v>0</v>
      </c>
      <c r="BK41" s="117">
        <f t="shared" si="48"/>
        <v>0</v>
      </c>
      <c r="BL41" s="293" t="s">
        <v>467</v>
      </c>
      <c r="BN41" s="113"/>
      <c r="BO41" s="113"/>
      <c r="BP41" s="257">
        <f t="shared" si="62"/>
        <v>0</v>
      </c>
      <c r="BQ41" s="113"/>
      <c r="BR41" s="113">
        <f t="shared" si="59"/>
        <v>0</v>
      </c>
      <c r="BS41" s="113"/>
      <c r="BT41" s="113"/>
      <c r="BU41" s="124">
        <f t="shared" si="60"/>
        <v>0</v>
      </c>
      <c r="BV41" s="179">
        <f t="shared" si="0"/>
        <v>0</v>
      </c>
    </row>
    <row r="42" spans="1:74" ht="31.5" x14ac:dyDescent="0.25">
      <c r="A42" s="1023"/>
      <c r="B42" s="38">
        <v>41221</v>
      </c>
      <c r="C42" s="38" t="s">
        <v>823</v>
      </c>
      <c r="D42" s="38" t="s">
        <v>208</v>
      </c>
      <c r="E42" s="365">
        <v>30000</v>
      </c>
      <c r="F42" s="47">
        <f t="shared" si="61"/>
        <v>18</v>
      </c>
      <c r="G42" s="85">
        <f t="shared" si="41"/>
        <v>540000</v>
      </c>
      <c r="H42" s="85">
        <f t="shared" si="50"/>
        <v>108000</v>
      </c>
      <c r="I42" s="85">
        <f t="shared" si="51"/>
        <v>432000</v>
      </c>
      <c r="J42" s="85">
        <f t="shared" si="42"/>
        <v>0</v>
      </c>
      <c r="K42" s="85">
        <f t="shared" si="43"/>
        <v>0</v>
      </c>
      <c r="L42" s="85">
        <f t="shared" si="52"/>
        <v>0</v>
      </c>
      <c r="M42" s="85">
        <f t="shared" si="44"/>
        <v>0</v>
      </c>
      <c r="N42" s="85">
        <f t="shared" si="45"/>
        <v>0</v>
      </c>
      <c r="O42" s="85">
        <f t="shared" si="46"/>
        <v>0</v>
      </c>
      <c r="P42" s="85">
        <f t="shared" si="47"/>
        <v>0</v>
      </c>
      <c r="Q42" s="85">
        <f t="shared" si="53"/>
        <v>0</v>
      </c>
      <c r="R42" s="47"/>
      <c r="S42" s="47">
        <f t="shared" si="54"/>
        <v>18</v>
      </c>
      <c r="T42" s="47"/>
      <c r="U42" s="47"/>
      <c r="V42" s="366">
        <f t="shared" si="55"/>
        <v>0</v>
      </c>
      <c r="W42" s="366">
        <f t="shared" si="56"/>
        <v>540000</v>
      </c>
      <c r="X42" s="366">
        <f t="shared" si="57"/>
        <v>0</v>
      </c>
      <c r="Y42" s="366">
        <f t="shared" si="58"/>
        <v>0</v>
      </c>
      <c r="Z42" s="47">
        <v>1</v>
      </c>
      <c r="AA42" s="179">
        <f t="shared" si="20"/>
        <v>30000</v>
      </c>
      <c r="AB42" s="47">
        <v>1</v>
      </c>
      <c r="AC42" s="179">
        <f t="shared" si="21"/>
        <v>30000</v>
      </c>
      <c r="AD42" s="47">
        <v>1</v>
      </c>
      <c r="AE42" s="179">
        <f t="shared" si="22"/>
        <v>30000</v>
      </c>
      <c r="AF42" s="47">
        <v>1</v>
      </c>
      <c r="AG42" s="179">
        <f t="shared" si="23"/>
        <v>30000</v>
      </c>
      <c r="AH42" s="47">
        <v>1</v>
      </c>
      <c r="AI42" s="179">
        <f t="shared" si="24"/>
        <v>30000</v>
      </c>
      <c r="AJ42" s="47">
        <v>1</v>
      </c>
      <c r="AK42" s="179">
        <f t="shared" si="25"/>
        <v>30000</v>
      </c>
      <c r="AL42" s="47">
        <v>1</v>
      </c>
      <c r="AM42" s="179">
        <f t="shared" si="26"/>
        <v>30000</v>
      </c>
      <c r="AN42" s="47">
        <v>1</v>
      </c>
      <c r="AO42" s="179">
        <f t="shared" si="27"/>
        <v>30000</v>
      </c>
      <c r="AP42" s="47">
        <v>1</v>
      </c>
      <c r="AQ42" s="179">
        <f t="shared" si="28"/>
        <v>30000</v>
      </c>
      <c r="AR42" s="47">
        <v>1</v>
      </c>
      <c r="AS42" s="179">
        <f t="shared" si="29"/>
        <v>30000</v>
      </c>
      <c r="AT42" s="47">
        <v>1</v>
      </c>
      <c r="AU42" s="179">
        <f t="shared" si="30"/>
        <v>30000</v>
      </c>
      <c r="AV42" s="47">
        <v>1</v>
      </c>
      <c r="AW42" s="179">
        <f t="shared" si="31"/>
        <v>30000</v>
      </c>
      <c r="AX42" s="47">
        <v>1</v>
      </c>
      <c r="AY42" s="179">
        <f t="shared" si="32"/>
        <v>30000</v>
      </c>
      <c r="AZ42" s="47">
        <v>1</v>
      </c>
      <c r="BA42" s="179">
        <f t="shared" si="33"/>
        <v>30000</v>
      </c>
      <c r="BB42" s="47">
        <v>1</v>
      </c>
      <c r="BC42" s="179">
        <f t="shared" si="34"/>
        <v>30000</v>
      </c>
      <c r="BD42" s="47">
        <v>1</v>
      </c>
      <c r="BE42" s="179">
        <f t="shared" si="35"/>
        <v>30000</v>
      </c>
      <c r="BF42" s="47">
        <v>1</v>
      </c>
      <c r="BG42" s="179">
        <f t="shared" si="36"/>
        <v>30000</v>
      </c>
      <c r="BH42" s="47">
        <v>1</v>
      </c>
      <c r="BI42" s="179">
        <f t="shared" si="37"/>
        <v>30000</v>
      </c>
      <c r="BJ42" s="47">
        <f t="shared" si="48"/>
        <v>18</v>
      </c>
      <c r="BK42" s="117">
        <f t="shared" si="48"/>
        <v>540000</v>
      </c>
      <c r="BL42" s="293" t="s">
        <v>467</v>
      </c>
      <c r="BN42" s="113"/>
      <c r="BO42" s="113"/>
      <c r="BP42" s="257">
        <f t="shared" si="62"/>
        <v>540000</v>
      </c>
      <c r="BQ42" s="113"/>
      <c r="BR42" s="113">
        <f t="shared" si="59"/>
        <v>540000</v>
      </c>
      <c r="BS42" s="113"/>
      <c r="BT42" s="113"/>
      <c r="BU42" s="124">
        <f t="shared" si="60"/>
        <v>0</v>
      </c>
      <c r="BV42" s="179">
        <f t="shared" si="0"/>
        <v>540000</v>
      </c>
    </row>
    <row r="43" spans="1:74" x14ac:dyDescent="0.25">
      <c r="A43" s="1023"/>
      <c r="B43" s="38">
        <v>41222</v>
      </c>
      <c r="C43" s="38" t="s">
        <v>267</v>
      </c>
      <c r="D43" s="38" t="s">
        <v>240</v>
      </c>
      <c r="E43" s="365">
        <f>0.25*100000</f>
        <v>25000</v>
      </c>
      <c r="F43" s="47">
        <f t="shared" si="61"/>
        <v>0</v>
      </c>
      <c r="G43" s="85">
        <f t="shared" si="41"/>
        <v>0</v>
      </c>
      <c r="H43" s="85">
        <f t="shared" si="50"/>
        <v>0</v>
      </c>
      <c r="I43" s="85">
        <f t="shared" si="51"/>
        <v>0</v>
      </c>
      <c r="J43" s="85">
        <f t="shared" si="42"/>
        <v>0</v>
      </c>
      <c r="K43" s="85">
        <f t="shared" si="43"/>
        <v>0</v>
      </c>
      <c r="L43" s="85">
        <f t="shared" si="52"/>
        <v>0</v>
      </c>
      <c r="M43" s="85">
        <f t="shared" si="44"/>
        <v>0</v>
      </c>
      <c r="N43" s="85">
        <f t="shared" si="45"/>
        <v>0</v>
      </c>
      <c r="O43" s="85">
        <f t="shared" si="46"/>
        <v>0</v>
      </c>
      <c r="P43" s="85">
        <f t="shared" si="47"/>
        <v>0</v>
      </c>
      <c r="Q43" s="85">
        <f t="shared" si="53"/>
        <v>0</v>
      </c>
      <c r="R43" s="47"/>
      <c r="S43" s="47">
        <f t="shared" si="54"/>
        <v>0</v>
      </c>
      <c r="T43" s="47"/>
      <c r="U43" s="47"/>
      <c r="V43" s="366">
        <f t="shared" si="55"/>
        <v>0</v>
      </c>
      <c r="W43" s="366">
        <f t="shared" si="56"/>
        <v>0</v>
      </c>
      <c r="X43" s="366">
        <f t="shared" si="57"/>
        <v>0</v>
      </c>
      <c r="Y43" s="366">
        <f t="shared" si="58"/>
        <v>0</v>
      </c>
      <c r="Z43" s="47">
        <v>0</v>
      </c>
      <c r="AA43" s="179">
        <f t="shared" si="20"/>
        <v>0</v>
      </c>
      <c r="AB43" s="47">
        <v>0</v>
      </c>
      <c r="AC43" s="179">
        <f t="shared" si="21"/>
        <v>0</v>
      </c>
      <c r="AD43" s="47">
        <v>0</v>
      </c>
      <c r="AE43" s="179">
        <f t="shared" si="22"/>
        <v>0</v>
      </c>
      <c r="AF43" s="47">
        <v>0</v>
      </c>
      <c r="AG43" s="179">
        <f t="shared" si="23"/>
        <v>0</v>
      </c>
      <c r="AH43" s="47">
        <v>0</v>
      </c>
      <c r="AI43" s="179">
        <f t="shared" si="24"/>
        <v>0</v>
      </c>
      <c r="AJ43" s="47">
        <v>0</v>
      </c>
      <c r="AK43" s="179">
        <f t="shared" si="25"/>
        <v>0</v>
      </c>
      <c r="AL43" s="47">
        <v>0</v>
      </c>
      <c r="AM43" s="179">
        <f t="shared" si="26"/>
        <v>0</v>
      </c>
      <c r="AN43" s="47">
        <v>0</v>
      </c>
      <c r="AO43" s="179">
        <f t="shared" si="27"/>
        <v>0</v>
      </c>
      <c r="AP43" s="47">
        <v>0</v>
      </c>
      <c r="AQ43" s="179">
        <f t="shared" si="28"/>
        <v>0</v>
      </c>
      <c r="AR43" s="47">
        <v>0</v>
      </c>
      <c r="AS43" s="179">
        <f t="shared" si="29"/>
        <v>0</v>
      </c>
      <c r="AT43" s="47">
        <v>0</v>
      </c>
      <c r="AU43" s="179">
        <f t="shared" si="30"/>
        <v>0</v>
      </c>
      <c r="AV43" s="47">
        <v>0</v>
      </c>
      <c r="AW43" s="179">
        <f t="shared" si="31"/>
        <v>0</v>
      </c>
      <c r="AX43" s="47">
        <v>0</v>
      </c>
      <c r="AY43" s="179">
        <f t="shared" si="32"/>
        <v>0</v>
      </c>
      <c r="AZ43" s="47">
        <v>0</v>
      </c>
      <c r="BA43" s="179">
        <f t="shared" si="33"/>
        <v>0</v>
      </c>
      <c r="BB43" s="47">
        <v>0</v>
      </c>
      <c r="BC43" s="179">
        <f t="shared" si="34"/>
        <v>0</v>
      </c>
      <c r="BD43" s="47">
        <v>0</v>
      </c>
      <c r="BE43" s="179">
        <f t="shared" si="35"/>
        <v>0</v>
      </c>
      <c r="BF43" s="47">
        <v>0</v>
      </c>
      <c r="BG43" s="179">
        <f t="shared" si="36"/>
        <v>0</v>
      </c>
      <c r="BH43" s="47">
        <v>0</v>
      </c>
      <c r="BI43" s="179">
        <f t="shared" si="37"/>
        <v>0</v>
      </c>
      <c r="BJ43" s="47">
        <f t="shared" si="48"/>
        <v>0</v>
      </c>
      <c r="BK43" s="117">
        <f t="shared" si="48"/>
        <v>0</v>
      </c>
      <c r="BL43" s="293" t="s">
        <v>467</v>
      </c>
      <c r="BN43" s="113"/>
      <c r="BO43" s="113"/>
      <c r="BP43" s="257">
        <f t="shared" si="62"/>
        <v>0</v>
      </c>
      <c r="BQ43" s="113"/>
      <c r="BR43" s="113">
        <f t="shared" si="59"/>
        <v>0</v>
      </c>
      <c r="BS43" s="113"/>
      <c r="BT43" s="113"/>
      <c r="BU43" s="124">
        <f t="shared" si="60"/>
        <v>0</v>
      </c>
      <c r="BV43" s="179">
        <f t="shared" si="0"/>
        <v>0</v>
      </c>
    </row>
    <row r="44" spans="1:74" s="163" customFormat="1" x14ac:dyDescent="0.25">
      <c r="A44" s="1023"/>
      <c r="B44" s="169">
        <v>41223</v>
      </c>
      <c r="C44" s="636" t="s">
        <v>268</v>
      </c>
      <c r="D44" s="169" t="s">
        <v>240</v>
      </c>
      <c r="E44" s="178">
        <f>0.5*100000</f>
        <v>50000</v>
      </c>
      <c r="F44" s="135">
        <f t="shared" si="61"/>
        <v>17</v>
      </c>
      <c r="G44" s="133">
        <f>E44*F44</f>
        <v>850000</v>
      </c>
      <c r="H44" s="133">
        <f t="shared" si="50"/>
        <v>170000</v>
      </c>
      <c r="I44" s="133">
        <f t="shared" si="51"/>
        <v>680000</v>
      </c>
      <c r="J44" s="133">
        <f t="shared" si="42"/>
        <v>0</v>
      </c>
      <c r="K44" s="133">
        <f t="shared" si="43"/>
        <v>0</v>
      </c>
      <c r="L44" s="133">
        <f t="shared" si="52"/>
        <v>0</v>
      </c>
      <c r="M44" s="133">
        <f t="shared" si="44"/>
        <v>0</v>
      </c>
      <c r="N44" s="133">
        <f t="shared" si="45"/>
        <v>0</v>
      </c>
      <c r="O44" s="133">
        <f t="shared" si="46"/>
        <v>0</v>
      </c>
      <c r="P44" s="133">
        <f t="shared" si="47"/>
        <v>0</v>
      </c>
      <c r="Q44" s="133">
        <f t="shared" si="53"/>
        <v>0</v>
      </c>
      <c r="R44" s="135"/>
      <c r="S44" s="135">
        <f t="shared" si="54"/>
        <v>17</v>
      </c>
      <c r="T44" s="135"/>
      <c r="U44" s="135"/>
      <c r="V44" s="366">
        <f t="shared" si="55"/>
        <v>0</v>
      </c>
      <c r="W44" s="366">
        <f t="shared" si="56"/>
        <v>850000</v>
      </c>
      <c r="X44" s="366">
        <f t="shared" si="57"/>
        <v>0</v>
      </c>
      <c r="Y44" s="366">
        <f t="shared" si="58"/>
        <v>0</v>
      </c>
      <c r="Z44" s="135">
        <v>1</v>
      </c>
      <c r="AA44" s="179">
        <f t="shared" si="20"/>
        <v>50000</v>
      </c>
      <c r="AB44" s="135">
        <v>1</v>
      </c>
      <c r="AC44" s="179">
        <f t="shared" si="21"/>
        <v>50000</v>
      </c>
      <c r="AD44" s="135">
        <v>1</v>
      </c>
      <c r="AE44" s="179">
        <f t="shared" si="22"/>
        <v>50000</v>
      </c>
      <c r="AF44" s="135">
        <v>1</v>
      </c>
      <c r="AG44" s="179">
        <f t="shared" si="23"/>
        <v>50000</v>
      </c>
      <c r="AH44" s="135">
        <v>1</v>
      </c>
      <c r="AI44" s="179">
        <f t="shared" si="24"/>
        <v>50000</v>
      </c>
      <c r="AJ44" s="135">
        <v>1</v>
      </c>
      <c r="AK44" s="179">
        <f t="shared" si="25"/>
        <v>50000</v>
      </c>
      <c r="AL44" s="135">
        <v>1</v>
      </c>
      <c r="AM44" s="179">
        <f t="shared" si="26"/>
        <v>50000</v>
      </c>
      <c r="AN44" s="135">
        <v>1</v>
      </c>
      <c r="AO44" s="179">
        <f t="shared" si="27"/>
        <v>50000</v>
      </c>
      <c r="AP44" s="135">
        <v>1</v>
      </c>
      <c r="AQ44" s="179">
        <f t="shared" si="28"/>
        <v>50000</v>
      </c>
      <c r="AR44" s="135">
        <v>1</v>
      </c>
      <c r="AS44" s="179">
        <f t="shared" si="29"/>
        <v>50000</v>
      </c>
      <c r="AT44" s="135">
        <v>1</v>
      </c>
      <c r="AU44" s="179">
        <f t="shared" si="30"/>
        <v>50000</v>
      </c>
      <c r="AV44" s="135">
        <v>1</v>
      </c>
      <c r="AW44" s="179">
        <f t="shared" si="31"/>
        <v>50000</v>
      </c>
      <c r="AX44" s="135">
        <v>1</v>
      </c>
      <c r="AY44" s="179">
        <f t="shared" si="32"/>
        <v>50000</v>
      </c>
      <c r="AZ44" s="135">
        <v>1</v>
      </c>
      <c r="BA44" s="179">
        <f t="shared" si="33"/>
        <v>50000</v>
      </c>
      <c r="BB44" s="135">
        <v>1</v>
      </c>
      <c r="BC44" s="179">
        <f t="shared" si="34"/>
        <v>50000</v>
      </c>
      <c r="BD44" s="135">
        <v>1</v>
      </c>
      <c r="BE44" s="179">
        <f t="shared" si="35"/>
        <v>50000</v>
      </c>
      <c r="BF44" s="135">
        <v>1</v>
      </c>
      <c r="BG44" s="179">
        <f t="shared" si="36"/>
        <v>50000</v>
      </c>
      <c r="BH44" s="135">
        <v>0</v>
      </c>
      <c r="BI44" s="179">
        <f t="shared" si="37"/>
        <v>0</v>
      </c>
      <c r="BJ44" s="135">
        <f t="shared" si="48"/>
        <v>17</v>
      </c>
      <c r="BK44" s="322">
        <f t="shared" si="48"/>
        <v>850000</v>
      </c>
      <c r="BL44" s="298" t="s">
        <v>467</v>
      </c>
      <c r="BN44" s="176"/>
      <c r="BO44" s="176"/>
      <c r="BP44" s="379">
        <f t="shared" si="62"/>
        <v>850000</v>
      </c>
      <c r="BQ44" s="176"/>
      <c r="BR44" s="176">
        <f t="shared" si="59"/>
        <v>850000</v>
      </c>
      <c r="BS44" s="176"/>
      <c r="BT44" s="176"/>
      <c r="BU44" s="164">
        <f t="shared" si="60"/>
        <v>0</v>
      </c>
      <c r="BV44" s="189">
        <f t="shared" si="0"/>
        <v>850000</v>
      </c>
    </row>
    <row r="45" spans="1:74" x14ac:dyDescent="0.25">
      <c r="A45" s="1023"/>
      <c r="B45" s="38">
        <v>41224</v>
      </c>
      <c r="C45" s="38" t="s">
        <v>269</v>
      </c>
      <c r="D45" s="38" t="s">
        <v>240</v>
      </c>
      <c r="E45" s="365">
        <f>1*100000</f>
        <v>100000</v>
      </c>
      <c r="F45" s="47">
        <f t="shared" si="61"/>
        <v>0</v>
      </c>
      <c r="G45" s="85">
        <f t="shared" si="41"/>
        <v>0</v>
      </c>
      <c r="H45" s="85">
        <f t="shared" si="50"/>
        <v>0</v>
      </c>
      <c r="I45" s="85">
        <f t="shared" si="51"/>
        <v>0</v>
      </c>
      <c r="J45" s="85">
        <f t="shared" si="42"/>
        <v>0</v>
      </c>
      <c r="K45" s="85">
        <f t="shared" si="43"/>
        <v>0</v>
      </c>
      <c r="L45" s="85">
        <f t="shared" si="52"/>
        <v>0</v>
      </c>
      <c r="M45" s="85">
        <f t="shared" si="44"/>
        <v>0</v>
      </c>
      <c r="N45" s="85">
        <f t="shared" si="45"/>
        <v>0</v>
      </c>
      <c r="O45" s="85">
        <f t="shared" si="46"/>
        <v>0</v>
      </c>
      <c r="P45" s="85">
        <f t="shared" si="47"/>
        <v>0</v>
      </c>
      <c r="Q45" s="85">
        <f t="shared" si="53"/>
        <v>0</v>
      </c>
      <c r="R45" s="47"/>
      <c r="S45" s="47">
        <f t="shared" si="54"/>
        <v>0</v>
      </c>
      <c r="T45" s="47"/>
      <c r="U45" s="47"/>
      <c r="V45" s="366">
        <f t="shared" si="55"/>
        <v>0</v>
      </c>
      <c r="W45" s="366">
        <f t="shared" si="56"/>
        <v>0</v>
      </c>
      <c r="X45" s="366">
        <f t="shared" si="57"/>
        <v>0</v>
      </c>
      <c r="Y45" s="366">
        <f t="shared" si="58"/>
        <v>0</v>
      </c>
      <c r="Z45" s="47">
        <v>0</v>
      </c>
      <c r="AA45" s="179">
        <f t="shared" si="20"/>
        <v>0</v>
      </c>
      <c r="AB45" s="47">
        <v>0</v>
      </c>
      <c r="AC45" s="179">
        <f t="shared" si="21"/>
        <v>0</v>
      </c>
      <c r="AD45" s="47">
        <v>0</v>
      </c>
      <c r="AE45" s="179">
        <f t="shared" si="22"/>
        <v>0</v>
      </c>
      <c r="AF45" s="47">
        <v>0</v>
      </c>
      <c r="AG45" s="179">
        <f t="shared" si="23"/>
        <v>0</v>
      </c>
      <c r="AH45" s="47">
        <v>0</v>
      </c>
      <c r="AI45" s="179">
        <f t="shared" si="24"/>
        <v>0</v>
      </c>
      <c r="AJ45" s="47">
        <v>0</v>
      </c>
      <c r="AK45" s="179">
        <f t="shared" si="25"/>
        <v>0</v>
      </c>
      <c r="AL45" s="47">
        <v>0</v>
      </c>
      <c r="AM45" s="179">
        <f t="shared" si="26"/>
        <v>0</v>
      </c>
      <c r="AN45" s="47">
        <v>0</v>
      </c>
      <c r="AO45" s="179">
        <f t="shared" si="27"/>
        <v>0</v>
      </c>
      <c r="AP45" s="47">
        <v>0</v>
      </c>
      <c r="AQ45" s="179">
        <f t="shared" si="28"/>
        <v>0</v>
      </c>
      <c r="AR45" s="47">
        <v>0</v>
      </c>
      <c r="AS45" s="179">
        <f t="shared" si="29"/>
        <v>0</v>
      </c>
      <c r="AT45" s="47">
        <v>0</v>
      </c>
      <c r="AU45" s="179">
        <f t="shared" si="30"/>
        <v>0</v>
      </c>
      <c r="AV45" s="47">
        <v>0</v>
      </c>
      <c r="AW45" s="179">
        <f t="shared" si="31"/>
        <v>0</v>
      </c>
      <c r="AX45" s="47">
        <v>0</v>
      </c>
      <c r="AY45" s="179">
        <f t="shared" si="32"/>
        <v>0</v>
      </c>
      <c r="AZ45" s="47">
        <v>0</v>
      </c>
      <c r="BA45" s="179">
        <f t="shared" si="33"/>
        <v>0</v>
      </c>
      <c r="BB45" s="47">
        <v>0</v>
      </c>
      <c r="BC45" s="179">
        <f t="shared" si="34"/>
        <v>0</v>
      </c>
      <c r="BD45" s="47">
        <v>0</v>
      </c>
      <c r="BE45" s="179">
        <f t="shared" si="35"/>
        <v>0</v>
      </c>
      <c r="BF45" s="47">
        <v>0</v>
      </c>
      <c r="BG45" s="179">
        <f t="shared" si="36"/>
        <v>0</v>
      </c>
      <c r="BH45" s="47">
        <v>0</v>
      </c>
      <c r="BI45" s="179">
        <f t="shared" si="37"/>
        <v>0</v>
      </c>
      <c r="BJ45" s="47">
        <f t="shared" si="48"/>
        <v>0</v>
      </c>
      <c r="BK45" s="117">
        <f t="shared" si="48"/>
        <v>0</v>
      </c>
      <c r="BL45" s="293" t="s">
        <v>467</v>
      </c>
      <c r="BN45" s="113"/>
      <c r="BO45" s="113"/>
      <c r="BP45" s="257">
        <f t="shared" si="62"/>
        <v>0</v>
      </c>
      <c r="BQ45" s="113"/>
      <c r="BR45" s="113">
        <f t="shared" si="59"/>
        <v>0</v>
      </c>
      <c r="BS45" s="113"/>
      <c r="BT45" s="113"/>
      <c r="BU45" s="124">
        <f t="shared" si="60"/>
        <v>0</v>
      </c>
      <c r="BV45" s="179">
        <f t="shared" si="0"/>
        <v>0</v>
      </c>
    </row>
    <row r="46" spans="1:74" s="67" customFormat="1" x14ac:dyDescent="0.25">
      <c r="A46" s="1023"/>
      <c r="B46" s="367"/>
      <c r="C46" s="400" t="s">
        <v>270</v>
      </c>
      <c r="D46" s="369"/>
      <c r="E46" s="369"/>
      <c r="F46" s="369">
        <f>SUM(F20:F45)</f>
        <v>239</v>
      </c>
      <c r="G46" s="370">
        <f>SUM(G20:G45)</f>
        <v>9632500</v>
      </c>
      <c r="H46" s="370">
        <f t="shared" ref="H46:Q46" si="63">SUM(H20:H45)</f>
        <v>1926500</v>
      </c>
      <c r="I46" s="370">
        <f t="shared" si="63"/>
        <v>7706000</v>
      </c>
      <c r="J46" s="370">
        <f t="shared" si="63"/>
        <v>0</v>
      </c>
      <c r="K46" s="370">
        <f t="shared" si="63"/>
        <v>0</v>
      </c>
      <c r="L46" s="370">
        <f t="shared" si="63"/>
        <v>0</v>
      </c>
      <c r="M46" s="370">
        <f t="shared" si="63"/>
        <v>0</v>
      </c>
      <c r="N46" s="370">
        <f t="shared" si="63"/>
        <v>0</v>
      </c>
      <c r="O46" s="370">
        <f t="shared" si="63"/>
        <v>0</v>
      </c>
      <c r="P46" s="370">
        <f t="shared" si="63"/>
        <v>0</v>
      </c>
      <c r="Q46" s="370">
        <f t="shared" si="63"/>
        <v>0</v>
      </c>
      <c r="R46" s="369">
        <f t="shared" ref="R46:BK46" si="64">SUM(R20:R45)</f>
        <v>0</v>
      </c>
      <c r="S46" s="369">
        <f t="shared" si="64"/>
        <v>239</v>
      </c>
      <c r="T46" s="369">
        <f t="shared" si="64"/>
        <v>0</v>
      </c>
      <c r="U46" s="369">
        <f t="shared" si="64"/>
        <v>0</v>
      </c>
      <c r="V46" s="370">
        <f t="shared" si="64"/>
        <v>0</v>
      </c>
      <c r="W46" s="370">
        <f t="shared" si="64"/>
        <v>9632500</v>
      </c>
      <c r="X46" s="370">
        <f t="shared" si="64"/>
        <v>0</v>
      </c>
      <c r="Y46" s="370">
        <f t="shared" si="64"/>
        <v>0</v>
      </c>
      <c r="Z46" s="369">
        <f t="shared" si="64"/>
        <v>22</v>
      </c>
      <c r="AA46" s="369">
        <f t="shared" si="64"/>
        <v>790000</v>
      </c>
      <c r="AB46" s="369">
        <f t="shared" si="64"/>
        <v>23</v>
      </c>
      <c r="AC46" s="369">
        <f t="shared" si="64"/>
        <v>820000</v>
      </c>
      <c r="AD46" s="369">
        <f t="shared" si="64"/>
        <v>3</v>
      </c>
      <c r="AE46" s="369">
        <f t="shared" si="64"/>
        <v>150000</v>
      </c>
      <c r="AF46" s="369">
        <f t="shared" si="64"/>
        <v>2</v>
      </c>
      <c r="AG46" s="369">
        <f t="shared" si="64"/>
        <v>80000</v>
      </c>
      <c r="AH46" s="369">
        <f t="shared" si="64"/>
        <v>3</v>
      </c>
      <c r="AI46" s="369">
        <f t="shared" si="64"/>
        <v>110000</v>
      </c>
      <c r="AJ46" s="369">
        <f t="shared" si="64"/>
        <v>22</v>
      </c>
      <c r="AK46" s="369">
        <f t="shared" si="64"/>
        <v>790000</v>
      </c>
      <c r="AL46" s="369">
        <f t="shared" si="64"/>
        <v>22</v>
      </c>
      <c r="AM46" s="369">
        <f t="shared" si="64"/>
        <v>790000</v>
      </c>
      <c r="AN46" s="369">
        <f t="shared" si="64"/>
        <v>23</v>
      </c>
      <c r="AO46" s="369">
        <f t="shared" si="64"/>
        <v>820000</v>
      </c>
      <c r="AP46" s="369">
        <f t="shared" si="64"/>
        <v>3</v>
      </c>
      <c r="AQ46" s="369">
        <f t="shared" si="64"/>
        <v>330000</v>
      </c>
      <c r="AR46" s="369">
        <f t="shared" si="64"/>
        <v>15</v>
      </c>
      <c r="AS46" s="369">
        <f t="shared" si="64"/>
        <v>800000</v>
      </c>
      <c r="AT46" s="369">
        <f t="shared" si="64"/>
        <v>14</v>
      </c>
      <c r="AU46" s="369">
        <f t="shared" si="64"/>
        <v>770000</v>
      </c>
      <c r="AV46" s="369">
        <f t="shared" si="64"/>
        <v>19</v>
      </c>
      <c r="AW46" s="369">
        <f t="shared" si="64"/>
        <v>170000</v>
      </c>
      <c r="AX46" s="369">
        <f t="shared" si="64"/>
        <v>2</v>
      </c>
      <c r="AY46" s="369">
        <f t="shared" si="64"/>
        <v>80000</v>
      </c>
      <c r="AZ46" s="369">
        <f t="shared" si="64"/>
        <v>14</v>
      </c>
      <c r="BA46" s="369">
        <f t="shared" si="64"/>
        <v>770000</v>
      </c>
      <c r="BB46" s="369">
        <f t="shared" si="64"/>
        <v>7</v>
      </c>
      <c r="BC46" s="369">
        <f t="shared" si="64"/>
        <v>752500</v>
      </c>
      <c r="BD46" s="369">
        <f t="shared" si="64"/>
        <v>22</v>
      </c>
      <c r="BE46" s="369">
        <f t="shared" si="64"/>
        <v>790000</v>
      </c>
      <c r="BF46" s="369">
        <f t="shared" si="64"/>
        <v>22</v>
      </c>
      <c r="BG46" s="369">
        <f t="shared" si="64"/>
        <v>790000</v>
      </c>
      <c r="BH46" s="369">
        <f t="shared" si="64"/>
        <v>1</v>
      </c>
      <c r="BI46" s="369">
        <f t="shared" si="64"/>
        <v>30000</v>
      </c>
      <c r="BJ46" s="369">
        <f t="shared" si="64"/>
        <v>239</v>
      </c>
      <c r="BK46" s="371">
        <f t="shared" si="64"/>
        <v>9632500</v>
      </c>
      <c r="BL46" s="293"/>
      <c r="BN46" s="371">
        <f t="shared" ref="BN46:BU46" si="65">SUM(BN20:BN45)</f>
        <v>0</v>
      </c>
      <c r="BO46" s="371">
        <f t="shared" si="65"/>
        <v>0</v>
      </c>
      <c r="BP46" s="371">
        <f t="shared" si="65"/>
        <v>9632500</v>
      </c>
      <c r="BQ46" s="371">
        <f t="shared" si="65"/>
        <v>0</v>
      </c>
      <c r="BR46" s="371">
        <f t="shared" si="65"/>
        <v>9632500</v>
      </c>
      <c r="BS46" s="371">
        <f t="shared" si="65"/>
        <v>0</v>
      </c>
      <c r="BT46" s="371">
        <f t="shared" si="65"/>
        <v>0</v>
      </c>
      <c r="BU46" s="371">
        <f t="shared" si="65"/>
        <v>0</v>
      </c>
      <c r="BV46" s="380">
        <f t="shared" si="0"/>
        <v>9632500</v>
      </c>
    </row>
    <row r="47" spans="1:74" ht="31.5" x14ac:dyDescent="0.25">
      <c r="A47" s="1023"/>
      <c r="B47" s="211">
        <v>41300</v>
      </c>
      <c r="C47" s="211" t="s">
        <v>336</v>
      </c>
      <c r="D47" s="38"/>
      <c r="E47" s="365"/>
      <c r="F47" s="38"/>
      <c r="G47" s="85"/>
      <c r="H47" s="85"/>
      <c r="I47" s="85"/>
      <c r="J47" s="85"/>
      <c r="K47" s="85"/>
      <c r="L47" s="85"/>
      <c r="M47" s="85"/>
      <c r="N47" s="85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179">
        <f t="shared" si="20"/>
        <v>0</v>
      </c>
      <c r="AB47" s="47"/>
      <c r="AC47" s="179">
        <f t="shared" si="21"/>
        <v>0</v>
      </c>
      <c r="AD47" s="47"/>
      <c r="AE47" s="179">
        <f t="shared" si="22"/>
        <v>0</v>
      </c>
      <c r="AF47" s="47"/>
      <c r="AG47" s="179">
        <f t="shared" si="23"/>
        <v>0</v>
      </c>
      <c r="AH47" s="47"/>
      <c r="AI47" s="179">
        <f t="shared" si="24"/>
        <v>0</v>
      </c>
      <c r="AJ47" s="47"/>
      <c r="AK47" s="179">
        <f t="shared" si="25"/>
        <v>0</v>
      </c>
      <c r="AL47" s="47"/>
      <c r="AM47" s="179">
        <f t="shared" si="26"/>
        <v>0</v>
      </c>
      <c r="AN47" s="47"/>
      <c r="AO47" s="179">
        <f t="shared" si="27"/>
        <v>0</v>
      </c>
      <c r="AP47" s="47"/>
      <c r="AQ47" s="179">
        <f t="shared" si="28"/>
        <v>0</v>
      </c>
      <c r="AR47" s="47"/>
      <c r="AS47" s="179">
        <f t="shared" si="29"/>
        <v>0</v>
      </c>
      <c r="AT47" s="47"/>
      <c r="AU47" s="179">
        <f t="shared" si="30"/>
        <v>0</v>
      </c>
      <c r="AV47" s="47"/>
      <c r="AW47" s="179">
        <f t="shared" si="31"/>
        <v>0</v>
      </c>
      <c r="AX47" s="47"/>
      <c r="AY47" s="179">
        <f t="shared" si="32"/>
        <v>0</v>
      </c>
      <c r="AZ47" s="47"/>
      <c r="BA47" s="179">
        <f t="shared" si="33"/>
        <v>0</v>
      </c>
      <c r="BB47" s="47"/>
      <c r="BC47" s="179">
        <f t="shared" si="34"/>
        <v>0</v>
      </c>
      <c r="BD47" s="47"/>
      <c r="BE47" s="179">
        <f t="shared" si="35"/>
        <v>0</v>
      </c>
      <c r="BF47" s="47"/>
      <c r="BG47" s="179">
        <f t="shared" si="36"/>
        <v>0</v>
      </c>
      <c r="BH47" s="47"/>
      <c r="BI47" s="179">
        <f t="shared" si="37"/>
        <v>0</v>
      </c>
      <c r="BJ47" s="47"/>
      <c r="BK47" s="123"/>
      <c r="BL47" s="293"/>
      <c r="BN47" s="113"/>
      <c r="BO47" s="113"/>
      <c r="BP47" s="113"/>
      <c r="BQ47" s="113"/>
      <c r="BR47" s="113"/>
      <c r="BS47" s="113"/>
      <c r="BT47" s="113"/>
      <c r="BU47" s="124"/>
      <c r="BV47" s="179">
        <f t="shared" si="0"/>
        <v>0</v>
      </c>
    </row>
    <row r="48" spans="1:74" x14ac:dyDescent="0.25">
      <c r="A48" s="1023"/>
      <c r="B48" s="38">
        <v>41310</v>
      </c>
      <c r="C48" s="381" t="s">
        <v>337</v>
      </c>
      <c r="D48" s="38"/>
      <c r="E48" s="365"/>
      <c r="F48" s="38"/>
      <c r="G48" s="85"/>
      <c r="H48" s="85"/>
      <c r="I48" s="85"/>
      <c r="J48" s="85"/>
      <c r="K48" s="85"/>
      <c r="L48" s="85"/>
      <c r="M48" s="85"/>
      <c r="N48" s="85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179">
        <f t="shared" si="20"/>
        <v>0</v>
      </c>
      <c r="AB48" s="47"/>
      <c r="AC48" s="179">
        <f t="shared" si="21"/>
        <v>0</v>
      </c>
      <c r="AD48" s="47"/>
      <c r="AE48" s="179">
        <f t="shared" si="22"/>
        <v>0</v>
      </c>
      <c r="AF48" s="47"/>
      <c r="AG48" s="179">
        <f t="shared" si="23"/>
        <v>0</v>
      </c>
      <c r="AH48" s="47"/>
      <c r="AI48" s="179">
        <f t="shared" si="24"/>
        <v>0</v>
      </c>
      <c r="AJ48" s="47"/>
      <c r="AK48" s="179">
        <f t="shared" si="25"/>
        <v>0</v>
      </c>
      <c r="AL48" s="47"/>
      <c r="AM48" s="179">
        <f t="shared" si="26"/>
        <v>0</v>
      </c>
      <c r="AN48" s="47"/>
      <c r="AO48" s="179">
        <f t="shared" si="27"/>
        <v>0</v>
      </c>
      <c r="AP48" s="47"/>
      <c r="AQ48" s="179">
        <f t="shared" si="28"/>
        <v>0</v>
      </c>
      <c r="AR48" s="47"/>
      <c r="AS48" s="179">
        <f t="shared" si="29"/>
        <v>0</v>
      </c>
      <c r="AT48" s="47"/>
      <c r="AU48" s="179">
        <f t="shared" si="30"/>
        <v>0</v>
      </c>
      <c r="AV48" s="47"/>
      <c r="AW48" s="179">
        <f t="shared" si="31"/>
        <v>0</v>
      </c>
      <c r="AX48" s="47"/>
      <c r="AY48" s="179">
        <f t="shared" si="32"/>
        <v>0</v>
      </c>
      <c r="AZ48" s="47"/>
      <c r="BA48" s="179">
        <f t="shared" si="33"/>
        <v>0</v>
      </c>
      <c r="BB48" s="47"/>
      <c r="BC48" s="179">
        <f t="shared" si="34"/>
        <v>0</v>
      </c>
      <c r="BD48" s="47"/>
      <c r="BE48" s="179">
        <f t="shared" si="35"/>
        <v>0</v>
      </c>
      <c r="BF48" s="47"/>
      <c r="BG48" s="179">
        <f t="shared" si="36"/>
        <v>0</v>
      </c>
      <c r="BH48" s="47"/>
      <c r="BI48" s="179">
        <f t="shared" si="37"/>
        <v>0</v>
      </c>
      <c r="BJ48" s="47"/>
      <c r="BK48" s="123"/>
      <c r="BL48" s="293"/>
      <c r="BN48" s="113"/>
      <c r="BO48" s="113"/>
      <c r="BP48" s="113"/>
      <c r="BQ48" s="113"/>
      <c r="BR48" s="113"/>
      <c r="BS48" s="113"/>
      <c r="BT48" s="113"/>
      <c r="BU48" s="124"/>
      <c r="BV48" s="179">
        <f t="shared" si="0"/>
        <v>0</v>
      </c>
    </row>
    <row r="49" spans="1:74" x14ac:dyDescent="0.25">
      <c r="A49" s="1023"/>
      <c r="B49" s="38">
        <v>41320</v>
      </c>
      <c r="C49" s="381" t="s">
        <v>281</v>
      </c>
      <c r="D49" s="38"/>
      <c r="E49" s="365"/>
      <c r="F49" s="38"/>
      <c r="G49" s="85"/>
      <c r="H49" s="85"/>
      <c r="I49" s="85"/>
      <c r="J49" s="85"/>
      <c r="K49" s="85"/>
      <c r="L49" s="85"/>
      <c r="M49" s="85"/>
      <c r="N49" s="85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179">
        <f t="shared" si="20"/>
        <v>0</v>
      </c>
      <c r="AB49" s="47"/>
      <c r="AC49" s="179">
        <f t="shared" si="21"/>
        <v>0</v>
      </c>
      <c r="AD49" s="47"/>
      <c r="AE49" s="179">
        <f t="shared" si="22"/>
        <v>0</v>
      </c>
      <c r="AF49" s="47"/>
      <c r="AG49" s="179">
        <f t="shared" si="23"/>
        <v>0</v>
      </c>
      <c r="AH49" s="47"/>
      <c r="AI49" s="179">
        <f t="shared" si="24"/>
        <v>0</v>
      </c>
      <c r="AJ49" s="47"/>
      <c r="AK49" s="179">
        <f t="shared" si="25"/>
        <v>0</v>
      </c>
      <c r="AL49" s="47"/>
      <c r="AM49" s="179">
        <f t="shared" si="26"/>
        <v>0</v>
      </c>
      <c r="AN49" s="47"/>
      <c r="AO49" s="179">
        <f t="shared" si="27"/>
        <v>0</v>
      </c>
      <c r="AP49" s="47"/>
      <c r="AQ49" s="179">
        <f t="shared" si="28"/>
        <v>0</v>
      </c>
      <c r="AR49" s="47"/>
      <c r="AS49" s="179">
        <f t="shared" si="29"/>
        <v>0</v>
      </c>
      <c r="AT49" s="47"/>
      <c r="AU49" s="179">
        <f t="shared" si="30"/>
        <v>0</v>
      </c>
      <c r="AV49" s="47"/>
      <c r="AW49" s="179">
        <f t="shared" si="31"/>
        <v>0</v>
      </c>
      <c r="AX49" s="47"/>
      <c r="AY49" s="179">
        <f t="shared" si="32"/>
        <v>0</v>
      </c>
      <c r="AZ49" s="47"/>
      <c r="BA49" s="179">
        <f t="shared" si="33"/>
        <v>0</v>
      </c>
      <c r="BB49" s="47"/>
      <c r="BC49" s="179">
        <f t="shared" si="34"/>
        <v>0</v>
      </c>
      <c r="BD49" s="47"/>
      <c r="BE49" s="179">
        <f t="shared" si="35"/>
        <v>0</v>
      </c>
      <c r="BF49" s="47"/>
      <c r="BG49" s="179">
        <f t="shared" si="36"/>
        <v>0</v>
      </c>
      <c r="BH49" s="47"/>
      <c r="BI49" s="179">
        <f t="shared" si="37"/>
        <v>0</v>
      </c>
      <c r="BJ49" s="47"/>
      <c r="BK49" s="123"/>
      <c r="BL49" s="293"/>
      <c r="BN49" s="113"/>
      <c r="BO49" s="113"/>
      <c r="BP49" s="113"/>
      <c r="BQ49" s="113"/>
      <c r="BR49" s="113"/>
      <c r="BS49" s="113"/>
      <c r="BT49" s="113"/>
      <c r="BU49" s="124"/>
      <c r="BV49" s="179">
        <f t="shared" si="0"/>
        <v>0</v>
      </c>
    </row>
    <row r="50" spans="1:74" x14ac:dyDescent="0.25">
      <c r="A50" s="1023"/>
      <c r="B50" s="38"/>
      <c r="C50" s="38" t="s">
        <v>39</v>
      </c>
      <c r="D50" s="38" t="s">
        <v>44</v>
      </c>
      <c r="E50" s="365">
        <f>1*100000</f>
        <v>100000</v>
      </c>
      <c r="F50" s="47">
        <f>BJ50</f>
        <v>0</v>
      </c>
      <c r="G50" s="85">
        <f>E50*F50</f>
        <v>0</v>
      </c>
      <c r="H50" s="85">
        <f>G50*0.2</f>
        <v>0</v>
      </c>
      <c r="I50" s="85">
        <f>G50*0.8</f>
        <v>0</v>
      </c>
      <c r="J50" s="85">
        <f>G50*0</f>
        <v>0</v>
      </c>
      <c r="K50" s="85">
        <f>G50*0</f>
        <v>0</v>
      </c>
      <c r="L50" s="85">
        <v>0</v>
      </c>
      <c r="M50" s="85">
        <f>G50*0</f>
        <v>0</v>
      </c>
      <c r="N50" s="85">
        <f>G50*0</f>
        <v>0</v>
      </c>
      <c r="O50" s="85">
        <f>G50*0</f>
        <v>0</v>
      </c>
      <c r="P50" s="85">
        <f>G50*0</f>
        <v>0</v>
      </c>
      <c r="Q50" s="85">
        <f>G50*0</f>
        <v>0</v>
      </c>
      <c r="R50" s="47"/>
      <c r="S50" s="47">
        <f>F50</f>
        <v>0</v>
      </c>
      <c r="T50" s="47"/>
      <c r="U50" s="47"/>
      <c r="V50" s="366">
        <f>R50*E50</f>
        <v>0</v>
      </c>
      <c r="W50" s="366">
        <f>S50*E50</f>
        <v>0</v>
      </c>
      <c r="X50" s="366">
        <f>T50*E50</f>
        <v>0</v>
      </c>
      <c r="Y50" s="366">
        <f>U50*E50</f>
        <v>0</v>
      </c>
      <c r="Z50" s="47">
        <v>0</v>
      </c>
      <c r="AA50" s="179">
        <f t="shared" si="20"/>
        <v>0</v>
      </c>
      <c r="AB50" s="47">
        <v>0</v>
      </c>
      <c r="AC50" s="179">
        <f t="shared" si="21"/>
        <v>0</v>
      </c>
      <c r="AD50" s="47">
        <v>0</v>
      </c>
      <c r="AE50" s="179">
        <f t="shared" si="22"/>
        <v>0</v>
      </c>
      <c r="AF50" s="47">
        <v>0</v>
      </c>
      <c r="AG50" s="179">
        <f t="shared" si="23"/>
        <v>0</v>
      </c>
      <c r="AH50" s="47">
        <v>0</v>
      </c>
      <c r="AI50" s="179">
        <f t="shared" si="24"/>
        <v>0</v>
      </c>
      <c r="AJ50" s="47">
        <v>0</v>
      </c>
      <c r="AK50" s="179">
        <f t="shared" si="25"/>
        <v>0</v>
      </c>
      <c r="AL50" s="47">
        <v>0</v>
      </c>
      <c r="AM50" s="179">
        <f t="shared" si="26"/>
        <v>0</v>
      </c>
      <c r="AN50" s="47">
        <v>0</v>
      </c>
      <c r="AO50" s="179">
        <f t="shared" si="27"/>
        <v>0</v>
      </c>
      <c r="AP50" s="47">
        <v>0</v>
      </c>
      <c r="AQ50" s="179">
        <f t="shared" si="28"/>
        <v>0</v>
      </c>
      <c r="AR50" s="47">
        <v>0</v>
      </c>
      <c r="AS50" s="179">
        <f t="shared" si="29"/>
        <v>0</v>
      </c>
      <c r="AT50" s="47">
        <v>0</v>
      </c>
      <c r="AU50" s="179">
        <f t="shared" si="30"/>
        <v>0</v>
      </c>
      <c r="AV50" s="47">
        <v>0</v>
      </c>
      <c r="AW50" s="179">
        <f t="shared" si="31"/>
        <v>0</v>
      </c>
      <c r="AX50" s="47">
        <v>0</v>
      </c>
      <c r="AY50" s="179">
        <f t="shared" si="32"/>
        <v>0</v>
      </c>
      <c r="AZ50" s="47">
        <v>0</v>
      </c>
      <c r="BA50" s="179">
        <f t="shared" si="33"/>
        <v>0</v>
      </c>
      <c r="BB50" s="47">
        <v>0</v>
      </c>
      <c r="BC50" s="179">
        <f t="shared" si="34"/>
        <v>0</v>
      </c>
      <c r="BD50" s="47">
        <v>0</v>
      </c>
      <c r="BE50" s="179">
        <f t="shared" si="35"/>
        <v>0</v>
      </c>
      <c r="BF50" s="47">
        <v>0</v>
      </c>
      <c r="BG50" s="179">
        <f t="shared" si="36"/>
        <v>0</v>
      </c>
      <c r="BH50" s="47">
        <v>0</v>
      </c>
      <c r="BI50" s="179">
        <f t="shared" si="37"/>
        <v>0</v>
      </c>
      <c r="BJ50" s="47">
        <f>Z50+AB50+AD50+AF50+AH50+AJ50+AL50+AN50+AP50+AR50+AT50+AV50+AX50+AZ50+BB50+BD50+BF50+BH50</f>
        <v>0</v>
      </c>
      <c r="BK50" s="117">
        <f>AA50+AC50+AE50+AG50+AI50+AK50+AM50+AO50+AQ50+AS50+AU50+AW50+AY50+BA50+BC50+BE50+BG50+BI50</f>
        <v>0</v>
      </c>
      <c r="BL50" s="293" t="s">
        <v>467</v>
      </c>
      <c r="BN50" s="113"/>
      <c r="BO50" s="113"/>
      <c r="BP50" s="257">
        <f>G50</f>
        <v>0</v>
      </c>
      <c r="BQ50" s="113"/>
      <c r="BR50" s="113">
        <f>BN50+BO50+BP50+BQ50</f>
        <v>0</v>
      </c>
      <c r="BS50" s="113"/>
      <c r="BT50" s="113"/>
      <c r="BU50" s="124">
        <f>BS50+BT50</f>
        <v>0</v>
      </c>
      <c r="BV50" s="179">
        <f t="shared" si="0"/>
        <v>0</v>
      </c>
    </row>
    <row r="51" spans="1:74" x14ac:dyDescent="0.25">
      <c r="A51" s="1023"/>
      <c r="B51" s="38"/>
      <c r="C51" s="38" t="s">
        <v>282</v>
      </c>
      <c r="D51" s="38" t="s">
        <v>44</v>
      </c>
      <c r="E51" s="365">
        <f>1*100000</f>
        <v>100000</v>
      </c>
      <c r="F51" s="47">
        <f>BJ51</f>
        <v>0</v>
      </c>
      <c r="G51" s="85">
        <f>E51*F51</f>
        <v>0</v>
      </c>
      <c r="H51" s="85">
        <f>G51*0.2</f>
        <v>0</v>
      </c>
      <c r="I51" s="85">
        <f>G51*0.8</f>
        <v>0</v>
      </c>
      <c r="J51" s="85">
        <f>G51*0</f>
        <v>0</v>
      </c>
      <c r="K51" s="85">
        <f>G51*0</f>
        <v>0</v>
      </c>
      <c r="L51" s="85">
        <v>0</v>
      </c>
      <c r="M51" s="85">
        <f>G51*0</f>
        <v>0</v>
      </c>
      <c r="N51" s="85">
        <f>G51*0</f>
        <v>0</v>
      </c>
      <c r="O51" s="85">
        <f>G51*0</f>
        <v>0</v>
      </c>
      <c r="P51" s="85">
        <f>G51*0</f>
        <v>0</v>
      </c>
      <c r="Q51" s="85">
        <f>G51*0</f>
        <v>0</v>
      </c>
      <c r="R51" s="47"/>
      <c r="S51" s="47"/>
      <c r="T51" s="47">
        <f>F51</f>
        <v>0</v>
      </c>
      <c r="U51" s="47"/>
      <c r="V51" s="366">
        <f>R51*E51</f>
        <v>0</v>
      </c>
      <c r="W51" s="366">
        <f>S51*E51</f>
        <v>0</v>
      </c>
      <c r="X51" s="366">
        <f>T51*E51</f>
        <v>0</v>
      </c>
      <c r="Y51" s="366">
        <f>U51*E51</f>
        <v>0</v>
      </c>
      <c r="Z51" s="47">
        <v>0</v>
      </c>
      <c r="AA51" s="179">
        <f t="shared" si="20"/>
        <v>0</v>
      </c>
      <c r="AB51" s="47">
        <v>0</v>
      </c>
      <c r="AC51" s="179">
        <f t="shared" si="21"/>
        <v>0</v>
      </c>
      <c r="AD51" s="47">
        <v>0</v>
      </c>
      <c r="AE51" s="179">
        <f t="shared" si="22"/>
        <v>0</v>
      </c>
      <c r="AF51" s="47">
        <v>0</v>
      </c>
      <c r="AG51" s="179">
        <f t="shared" si="23"/>
        <v>0</v>
      </c>
      <c r="AH51" s="47">
        <v>0</v>
      </c>
      <c r="AI51" s="179">
        <f t="shared" si="24"/>
        <v>0</v>
      </c>
      <c r="AJ51" s="47">
        <v>0</v>
      </c>
      <c r="AK51" s="179">
        <f t="shared" si="25"/>
        <v>0</v>
      </c>
      <c r="AL51" s="47">
        <v>0</v>
      </c>
      <c r="AM51" s="179">
        <f t="shared" si="26"/>
        <v>0</v>
      </c>
      <c r="AN51" s="47">
        <v>0</v>
      </c>
      <c r="AO51" s="179">
        <f t="shared" si="27"/>
        <v>0</v>
      </c>
      <c r="AP51" s="47">
        <v>0</v>
      </c>
      <c r="AQ51" s="179">
        <f t="shared" si="28"/>
        <v>0</v>
      </c>
      <c r="AR51" s="47">
        <v>0</v>
      </c>
      <c r="AS51" s="179">
        <f t="shared" si="29"/>
        <v>0</v>
      </c>
      <c r="AT51" s="47">
        <v>0</v>
      </c>
      <c r="AU51" s="179">
        <f t="shared" si="30"/>
        <v>0</v>
      </c>
      <c r="AV51" s="47">
        <v>0</v>
      </c>
      <c r="AW51" s="179">
        <f t="shared" si="31"/>
        <v>0</v>
      </c>
      <c r="AX51" s="47">
        <v>0</v>
      </c>
      <c r="AY51" s="179">
        <f t="shared" si="32"/>
        <v>0</v>
      </c>
      <c r="AZ51" s="47">
        <v>0</v>
      </c>
      <c r="BA51" s="179">
        <f t="shared" si="33"/>
        <v>0</v>
      </c>
      <c r="BB51" s="47">
        <v>0</v>
      </c>
      <c r="BC51" s="179">
        <f t="shared" si="34"/>
        <v>0</v>
      </c>
      <c r="BD51" s="47">
        <v>0</v>
      </c>
      <c r="BE51" s="179">
        <f t="shared" si="35"/>
        <v>0</v>
      </c>
      <c r="BF51" s="47">
        <v>0</v>
      </c>
      <c r="BG51" s="179">
        <f t="shared" si="36"/>
        <v>0</v>
      </c>
      <c r="BH51" s="47">
        <v>0</v>
      </c>
      <c r="BI51" s="179">
        <f t="shared" si="37"/>
        <v>0</v>
      </c>
      <c r="BJ51" s="47">
        <f>Z51+AB51+AD51+AF51+AH51+AJ51+AL51+AN51+AP51+AR51+AT51+AV51+AX51+AZ51+BB51+BD51+BF51+BH51</f>
        <v>0</v>
      </c>
      <c r="BK51" s="117">
        <f>AA51+AC51+AE51+AG51+AI51+AK51+AM51+AO51+AQ51+AS51+AU51+AW51+AY51+BA51+BC51+BE51+BG51+BI51</f>
        <v>0</v>
      </c>
      <c r="BL51" s="293" t="s">
        <v>467</v>
      </c>
      <c r="BN51" s="113"/>
      <c r="BO51" s="113"/>
      <c r="BP51" s="257">
        <f>G51</f>
        <v>0</v>
      </c>
      <c r="BQ51" s="113"/>
      <c r="BR51" s="113">
        <f>BN51+BO51+BP51+BQ51</f>
        <v>0</v>
      </c>
      <c r="BS51" s="113"/>
      <c r="BT51" s="113"/>
      <c r="BU51" s="124">
        <f>BS51+BT51</f>
        <v>0</v>
      </c>
      <c r="BV51" s="179">
        <f t="shared" si="0"/>
        <v>0</v>
      </c>
    </row>
    <row r="52" spans="1:74" x14ac:dyDescent="0.25">
      <c r="A52" s="1023"/>
      <c r="B52" s="259"/>
      <c r="C52" s="382" t="s">
        <v>338</v>
      </c>
      <c r="D52" s="382" t="s">
        <v>280</v>
      </c>
      <c r="E52" s="382" t="s">
        <v>280</v>
      </c>
      <c r="F52" s="382">
        <f>SUM(F50:F51)</f>
        <v>0</v>
      </c>
      <c r="G52" s="383">
        <f>SUM(G50:G51)</f>
        <v>0</v>
      </c>
      <c r="H52" s="383">
        <f t="shared" ref="H52:Q52" si="66">SUM(H50:H51)</f>
        <v>0</v>
      </c>
      <c r="I52" s="383">
        <f t="shared" si="66"/>
        <v>0</v>
      </c>
      <c r="J52" s="383">
        <f t="shared" si="66"/>
        <v>0</v>
      </c>
      <c r="K52" s="383">
        <f t="shared" si="66"/>
        <v>0</v>
      </c>
      <c r="L52" s="383">
        <f t="shared" si="66"/>
        <v>0</v>
      </c>
      <c r="M52" s="383">
        <f t="shared" si="66"/>
        <v>0</v>
      </c>
      <c r="N52" s="383">
        <f t="shared" si="66"/>
        <v>0</v>
      </c>
      <c r="O52" s="383">
        <f t="shared" si="66"/>
        <v>0</v>
      </c>
      <c r="P52" s="383">
        <f t="shared" si="66"/>
        <v>0</v>
      </c>
      <c r="Q52" s="383">
        <f t="shared" si="66"/>
        <v>0</v>
      </c>
      <c r="R52" s="382">
        <f t="shared" ref="R52:BK52" si="67">SUM(R50:R51)</f>
        <v>0</v>
      </c>
      <c r="S52" s="382">
        <f t="shared" si="67"/>
        <v>0</v>
      </c>
      <c r="T52" s="382">
        <f t="shared" si="67"/>
        <v>0</v>
      </c>
      <c r="U52" s="382">
        <f t="shared" si="67"/>
        <v>0</v>
      </c>
      <c r="V52" s="383">
        <f t="shared" si="67"/>
        <v>0</v>
      </c>
      <c r="W52" s="383">
        <f t="shared" si="67"/>
        <v>0</v>
      </c>
      <c r="X52" s="383">
        <f t="shared" si="67"/>
        <v>0</v>
      </c>
      <c r="Y52" s="383">
        <f t="shared" si="67"/>
        <v>0</v>
      </c>
      <c r="Z52" s="382">
        <f t="shared" si="67"/>
        <v>0</v>
      </c>
      <c r="AA52" s="382">
        <f t="shared" si="67"/>
        <v>0</v>
      </c>
      <c r="AB52" s="382">
        <f t="shared" si="67"/>
        <v>0</v>
      </c>
      <c r="AC52" s="382">
        <f t="shared" si="67"/>
        <v>0</v>
      </c>
      <c r="AD52" s="382">
        <f t="shared" si="67"/>
        <v>0</v>
      </c>
      <c r="AE52" s="382">
        <f t="shared" si="67"/>
        <v>0</v>
      </c>
      <c r="AF52" s="382">
        <f t="shared" si="67"/>
        <v>0</v>
      </c>
      <c r="AG52" s="382">
        <f t="shared" si="67"/>
        <v>0</v>
      </c>
      <c r="AH52" s="382">
        <f t="shared" si="67"/>
        <v>0</v>
      </c>
      <c r="AI52" s="382">
        <f t="shared" si="67"/>
        <v>0</v>
      </c>
      <c r="AJ52" s="382">
        <f t="shared" si="67"/>
        <v>0</v>
      </c>
      <c r="AK52" s="382">
        <f t="shared" si="67"/>
        <v>0</v>
      </c>
      <c r="AL52" s="382">
        <f t="shared" si="67"/>
        <v>0</v>
      </c>
      <c r="AM52" s="382">
        <f t="shared" si="67"/>
        <v>0</v>
      </c>
      <c r="AN52" s="382">
        <f t="shared" si="67"/>
        <v>0</v>
      </c>
      <c r="AO52" s="382">
        <f t="shared" si="67"/>
        <v>0</v>
      </c>
      <c r="AP52" s="382">
        <f t="shared" si="67"/>
        <v>0</v>
      </c>
      <c r="AQ52" s="382">
        <f t="shared" si="67"/>
        <v>0</v>
      </c>
      <c r="AR52" s="382">
        <f t="shared" si="67"/>
        <v>0</v>
      </c>
      <c r="AS52" s="382">
        <f t="shared" si="67"/>
        <v>0</v>
      </c>
      <c r="AT52" s="382">
        <f t="shared" si="67"/>
        <v>0</v>
      </c>
      <c r="AU52" s="382">
        <f t="shared" si="67"/>
        <v>0</v>
      </c>
      <c r="AV52" s="382">
        <f t="shared" si="67"/>
        <v>0</v>
      </c>
      <c r="AW52" s="382">
        <f t="shared" si="67"/>
        <v>0</v>
      </c>
      <c r="AX52" s="382">
        <f t="shared" si="67"/>
        <v>0</v>
      </c>
      <c r="AY52" s="382">
        <f t="shared" si="67"/>
        <v>0</v>
      </c>
      <c r="AZ52" s="382">
        <f t="shared" si="67"/>
        <v>0</v>
      </c>
      <c r="BA52" s="382">
        <f t="shared" si="67"/>
        <v>0</v>
      </c>
      <c r="BB52" s="382">
        <f t="shared" si="67"/>
        <v>0</v>
      </c>
      <c r="BC52" s="382">
        <f t="shared" si="67"/>
        <v>0</v>
      </c>
      <c r="BD52" s="382">
        <f t="shared" si="67"/>
        <v>0</v>
      </c>
      <c r="BE52" s="382">
        <f t="shared" si="67"/>
        <v>0</v>
      </c>
      <c r="BF52" s="382">
        <f t="shared" si="67"/>
        <v>0</v>
      </c>
      <c r="BG52" s="382">
        <f t="shared" si="67"/>
        <v>0</v>
      </c>
      <c r="BH52" s="382">
        <f t="shared" si="67"/>
        <v>0</v>
      </c>
      <c r="BI52" s="382">
        <f t="shared" si="67"/>
        <v>0</v>
      </c>
      <c r="BJ52" s="382">
        <f t="shared" si="67"/>
        <v>0</v>
      </c>
      <c r="BK52" s="384">
        <f t="shared" si="67"/>
        <v>0</v>
      </c>
      <c r="BL52" s="293"/>
      <c r="BN52" s="384">
        <f t="shared" ref="BN52:BU52" si="68">SUM(BN50:BN51)</f>
        <v>0</v>
      </c>
      <c r="BO52" s="384">
        <f t="shared" si="68"/>
        <v>0</v>
      </c>
      <c r="BP52" s="384">
        <f t="shared" si="68"/>
        <v>0</v>
      </c>
      <c r="BQ52" s="384">
        <f t="shared" si="68"/>
        <v>0</v>
      </c>
      <c r="BR52" s="384">
        <f t="shared" si="68"/>
        <v>0</v>
      </c>
      <c r="BS52" s="384">
        <f t="shared" si="68"/>
        <v>0</v>
      </c>
      <c r="BT52" s="384">
        <f t="shared" si="68"/>
        <v>0</v>
      </c>
      <c r="BU52" s="384">
        <f t="shared" si="68"/>
        <v>0</v>
      </c>
      <c r="BV52" s="385">
        <f t="shared" si="0"/>
        <v>0</v>
      </c>
    </row>
    <row r="53" spans="1:74" s="565" customFormat="1" ht="47.25" x14ac:dyDescent="0.25">
      <c r="A53" s="1023"/>
      <c r="B53" s="685">
        <v>41330</v>
      </c>
      <c r="C53" s="766" t="s">
        <v>857</v>
      </c>
      <c r="D53" s="685" t="s">
        <v>79</v>
      </c>
      <c r="E53" s="762">
        <v>1400</v>
      </c>
      <c r="F53" s="467">
        <f>BJ53</f>
        <v>0</v>
      </c>
      <c r="G53" s="697">
        <f>E53*F53</f>
        <v>0</v>
      </c>
      <c r="H53" s="697">
        <f>G53*0.2</f>
        <v>0</v>
      </c>
      <c r="I53" s="697">
        <f>G53*0.8</f>
        <v>0</v>
      </c>
      <c r="J53" s="697">
        <f>G53*0</f>
        <v>0</v>
      </c>
      <c r="K53" s="697">
        <f>G53*0</f>
        <v>0</v>
      </c>
      <c r="L53" s="697">
        <f>G53*0</f>
        <v>0</v>
      </c>
      <c r="M53" s="697">
        <f>G53*0</f>
        <v>0</v>
      </c>
      <c r="N53" s="697">
        <f>G53*0</f>
        <v>0</v>
      </c>
      <c r="O53" s="697">
        <f>G53*0</f>
        <v>0</v>
      </c>
      <c r="P53" s="697">
        <f>G53*0</f>
        <v>0</v>
      </c>
      <c r="Q53" s="697">
        <f>G53*0</f>
        <v>0</v>
      </c>
      <c r="R53" s="467">
        <v>0</v>
      </c>
      <c r="S53" s="467">
        <v>0</v>
      </c>
      <c r="T53" s="467">
        <v>0</v>
      </c>
      <c r="U53" s="467">
        <v>0</v>
      </c>
      <c r="V53" s="767">
        <f>R53*E53</f>
        <v>0</v>
      </c>
      <c r="W53" s="767">
        <f>S53*E53</f>
        <v>0</v>
      </c>
      <c r="X53" s="767">
        <f>T53*E53</f>
        <v>0</v>
      </c>
      <c r="Y53" s="767">
        <f>U53*E53</f>
        <v>0</v>
      </c>
      <c r="Z53" s="467">
        <v>0</v>
      </c>
      <c r="AA53" s="699">
        <f t="shared" si="20"/>
        <v>0</v>
      </c>
      <c r="AB53" s="467">
        <v>0</v>
      </c>
      <c r="AC53" s="699">
        <f t="shared" si="21"/>
        <v>0</v>
      </c>
      <c r="AD53" s="467">
        <v>0</v>
      </c>
      <c r="AE53" s="699">
        <f t="shared" si="22"/>
        <v>0</v>
      </c>
      <c r="AF53" s="467">
        <v>0</v>
      </c>
      <c r="AG53" s="699">
        <f t="shared" si="23"/>
        <v>0</v>
      </c>
      <c r="AH53" s="467">
        <v>0</v>
      </c>
      <c r="AI53" s="699">
        <f t="shared" si="24"/>
        <v>0</v>
      </c>
      <c r="AJ53" s="467">
        <v>0</v>
      </c>
      <c r="AK53" s="699">
        <f t="shared" si="25"/>
        <v>0</v>
      </c>
      <c r="AL53" s="467">
        <v>0</v>
      </c>
      <c r="AM53" s="699">
        <f t="shared" si="26"/>
        <v>0</v>
      </c>
      <c r="AN53" s="467">
        <v>0</v>
      </c>
      <c r="AO53" s="699">
        <f t="shared" si="27"/>
        <v>0</v>
      </c>
      <c r="AP53" s="467">
        <v>0</v>
      </c>
      <c r="AQ53" s="699">
        <f t="shared" si="28"/>
        <v>0</v>
      </c>
      <c r="AR53" s="467">
        <v>0</v>
      </c>
      <c r="AS53" s="699">
        <f t="shared" si="29"/>
        <v>0</v>
      </c>
      <c r="AT53" s="467">
        <v>0</v>
      </c>
      <c r="AU53" s="699">
        <f t="shared" si="30"/>
        <v>0</v>
      </c>
      <c r="AV53" s="467">
        <v>0</v>
      </c>
      <c r="AW53" s="699">
        <f t="shared" si="31"/>
        <v>0</v>
      </c>
      <c r="AX53" s="467">
        <v>0</v>
      </c>
      <c r="AY53" s="699">
        <f t="shared" si="32"/>
        <v>0</v>
      </c>
      <c r="AZ53" s="467">
        <v>0</v>
      </c>
      <c r="BA53" s="699">
        <f t="shared" si="33"/>
        <v>0</v>
      </c>
      <c r="BB53" s="467">
        <v>0</v>
      </c>
      <c r="BC53" s="699">
        <f t="shared" si="34"/>
        <v>0</v>
      </c>
      <c r="BD53" s="467">
        <v>0</v>
      </c>
      <c r="BE53" s="699">
        <f t="shared" si="35"/>
        <v>0</v>
      </c>
      <c r="BF53" s="467">
        <v>0</v>
      </c>
      <c r="BG53" s="699">
        <f t="shared" si="36"/>
        <v>0</v>
      </c>
      <c r="BH53" s="467">
        <v>0</v>
      </c>
      <c r="BI53" s="699">
        <f t="shared" si="37"/>
        <v>0</v>
      </c>
      <c r="BJ53" s="467">
        <f>Z53+AB53+AD53+AF53+AH53+AJ53+AL53+AN53+AP53+AR53+AT53+AV53+AX53+AZ53+BB53+BD53+BF53+BH53</f>
        <v>0</v>
      </c>
      <c r="BK53" s="394">
        <f>AA53+AC53+AE53+AG53+AI53+AK53+AM53+AO53+AQ53+AS53+AU53+AW53+AY53+BA53+BC53+BE53+BG53+BI53</f>
        <v>0</v>
      </c>
      <c r="BL53" s="768" t="s">
        <v>467</v>
      </c>
      <c r="BN53" s="698"/>
      <c r="BO53" s="698"/>
      <c r="BP53" s="769">
        <f>G53</f>
        <v>0</v>
      </c>
      <c r="BQ53" s="698"/>
      <c r="BR53" s="698">
        <f>BN53+BO53+BP53+BQ53</f>
        <v>0</v>
      </c>
      <c r="BS53" s="698"/>
      <c r="BT53" s="698"/>
      <c r="BU53" s="770"/>
      <c r="BV53" s="699">
        <f t="shared" si="0"/>
        <v>0</v>
      </c>
    </row>
    <row r="54" spans="1:74" x14ac:dyDescent="0.25">
      <c r="A54" s="1023"/>
      <c r="B54" s="259"/>
      <c r="C54" s="382" t="s">
        <v>339</v>
      </c>
      <c r="D54" s="382"/>
      <c r="E54" s="382"/>
      <c r="F54" s="382">
        <f>SUM(F53)</f>
        <v>0</v>
      </c>
      <c r="G54" s="383">
        <f>SUM(G53)</f>
        <v>0</v>
      </c>
      <c r="H54" s="383">
        <f t="shared" ref="H54:Q54" si="69">SUM(H53)</f>
        <v>0</v>
      </c>
      <c r="I54" s="383">
        <f t="shared" si="69"/>
        <v>0</v>
      </c>
      <c r="J54" s="383">
        <f t="shared" si="69"/>
        <v>0</v>
      </c>
      <c r="K54" s="383">
        <f t="shared" si="69"/>
        <v>0</v>
      </c>
      <c r="L54" s="383">
        <f t="shared" si="69"/>
        <v>0</v>
      </c>
      <c r="M54" s="383">
        <f t="shared" si="69"/>
        <v>0</v>
      </c>
      <c r="N54" s="383">
        <f t="shared" si="69"/>
        <v>0</v>
      </c>
      <c r="O54" s="383">
        <f t="shared" si="69"/>
        <v>0</v>
      </c>
      <c r="P54" s="383">
        <f t="shared" si="69"/>
        <v>0</v>
      </c>
      <c r="Q54" s="383">
        <f t="shared" si="69"/>
        <v>0</v>
      </c>
      <c r="R54" s="382">
        <f t="shared" ref="R54:BK54" si="70">SUM(R53)</f>
        <v>0</v>
      </c>
      <c r="S54" s="382">
        <f t="shared" si="70"/>
        <v>0</v>
      </c>
      <c r="T54" s="382">
        <f t="shared" si="70"/>
        <v>0</v>
      </c>
      <c r="U54" s="382">
        <f t="shared" si="70"/>
        <v>0</v>
      </c>
      <c r="V54" s="383">
        <f t="shared" si="70"/>
        <v>0</v>
      </c>
      <c r="W54" s="383">
        <f t="shared" si="70"/>
        <v>0</v>
      </c>
      <c r="X54" s="383">
        <f t="shared" si="70"/>
        <v>0</v>
      </c>
      <c r="Y54" s="383">
        <f t="shared" si="70"/>
        <v>0</v>
      </c>
      <c r="Z54" s="382">
        <f t="shared" si="70"/>
        <v>0</v>
      </c>
      <c r="AA54" s="382">
        <f t="shared" si="70"/>
        <v>0</v>
      </c>
      <c r="AB54" s="382">
        <f t="shared" si="70"/>
        <v>0</v>
      </c>
      <c r="AC54" s="382">
        <f t="shared" si="70"/>
        <v>0</v>
      </c>
      <c r="AD54" s="382">
        <f t="shared" si="70"/>
        <v>0</v>
      </c>
      <c r="AE54" s="382">
        <f t="shared" si="70"/>
        <v>0</v>
      </c>
      <c r="AF54" s="382">
        <f t="shared" si="70"/>
        <v>0</v>
      </c>
      <c r="AG54" s="382">
        <f t="shared" si="70"/>
        <v>0</v>
      </c>
      <c r="AH54" s="382">
        <f t="shared" si="70"/>
        <v>0</v>
      </c>
      <c r="AI54" s="382">
        <f t="shared" si="70"/>
        <v>0</v>
      </c>
      <c r="AJ54" s="382">
        <f t="shared" si="70"/>
        <v>0</v>
      </c>
      <c r="AK54" s="382">
        <f t="shared" si="70"/>
        <v>0</v>
      </c>
      <c r="AL54" s="382">
        <f t="shared" si="70"/>
        <v>0</v>
      </c>
      <c r="AM54" s="382">
        <f t="shared" si="70"/>
        <v>0</v>
      </c>
      <c r="AN54" s="382">
        <f t="shared" si="70"/>
        <v>0</v>
      </c>
      <c r="AO54" s="382">
        <f t="shared" si="70"/>
        <v>0</v>
      </c>
      <c r="AP54" s="382">
        <f t="shared" si="70"/>
        <v>0</v>
      </c>
      <c r="AQ54" s="382">
        <f t="shared" si="70"/>
        <v>0</v>
      </c>
      <c r="AR54" s="382">
        <f t="shared" si="70"/>
        <v>0</v>
      </c>
      <c r="AS54" s="382">
        <f t="shared" si="70"/>
        <v>0</v>
      </c>
      <c r="AT54" s="382">
        <f t="shared" si="70"/>
        <v>0</v>
      </c>
      <c r="AU54" s="382">
        <f t="shared" si="70"/>
        <v>0</v>
      </c>
      <c r="AV54" s="382">
        <f t="shared" si="70"/>
        <v>0</v>
      </c>
      <c r="AW54" s="382">
        <f t="shared" si="70"/>
        <v>0</v>
      </c>
      <c r="AX54" s="382">
        <f t="shared" si="70"/>
        <v>0</v>
      </c>
      <c r="AY54" s="382">
        <f t="shared" si="70"/>
        <v>0</v>
      </c>
      <c r="AZ54" s="382">
        <f t="shared" si="70"/>
        <v>0</v>
      </c>
      <c r="BA54" s="382">
        <f t="shared" si="70"/>
        <v>0</v>
      </c>
      <c r="BB54" s="382">
        <f t="shared" si="70"/>
        <v>0</v>
      </c>
      <c r="BC54" s="382">
        <f t="shared" si="70"/>
        <v>0</v>
      </c>
      <c r="BD54" s="382">
        <f t="shared" si="70"/>
        <v>0</v>
      </c>
      <c r="BE54" s="382">
        <f t="shared" si="70"/>
        <v>0</v>
      </c>
      <c r="BF54" s="382">
        <f t="shared" si="70"/>
        <v>0</v>
      </c>
      <c r="BG54" s="382">
        <f t="shared" si="70"/>
        <v>0</v>
      </c>
      <c r="BH54" s="382">
        <f t="shared" si="70"/>
        <v>0</v>
      </c>
      <c r="BI54" s="382">
        <f t="shared" si="70"/>
        <v>0</v>
      </c>
      <c r="BJ54" s="382">
        <f t="shared" si="70"/>
        <v>0</v>
      </c>
      <c r="BK54" s="384">
        <f t="shared" si="70"/>
        <v>0</v>
      </c>
      <c r="BL54" s="47"/>
      <c r="BN54" s="384">
        <f t="shared" ref="BN54:BU54" si="71">SUM(BN53)</f>
        <v>0</v>
      </c>
      <c r="BO54" s="384">
        <f t="shared" si="71"/>
        <v>0</v>
      </c>
      <c r="BP54" s="384">
        <f t="shared" si="71"/>
        <v>0</v>
      </c>
      <c r="BQ54" s="384">
        <f t="shared" si="71"/>
        <v>0</v>
      </c>
      <c r="BR54" s="384">
        <f t="shared" si="71"/>
        <v>0</v>
      </c>
      <c r="BS54" s="384">
        <f t="shared" si="71"/>
        <v>0</v>
      </c>
      <c r="BT54" s="384">
        <f t="shared" si="71"/>
        <v>0</v>
      </c>
      <c r="BU54" s="384">
        <f t="shared" si="71"/>
        <v>0</v>
      </c>
      <c r="BV54" s="385">
        <f t="shared" si="0"/>
        <v>0</v>
      </c>
    </row>
    <row r="55" spans="1:74" s="67" customFormat="1" x14ac:dyDescent="0.25">
      <c r="A55" s="1023"/>
      <c r="B55" s="367"/>
      <c r="C55" s="368" t="s">
        <v>289</v>
      </c>
      <c r="D55" s="369" t="s">
        <v>280</v>
      </c>
      <c r="E55" s="369">
        <v>0</v>
      </c>
      <c r="F55" s="369">
        <f>F54+F52</f>
        <v>0</v>
      </c>
      <c r="G55" s="386">
        <f t="shared" ref="G55:BI55" si="72">G54+G52</f>
        <v>0</v>
      </c>
      <c r="H55" s="386">
        <f t="shared" ref="H55:Q55" si="73">H54+H52</f>
        <v>0</v>
      </c>
      <c r="I55" s="386">
        <f t="shared" si="73"/>
        <v>0</v>
      </c>
      <c r="J55" s="386">
        <f t="shared" si="73"/>
        <v>0</v>
      </c>
      <c r="K55" s="386">
        <f t="shared" si="73"/>
        <v>0</v>
      </c>
      <c r="L55" s="386">
        <f t="shared" si="73"/>
        <v>0</v>
      </c>
      <c r="M55" s="386">
        <f t="shared" si="73"/>
        <v>0</v>
      </c>
      <c r="N55" s="386">
        <f t="shared" si="73"/>
        <v>0</v>
      </c>
      <c r="O55" s="386">
        <f t="shared" si="73"/>
        <v>0</v>
      </c>
      <c r="P55" s="386">
        <f t="shared" si="73"/>
        <v>0</v>
      </c>
      <c r="Q55" s="386">
        <f t="shared" si="73"/>
        <v>0</v>
      </c>
      <c r="R55" s="369">
        <f t="shared" si="72"/>
        <v>0</v>
      </c>
      <c r="S55" s="369">
        <f t="shared" si="72"/>
        <v>0</v>
      </c>
      <c r="T55" s="369">
        <f t="shared" si="72"/>
        <v>0</v>
      </c>
      <c r="U55" s="369">
        <f t="shared" si="72"/>
        <v>0</v>
      </c>
      <c r="V55" s="386">
        <f t="shared" si="72"/>
        <v>0</v>
      </c>
      <c r="W55" s="386">
        <f t="shared" si="72"/>
        <v>0</v>
      </c>
      <c r="X55" s="386">
        <f t="shared" si="72"/>
        <v>0</v>
      </c>
      <c r="Y55" s="386">
        <f t="shared" si="72"/>
        <v>0</v>
      </c>
      <c r="Z55" s="369">
        <f t="shared" ref="Z55:BK55" si="74">Z54+Z52</f>
        <v>0</v>
      </c>
      <c r="AA55" s="386">
        <f t="shared" si="72"/>
        <v>0</v>
      </c>
      <c r="AB55" s="369">
        <f t="shared" si="74"/>
        <v>0</v>
      </c>
      <c r="AC55" s="386">
        <f t="shared" si="72"/>
        <v>0</v>
      </c>
      <c r="AD55" s="369">
        <f t="shared" si="74"/>
        <v>0</v>
      </c>
      <c r="AE55" s="386">
        <f t="shared" si="72"/>
        <v>0</v>
      </c>
      <c r="AF55" s="369">
        <f t="shared" si="74"/>
        <v>0</v>
      </c>
      <c r="AG55" s="386">
        <f t="shared" si="72"/>
        <v>0</v>
      </c>
      <c r="AH55" s="369">
        <f t="shared" si="74"/>
        <v>0</v>
      </c>
      <c r="AI55" s="386">
        <f t="shared" si="72"/>
        <v>0</v>
      </c>
      <c r="AJ55" s="369">
        <f t="shared" si="74"/>
        <v>0</v>
      </c>
      <c r="AK55" s="386">
        <f t="shared" si="72"/>
        <v>0</v>
      </c>
      <c r="AL55" s="369">
        <f t="shared" si="74"/>
        <v>0</v>
      </c>
      <c r="AM55" s="386">
        <f t="shared" si="72"/>
        <v>0</v>
      </c>
      <c r="AN55" s="369">
        <f t="shared" si="74"/>
        <v>0</v>
      </c>
      <c r="AO55" s="386">
        <f t="shared" si="72"/>
        <v>0</v>
      </c>
      <c r="AP55" s="369">
        <f t="shared" si="74"/>
        <v>0</v>
      </c>
      <c r="AQ55" s="386">
        <f t="shared" si="72"/>
        <v>0</v>
      </c>
      <c r="AR55" s="369">
        <f t="shared" si="74"/>
        <v>0</v>
      </c>
      <c r="AS55" s="386">
        <f t="shared" si="72"/>
        <v>0</v>
      </c>
      <c r="AT55" s="369">
        <f t="shared" si="74"/>
        <v>0</v>
      </c>
      <c r="AU55" s="386">
        <f t="shared" si="72"/>
        <v>0</v>
      </c>
      <c r="AV55" s="369">
        <f t="shared" si="74"/>
        <v>0</v>
      </c>
      <c r="AW55" s="386">
        <f t="shared" si="72"/>
        <v>0</v>
      </c>
      <c r="AX55" s="369">
        <f t="shared" si="74"/>
        <v>0</v>
      </c>
      <c r="AY55" s="386">
        <f t="shared" si="72"/>
        <v>0</v>
      </c>
      <c r="AZ55" s="369">
        <f t="shared" si="74"/>
        <v>0</v>
      </c>
      <c r="BA55" s="386">
        <f t="shared" si="72"/>
        <v>0</v>
      </c>
      <c r="BB55" s="369">
        <f t="shared" si="74"/>
        <v>0</v>
      </c>
      <c r="BC55" s="386">
        <f t="shared" si="72"/>
        <v>0</v>
      </c>
      <c r="BD55" s="369">
        <f t="shared" si="74"/>
        <v>0</v>
      </c>
      <c r="BE55" s="386">
        <f t="shared" si="72"/>
        <v>0</v>
      </c>
      <c r="BF55" s="369">
        <f t="shared" si="74"/>
        <v>0</v>
      </c>
      <c r="BG55" s="386">
        <f t="shared" si="72"/>
        <v>0</v>
      </c>
      <c r="BH55" s="369">
        <f t="shared" si="74"/>
        <v>0</v>
      </c>
      <c r="BI55" s="386">
        <f t="shared" si="72"/>
        <v>0</v>
      </c>
      <c r="BJ55" s="369">
        <f t="shared" si="74"/>
        <v>0</v>
      </c>
      <c r="BK55" s="387">
        <f t="shared" si="74"/>
        <v>0</v>
      </c>
      <c r="BL55" s="118"/>
      <c r="BN55" s="387">
        <f t="shared" ref="BN55:BU55" si="75">BN54+BN52</f>
        <v>0</v>
      </c>
      <c r="BO55" s="387">
        <f t="shared" si="75"/>
        <v>0</v>
      </c>
      <c r="BP55" s="387">
        <f t="shared" si="75"/>
        <v>0</v>
      </c>
      <c r="BQ55" s="387">
        <f t="shared" si="75"/>
        <v>0</v>
      </c>
      <c r="BR55" s="387">
        <f t="shared" si="75"/>
        <v>0</v>
      </c>
      <c r="BS55" s="387">
        <f t="shared" si="75"/>
        <v>0</v>
      </c>
      <c r="BT55" s="387">
        <f t="shared" si="75"/>
        <v>0</v>
      </c>
      <c r="BU55" s="387">
        <f t="shared" si="75"/>
        <v>0</v>
      </c>
      <c r="BV55" s="388">
        <f t="shared" si="0"/>
        <v>0</v>
      </c>
    </row>
    <row r="56" spans="1:74" ht="31.5" x14ac:dyDescent="0.25">
      <c r="A56" s="1023"/>
      <c r="B56" s="211">
        <v>41400</v>
      </c>
      <c r="C56" s="211" t="s">
        <v>290</v>
      </c>
      <c r="D56" s="38"/>
      <c r="E56" s="365"/>
      <c r="F56" s="38"/>
      <c r="G56" s="85"/>
      <c r="H56" s="85"/>
      <c r="I56" s="85"/>
      <c r="J56" s="85"/>
      <c r="K56" s="85"/>
      <c r="L56" s="85"/>
      <c r="M56" s="85"/>
      <c r="N56" s="85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179">
        <f t="shared" si="20"/>
        <v>0</v>
      </c>
      <c r="AB56" s="47"/>
      <c r="AC56" s="179">
        <f t="shared" si="21"/>
        <v>0</v>
      </c>
      <c r="AD56" s="47"/>
      <c r="AE56" s="179">
        <f t="shared" si="22"/>
        <v>0</v>
      </c>
      <c r="AF56" s="47"/>
      <c r="AG56" s="179">
        <f t="shared" si="23"/>
        <v>0</v>
      </c>
      <c r="AH56" s="47"/>
      <c r="AI56" s="179">
        <f t="shared" si="24"/>
        <v>0</v>
      </c>
      <c r="AJ56" s="47"/>
      <c r="AK56" s="179">
        <f t="shared" si="25"/>
        <v>0</v>
      </c>
      <c r="AL56" s="47"/>
      <c r="AM56" s="179">
        <f t="shared" si="26"/>
        <v>0</v>
      </c>
      <c r="AN56" s="47"/>
      <c r="AO56" s="179">
        <f t="shared" si="27"/>
        <v>0</v>
      </c>
      <c r="AP56" s="47"/>
      <c r="AQ56" s="179">
        <f t="shared" si="28"/>
        <v>0</v>
      </c>
      <c r="AR56" s="47"/>
      <c r="AS56" s="179">
        <f t="shared" si="29"/>
        <v>0</v>
      </c>
      <c r="AT56" s="47"/>
      <c r="AU56" s="179">
        <f t="shared" si="30"/>
        <v>0</v>
      </c>
      <c r="AV56" s="47"/>
      <c r="AW56" s="179">
        <f t="shared" si="31"/>
        <v>0</v>
      </c>
      <c r="AX56" s="47"/>
      <c r="AY56" s="179">
        <f t="shared" si="32"/>
        <v>0</v>
      </c>
      <c r="AZ56" s="47"/>
      <c r="BA56" s="179">
        <f t="shared" si="33"/>
        <v>0</v>
      </c>
      <c r="BB56" s="47"/>
      <c r="BC56" s="179">
        <f t="shared" si="34"/>
        <v>0</v>
      </c>
      <c r="BD56" s="47"/>
      <c r="BE56" s="179">
        <f t="shared" si="35"/>
        <v>0</v>
      </c>
      <c r="BF56" s="47"/>
      <c r="BG56" s="179">
        <f t="shared" si="36"/>
        <v>0</v>
      </c>
      <c r="BH56" s="47"/>
      <c r="BI56" s="179">
        <f t="shared" si="37"/>
        <v>0</v>
      </c>
      <c r="BJ56" s="47"/>
      <c r="BK56" s="123"/>
      <c r="BL56" s="47"/>
      <c r="BN56" s="113"/>
      <c r="BO56" s="113"/>
      <c r="BP56" s="113"/>
      <c r="BQ56" s="113"/>
      <c r="BR56" s="113"/>
      <c r="BS56" s="113"/>
      <c r="BT56" s="113"/>
      <c r="BU56" s="124"/>
      <c r="BV56" s="179">
        <f t="shared" si="0"/>
        <v>0</v>
      </c>
    </row>
    <row r="57" spans="1:74" x14ac:dyDescent="0.25">
      <c r="A57" s="1023"/>
      <c r="B57" s="38">
        <v>41410</v>
      </c>
      <c r="C57" s="381" t="s">
        <v>340</v>
      </c>
      <c r="D57" s="38"/>
      <c r="E57" s="365"/>
      <c r="F57" s="38"/>
      <c r="G57" s="85"/>
      <c r="H57" s="85"/>
      <c r="I57" s="85"/>
      <c r="J57" s="85"/>
      <c r="K57" s="85"/>
      <c r="L57" s="85"/>
      <c r="M57" s="85"/>
      <c r="N57" s="85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179">
        <f t="shared" si="20"/>
        <v>0</v>
      </c>
      <c r="AB57" s="47"/>
      <c r="AC57" s="179">
        <f t="shared" si="21"/>
        <v>0</v>
      </c>
      <c r="AD57" s="47"/>
      <c r="AE57" s="179">
        <f t="shared" si="22"/>
        <v>0</v>
      </c>
      <c r="AF57" s="47"/>
      <c r="AG57" s="179">
        <f t="shared" si="23"/>
        <v>0</v>
      </c>
      <c r="AH57" s="47"/>
      <c r="AI57" s="179">
        <f t="shared" si="24"/>
        <v>0</v>
      </c>
      <c r="AJ57" s="47"/>
      <c r="AK57" s="179">
        <f t="shared" si="25"/>
        <v>0</v>
      </c>
      <c r="AL57" s="47"/>
      <c r="AM57" s="179">
        <f t="shared" si="26"/>
        <v>0</v>
      </c>
      <c r="AN57" s="47"/>
      <c r="AO57" s="179">
        <f t="shared" si="27"/>
        <v>0</v>
      </c>
      <c r="AP57" s="47"/>
      <c r="AQ57" s="179">
        <f t="shared" si="28"/>
        <v>0</v>
      </c>
      <c r="AR57" s="47"/>
      <c r="AS57" s="179">
        <f t="shared" si="29"/>
        <v>0</v>
      </c>
      <c r="AT57" s="47"/>
      <c r="AU57" s="179">
        <f t="shared" si="30"/>
        <v>0</v>
      </c>
      <c r="AV57" s="47"/>
      <c r="AW57" s="179">
        <f t="shared" si="31"/>
        <v>0</v>
      </c>
      <c r="AX57" s="47"/>
      <c r="AY57" s="179">
        <f t="shared" si="32"/>
        <v>0</v>
      </c>
      <c r="AZ57" s="47"/>
      <c r="BA57" s="179">
        <f t="shared" si="33"/>
        <v>0</v>
      </c>
      <c r="BB57" s="47"/>
      <c r="BC57" s="179">
        <f t="shared" si="34"/>
        <v>0</v>
      </c>
      <c r="BD57" s="47"/>
      <c r="BE57" s="179">
        <f t="shared" si="35"/>
        <v>0</v>
      </c>
      <c r="BF57" s="47"/>
      <c r="BG57" s="179">
        <f t="shared" si="36"/>
        <v>0</v>
      </c>
      <c r="BH57" s="47"/>
      <c r="BI57" s="179">
        <f t="shared" si="37"/>
        <v>0</v>
      </c>
      <c r="BJ57" s="47"/>
      <c r="BK57" s="123"/>
      <c r="BL57" s="47"/>
      <c r="BN57" s="113"/>
      <c r="BO57" s="113"/>
      <c r="BP57" s="113"/>
      <c r="BQ57" s="113"/>
      <c r="BR57" s="113"/>
      <c r="BS57" s="113"/>
      <c r="BT57" s="113"/>
      <c r="BU57" s="124"/>
      <c r="BV57" s="179">
        <f t="shared" si="0"/>
        <v>0</v>
      </c>
    </row>
    <row r="58" spans="1:74" ht="31.5" x14ac:dyDescent="0.25">
      <c r="A58" s="1023"/>
      <c r="B58" s="38"/>
      <c r="C58" s="38" t="s">
        <v>341</v>
      </c>
      <c r="D58" s="38" t="s">
        <v>73</v>
      </c>
      <c r="E58" s="365">
        <f>0.65*100000</f>
        <v>65000</v>
      </c>
      <c r="F58" s="47">
        <f t="shared" ref="F58:F65" si="76">BJ58</f>
        <v>0</v>
      </c>
      <c r="G58" s="85">
        <f t="shared" ref="G58:G65" si="77">E58*F58</f>
        <v>0</v>
      </c>
      <c r="H58" s="85">
        <f t="shared" ref="H58:H65" si="78">G58*0.377</f>
        <v>0</v>
      </c>
      <c r="I58" s="85">
        <f t="shared" ref="I58:I65" si="79">G58*0.398</f>
        <v>0</v>
      </c>
      <c r="J58" s="85">
        <f t="shared" ref="J58:J65" si="80">G58*0</f>
        <v>0</v>
      </c>
      <c r="K58" s="85">
        <f t="shared" ref="K58:K65" si="81">G58*0</f>
        <v>0</v>
      </c>
      <c r="L58" s="85">
        <f t="shared" ref="L58:L65" si="82">G58*0.083</f>
        <v>0</v>
      </c>
      <c r="M58" s="85">
        <f t="shared" ref="M58:M65" si="83">G58*0</f>
        <v>0</v>
      </c>
      <c r="N58" s="85">
        <f t="shared" ref="N58:N65" si="84">G58*0</f>
        <v>0</v>
      </c>
      <c r="O58" s="85">
        <f t="shared" ref="O58:O65" si="85">G58*0</f>
        <v>0</v>
      </c>
      <c r="P58" s="85">
        <f t="shared" ref="P58:P65" si="86">G58*0</f>
        <v>0</v>
      </c>
      <c r="Q58" s="85">
        <f t="shared" ref="Q58:Q65" si="87">G58*0.142</f>
        <v>0</v>
      </c>
      <c r="R58" s="47"/>
      <c r="S58" s="47"/>
      <c r="T58" s="47"/>
      <c r="U58" s="47"/>
      <c r="V58" s="366">
        <f>R58*E58</f>
        <v>0</v>
      </c>
      <c r="W58" s="366">
        <f>S58*E58</f>
        <v>0</v>
      </c>
      <c r="X58" s="366">
        <f>T58*E58</f>
        <v>0</v>
      </c>
      <c r="Y58" s="366">
        <f>U58*E58</f>
        <v>0</v>
      </c>
      <c r="Z58" s="47">
        <v>0</v>
      </c>
      <c r="AA58" s="179">
        <f t="shared" si="20"/>
        <v>0</v>
      </c>
      <c r="AB58" s="47">
        <v>0</v>
      </c>
      <c r="AC58" s="179">
        <f t="shared" si="21"/>
        <v>0</v>
      </c>
      <c r="AD58" s="47">
        <v>0</v>
      </c>
      <c r="AE58" s="179">
        <f t="shared" si="22"/>
        <v>0</v>
      </c>
      <c r="AF58" s="47">
        <v>0</v>
      </c>
      <c r="AG58" s="179">
        <f t="shared" si="23"/>
        <v>0</v>
      </c>
      <c r="AH58" s="47">
        <v>0</v>
      </c>
      <c r="AI58" s="179">
        <f t="shared" si="24"/>
        <v>0</v>
      </c>
      <c r="AJ58" s="47">
        <v>0</v>
      </c>
      <c r="AK58" s="179">
        <f t="shared" si="25"/>
        <v>0</v>
      </c>
      <c r="AL58" s="47">
        <v>0</v>
      </c>
      <c r="AM58" s="179">
        <f t="shared" si="26"/>
        <v>0</v>
      </c>
      <c r="AN58" s="47">
        <v>0</v>
      </c>
      <c r="AO58" s="179">
        <f t="shared" si="27"/>
        <v>0</v>
      </c>
      <c r="AP58" s="47">
        <v>0</v>
      </c>
      <c r="AQ58" s="179">
        <f t="shared" si="28"/>
        <v>0</v>
      </c>
      <c r="AR58" s="47">
        <v>0</v>
      </c>
      <c r="AS58" s="179">
        <f t="shared" si="29"/>
        <v>0</v>
      </c>
      <c r="AT58" s="47">
        <v>0</v>
      </c>
      <c r="AU58" s="179">
        <f t="shared" si="30"/>
        <v>0</v>
      </c>
      <c r="AV58" s="47">
        <v>0</v>
      </c>
      <c r="AW58" s="179">
        <f t="shared" si="31"/>
        <v>0</v>
      </c>
      <c r="AX58" s="47">
        <v>0</v>
      </c>
      <c r="AY58" s="179">
        <f t="shared" si="32"/>
        <v>0</v>
      </c>
      <c r="AZ58" s="47">
        <v>0</v>
      </c>
      <c r="BA58" s="179">
        <f t="shared" si="33"/>
        <v>0</v>
      </c>
      <c r="BB58" s="47">
        <v>0</v>
      </c>
      <c r="BC58" s="179">
        <f t="shared" si="34"/>
        <v>0</v>
      </c>
      <c r="BD58" s="47">
        <v>0</v>
      </c>
      <c r="BE58" s="179">
        <f t="shared" si="35"/>
        <v>0</v>
      </c>
      <c r="BF58" s="47">
        <v>0</v>
      </c>
      <c r="BG58" s="179">
        <f t="shared" si="36"/>
        <v>0</v>
      </c>
      <c r="BH58" s="47">
        <v>0</v>
      </c>
      <c r="BI58" s="179">
        <f t="shared" si="37"/>
        <v>0</v>
      </c>
      <c r="BJ58" s="47">
        <f t="shared" ref="BJ58:BK65" si="88">Z58+AB58+AD58+AF58+AH58+AJ58+AL58+AN58+AP58+AR58+AT58+AV58+AX58+AZ58+BB58+BD58+BF58+BH58</f>
        <v>0</v>
      </c>
      <c r="BK58" s="117">
        <f t="shared" si="88"/>
        <v>0</v>
      </c>
      <c r="BL58" s="293" t="s">
        <v>468</v>
      </c>
      <c r="BN58" s="113"/>
      <c r="BO58" s="113"/>
      <c r="BP58" s="113"/>
      <c r="BQ58" s="113"/>
      <c r="BR58" s="113">
        <f>BN58+BO58+BP58+BQ58</f>
        <v>0</v>
      </c>
      <c r="BS58" s="113"/>
      <c r="BT58" s="113"/>
      <c r="BU58" s="124">
        <f>BS58+BT58</f>
        <v>0</v>
      </c>
      <c r="BV58" s="179">
        <f t="shared" si="0"/>
        <v>0</v>
      </c>
    </row>
    <row r="59" spans="1:74" ht="31.5" x14ac:dyDescent="0.25">
      <c r="A59" s="1023"/>
      <c r="B59" s="38"/>
      <c r="C59" s="38" t="s">
        <v>342</v>
      </c>
      <c r="D59" s="38" t="s">
        <v>73</v>
      </c>
      <c r="E59" s="365">
        <f>0.6*100000</f>
        <v>60000</v>
      </c>
      <c r="F59" s="47">
        <f t="shared" si="76"/>
        <v>0</v>
      </c>
      <c r="G59" s="85">
        <f t="shared" si="77"/>
        <v>0</v>
      </c>
      <c r="H59" s="85">
        <f t="shared" si="78"/>
        <v>0</v>
      </c>
      <c r="I59" s="85">
        <f t="shared" si="79"/>
        <v>0</v>
      </c>
      <c r="J59" s="85">
        <f t="shared" si="80"/>
        <v>0</v>
      </c>
      <c r="K59" s="85">
        <f t="shared" si="81"/>
        <v>0</v>
      </c>
      <c r="L59" s="85">
        <f t="shared" si="82"/>
        <v>0</v>
      </c>
      <c r="M59" s="85">
        <f t="shared" si="83"/>
        <v>0</v>
      </c>
      <c r="N59" s="85">
        <f t="shared" si="84"/>
        <v>0</v>
      </c>
      <c r="O59" s="85">
        <f t="shared" si="85"/>
        <v>0</v>
      </c>
      <c r="P59" s="85">
        <f t="shared" si="86"/>
        <v>0</v>
      </c>
      <c r="Q59" s="85">
        <f t="shared" si="87"/>
        <v>0</v>
      </c>
      <c r="R59" s="47"/>
      <c r="S59" s="47"/>
      <c r="T59" s="47"/>
      <c r="U59" s="47"/>
      <c r="V59" s="366">
        <f t="shared" ref="V59:V65" si="89">R59*E59</f>
        <v>0</v>
      </c>
      <c r="W59" s="366">
        <f t="shared" ref="W59:W65" si="90">S59*E59</f>
        <v>0</v>
      </c>
      <c r="X59" s="366">
        <f t="shared" ref="X59:X65" si="91">T59*E59</f>
        <v>0</v>
      </c>
      <c r="Y59" s="366">
        <f t="shared" ref="Y59:Y65" si="92">U59*E59</f>
        <v>0</v>
      </c>
      <c r="Z59" s="47">
        <v>0</v>
      </c>
      <c r="AA59" s="179">
        <f t="shared" si="20"/>
        <v>0</v>
      </c>
      <c r="AB59" s="47">
        <v>0</v>
      </c>
      <c r="AC59" s="179">
        <f t="shared" si="21"/>
        <v>0</v>
      </c>
      <c r="AD59" s="47">
        <v>0</v>
      </c>
      <c r="AE59" s="179">
        <f t="shared" si="22"/>
        <v>0</v>
      </c>
      <c r="AF59" s="47">
        <v>0</v>
      </c>
      <c r="AG59" s="179">
        <f t="shared" si="23"/>
        <v>0</v>
      </c>
      <c r="AH59" s="47">
        <v>0</v>
      </c>
      <c r="AI59" s="179">
        <f t="shared" si="24"/>
        <v>0</v>
      </c>
      <c r="AJ59" s="47">
        <v>0</v>
      </c>
      <c r="AK59" s="179">
        <f t="shared" si="25"/>
        <v>0</v>
      </c>
      <c r="AL59" s="47">
        <v>0</v>
      </c>
      <c r="AM59" s="179">
        <f t="shared" si="26"/>
        <v>0</v>
      </c>
      <c r="AN59" s="47">
        <v>0</v>
      </c>
      <c r="AO59" s="179">
        <f t="shared" si="27"/>
        <v>0</v>
      </c>
      <c r="AP59" s="47">
        <v>0</v>
      </c>
      <c r="AQ59" s="179">
        <f t="shared" si="28"/>
        <v>0</v>
      </c>
      <c r="AR59" s="47">
        <v>0</v>
      </c>
      <c r="AS59" s="179">
        <f t="shared" si="29"/>
        <v>0</v>
      </c>
      <c r="AT59" s="47">
        <v>0</v>
      </c>
      <c r="AU59" s="179">
        <f t="shared" si="30"/>
        <v>0</v>
      </c>
      <c r="AV59" s="47">
        <v>0</v>
      </c>
      <c r="AW59" s="179">
        <f t="shared" si="31"/>
        <v>0</v>
      </c>
      <c r="AX59" s="47">
        <v>0</v>
      </c>
      <c r="AY59" s="179">
        <f t="shared" si="32"/>
        <v>0</v>
      </c>
      <c r="AZ59" s="47">
        <v>0</v>
      </c>
      <c r="BA59" s="179">
        <f t="shared" si="33"/>
        <v>0</v>
      </c>
      <c r="BB59" s="47">
        <v>0</v>
      </c>
      <c r="BC59" s="179">
        <f t="shared" si="34"/>
        <v>0</v>
      </c>
      <c r="BD59" s="47">
        <v>0</v>
      </c>
      <c r="BE59" s="179">
        <f t="shared" si="35"/>
        <v>0</v>
      </c>
      <c r="BF59" s="47">
        <v>0</v>
      </c>
      <c r="BG59" s="179">
        <f t="shared" si="36"/>
        <v>0</v>
      </c>
      <c r="BH59" s="47">
        <v>0</v>
      </c>
      <c r="BI59" s="179">
        <f t="shared" si="37"/>
        <v>0</v>
      </c>
      <c r="BJ59" s="47">
        <f t="shared" si="88"/>
        <v>0</v>
      </c>
      <c r="BK59" s="117">
        <f t="shared" si="88"/>
        <v>0</v>
      </c>
      <c r="BL59" s="293" t="s">
        <v>468</v>
      </c>
      <c r="BN59" s="113"/>
      <c r="BO59" s="113"/>
      <c r="BP59" s="113"/>
      <c r="BQ59" s="113"/>
      <c r="BR59" s="113">
        <f t="shared" ref="BR59:BR65" si="93">BN59+BO59+BP59+BQ59</f>
        <v>0</v>
      </c>
      <c r="BS59" s="113"/>
      <c r="BT59" s="113"/>
      <c r="BU59" s="124">
        <f t="shared" ref="BU59:BU65" si="94">BS59+BT59</f>
        <v>0</v>
      </c>
      <c r="BV59" s="179">
        <f t="shared" si="0"/>
        <v>0</v>
      </c>
    </row>
    <row r="60" spans="1:74" ht="31.5" x14ac:dyDescent="0.25">
      <c r="A60" s="1023"/>
      <c r="B60" s="38"/>
      <c r="C60" s="38" t="s">
        <v>343</v>
      </c>
      <c r="D60" s="38" t="s">
        <v>73</v>
      </c>
      <c r="E60" s="365">
        <f>0.2*100000</f>
        <v>20000</v>
      </c>
      <c r="F60" s="47">
        <f t="shared" si="76"/>
        <v>0</v>
      </c>
      <c r="G60" s="85">
        <f t="shared" si="77"/>
        <v>0</v>
      </c>
      <c r="H60" s="85">
        <f t="shared" si="78"/>
        <v>0</v>
      </c>
      <c r="I60" s="85">
        <f t="shared" si="79"/>
        <v>0</v>
      </c>
      <c r="J60" s="85">
        <f t="shared" si="80"/>
        <v>0</v>
      </c>
      <c r="K60" s="85">
        <f t="shared" si="81"/>
        <v>0</v>
      </c>
      <c r="L60" s="85">
        <f t="shared" si="82"/>
        <v>0</v>
      </c>
      <c r="M60" s="85">
        <f t="shared" si="83"/>
        <v>0</v>
      </c>
      <c r="N60" s="85">
        <f t="shared" si="84"/>
        <v>0</v>
      </c>
      <c r="O60" s="85">
        <f t="shared" si="85"/>
        <v>0</v>
      </c>
      <c r="P60" s="85">
        <f t="shared" si="86"/>
        <v>0</v>
      </c>
      <c r="Q60" s="85">
        <f t="shared" si="87"/>
        <v>0</v>
      </c>
      <c r="R60" s="47"/>
      <c r="S60" s="47"/>
      <c r="T60" s="47"/>
      <c r="U60" s="47"/>
      <c r="V60" s="366">
        <f t="shared" si="89"/>
        <v>0</v>
      </c>
      <c r="W60" s="366">
        <f t="shared" si="90"/>
        <v>0</v>
      </c>
      <c r="X60" s="366">
        <f t="shared" si="91"/>
        <v>0</v>
      </c>
      <c r="Y60" s="366">
        <f t="shared" si="92"/>
        <v>0</v>
      </c>
      <c r="Z60" s="47">
        <v>0</v>
      </c>
      <c r="AA60" s="179">
        <f t="shared" si="20"/>
        <v>0</v>
      </c>
      <c r="AB60" s="47">
        <v>0</v>
      </c>
      <c r="AC60" s="179">
        <f t="shared" si="21"/>
        <v>0</v>
      </c>
      <c r="AD60" s="47">
        <v>0</v>
      </c>
      <c r="AE60" s="179">
        <f t="shared" si="22"/>
        <v>0</v>
      </c>
      <c r="AF60" s="47">
        <v>0</v>
      </c>
      <c r="AG60" s="179">
        <f t="shared" si="23"/>
        <v>0</v>
      </c>
      <c r="AH60" s="47">
        <v>0</v>
      </c>
      <c r="AI60" s="179">
        <f t="shared" si="24"/>
        <v>0</v>
      </c>
      <c r="AJ60" s="47">
        <v>0</v>
      </c>
      <c r="AK60" s="179">
        <f t="shared" si="25"/>
        <v>0</v>
      </c>
      <c r="AL60" s="47">
        <v>0</v>
      </c>
      <c r="AM60" s="179">
        <f t="shared" si="26"/>
        <v>0</v>
      </c>
      <c r="AN60" s="47">
        <v>0</v>
      </c>
      <c r="AO60" s="179">
        <f t="shared" si="27"/>
        <v>0</v>
      </c>
      <c r="AP60" s="47">
        <v>0</v>
      </c>
      <c r="AQ60" s="179">
        <f t="shared" si="28"/>
        <v>0</v>
      </c>
      <c r="AR60" s="47">
        <v>0</v>
      </c>
      <c r="AS60" s="179">
        <f t="shared" si="29"/>
        <v>0</v>
      </c>
      <c r="AT60" s="47">
        <v>0</v>
      </c>
      <c r="AU60" s="179">
        <f t="shared" si="30"/>
        <v>0</v>
      </c>
      <c r="AV60" s="47">
        <v>0</v>
      </c>
      <c r="AW60" s="179">
        <f t="shared" si="31"/>
        <v>0</v>
      </c>
      <c r="AX60" s="47">
        <v>0</v>
      </c>
      <c r="AY60" s="179">
        <f t="shared" si="32"/>
        <v>0</v>
      </c>
      <c r="AZ60" s="47">
        <v>0</v>
      </c>
      <c r="BA60" s="179">
        <f t="shared" si="33"/>
        <v>0</v>
      </c>
      <c r="BB60" s="47">
        <v>0</v>
      </c>
      <c r="BC60" s="179">
        <f t="shared" si="34"/>
        <v>0</v>
      </c>
      <c r="BD60" s="47">
        <v>0</v>
      </c>
      <c r="BE60" s="179">
        <f t="shared" si="35"/>
        <v>0</v>
      </c>
      <c r="BF60" s="47">
        <v>0</v>
      </c>
      <c r="BG60" s="179">
        <f t="shared" si="36"/>
        <v>0</v>
      </c>
      <c r="BH60" s="47">
        <v>0</v>
      </c>
      <c r="BI60" s="179">
        <f t="shared" si="37"/>
        <v>0</v>
      </c>
      <c r="BJ60" s="47">
        <f t="shared" si="88"/>
        <v>0</v>
      </c>
      <c r="BK60" s="117">
        <f t="shared" si="88"/>
        <v>0</v>
      </c>
      <c r="BL60" s="293" t="s">
        <v>468</v>
      </c>
      <c r="BN60" s="113"/>
      <c r="BO60" s="113"/>
      <c r="BP60" s="113"/>
      <c r="BQ60" s="113"/>
      <c r="BR60" s="113">
        <f t="shared" si="93"/>
        <v>0</v>
      </c>
      <c r="BS60" s="113"/>
      <c r="BT60" s="113"/>
      <c r="BU60" s="124">
        <f t="shared" si="94"/>
        <v>0</v>
      </c>
      <c r="BV60" s="179">
        <f t="shared" si="0"/>
        <v>0</v>
      </c>
    </row>
    <row r="61" spans="1:74" ht="31.5" x14ac:dyDescent="0.25">
      <c r="A61" s="1023"/>
      <c r="B61" s="38"/>
      <c r="C61" s="38" t="s">
        <v>344</v>
      </c>
      <c r="D61" s="38" t="s">
        <v>73</v>
      </c>
      <c r="E61" s="365">
        <f>0.3*100000</f>
        <v>30000</v>
      </c>
      <c r="F61" s="47">
        <f t="shared" si="76"/>
        <v>0</v>
      </c>
      <c r="G61" s="85">
        <f t="shared" si="77"/>
        <v>0</v>
      </c>
      <c r="H61" s="85">
        <f t="shared" si="78"/>
        <v>0</v>
      </c>
      <c r="I61" s="85">
        <f t="shared" si="79"/>
        <v>0</v>
      </c>
      <c r="J61" s="85">
        <f t="shared" si="80"/>
        <v>0</v>
      </c>
      <c r="K61" s="85">
        <f t="shared" si="81"/>
        <v>0</v>
      </c>
      <c r="L61" s="85">
        <f t="shared" si="82"/>
        <v>0</v>
      </c>
      <c r="M61" s="85">
        <f t="shared" si="83"/>
        <v>0</v>
      </c>
      <c r="N61" s="85">
        <f t="shared" si="84"/>
        <v>0</v>
      </c>
      <c r="O61" s="85">
        <f t="shared" si="85"/>
        <v>0</v>
      </c>
      <c r="P61" s="85">
        <f t="shared" si="86"/>
        <v>0</v>
      </c>
      <c r="Q61" s="85">
        <f t="shared" si="87"/>
        <v>0</v>
      </c>
      <c r="R61" s="47"/>
      <c r="S61" s="47"/>
      <c r="T61" s="47"/>
      <c r="U61" s="47"/>
      <c r="V61" s="366">
        <f t="shared" si="89"/>
        <v>0</v>
      </c>
      <c r="W61" s="366">
        <f t="shared" si="90"/>
        <v>0</v>
      </c>
      <c r="X61" s="366">
        <f t="shared" si="91"/>
        <v>0</v>
      </c>
      <c r="Y61" s="366">
        <f t="shared" si="92"/>
        <v>0</v>
      </c>
      <c r="Z61" s="47">
        <v>0</v>
      </c>
      <c r="AA61" s="179">
        <f t="shared" si="20"/>
        <v>0</v>
      </c>
      <c r="AB61" s="47">
        <v>0</v>
      </c>
      <c r="AC61" s="179">
        <f t="shared" si="21"/>
        <v>0</v>
      </c>
      <c r="AD61" s="47">
        <v>0</v>
      </c>
      <c r="AE61" s="179">
        <f t="shared" si="22"/>
        <v>0</v>
      </c>
      <c r="AF61" s="47">
        <v>0</v>
      </c>
      <c r="AG61" s="179">
        <f t="shared" si="23"/>
        <v>0</v>
      </c>
      <c r="AH61" s="47">
        <v>0</v>
      </c>
      <c r="AI61" s="179">
        <f t="shared" si="24"/>
        <v>0</v>
      </c>
      <c r="AJ61" s="47">
        <v>0</v>
      </c>
      <c r="AK61" s="179">
        <f t="shared" si="25"/>
        <v>0</v>
      </c>
      <c r="AL61" s="47">
        <v>0</v>
      </c>
      <c r="AM61" s="179">
        <f t="shared" si="26"/>
        <v>0</v>
      </c>
      <c r="AN61" s="47">
        <v>0</v>
      </c>
      <c r="AO61" s="179">
        <f t="shared" si="27"/>
        <v>0</v>
      </c>
      <c r="AP61" s="47">
        <v>0</v>
      </c>
      <c r="AQ61" s="179">
        <f t="shared" si="28"/>
        <v>0</v>
      </c>
      <c r="AR61" s="47">
        <v>0</v>
      </c>
      <c r="AS61" s="179">
        <f t="shared" si="29"/>
        <v>0</v>
      </c>
      <c r="AT61" s="47">
        <v>0</v>
      </c>
      <c r="AU61" s="179">
        <f t="shared" si="30"/>
        <v>0</v>
      </c>
      <c r="AV61" s="47">
        <v>0</v>
      </c>
      <c r="AW61" s="179">
        <f t="shared" si="31"/>
        <v>0</v>
      </c>
      <c r="AX61" s="47">
        <v>0</v>
      </c>
      <c r="AY61" s="179">
        <f t="shared" si="32"/>
        <v>0</v>
      </c>
      <c r="AZ61" s="47">
        <v>0</v>
      </c>
      <c r="BA61" s="179">
        <f t="shared" si="33"/>
        <v>0</v>
      </c>
      <c r="BB61" s="47">
        <v>0</v>
      </c>
      <c r="BC61" s="179">
        <f t="shared" si="34"/>
        <v>0</v>
      </c>
      <c r="BD61" s="47">
        <v>0</v>
      </c>
      <c r="BE61" s="179">
        <f t="shared" si="35"/>
        <v>0</v>
      </c>
      <c r="BF61" s="47">
        <v>0</v>
      </c>
      <c r="BG61" s="179">
        <f t="shared" si="36"/>
        <v>0</v>
      </c>
      <c r="BH61" s="47">
        <v>0</v>
      </c>
      <c r="BI61" s="179">
        <f t="shared" si="37"/>
        <v>0</v>
      </c>
      <c r="BJ61" s="47">
        <f t="shared" si="88"/>
        <v>0</v>
      </c>
      <c r="BK61" s="117">
        <f t="shared" si="88"/>
        <v>0</v>
      </c>
      <c r="BL61" s="293" t="s">
        <v>468</v>
      </c>
      <c r="BN61" s="113"/>
      <c r="BO61" s="113"/>
      <c r="BP61" s="113"/>
      <c r="BQ61" s="113"/>
      <c r="BR61" s="113">
        <f t="shared" si="93"/>
        <v>0</v>
      </c>
      <c r="BS61" s="113"/>
      <c r="BT61" s="113"/>
      <c r="BU61" s="124">
        <f t="shared" si="94"/>
        <v>0</v>
      </c>
      <c r="BV61" s="179">
        <f t="shared" si="0"/>
        <v>0</v>
      </c>
    </row>
    <row r="62" spans="1:74" ht="31.5" x14ac:dyDescent="0.25">
      <c r="A62" s="1023"/>
      <c r="B62" s="38"/>
      <c r="C62" s="38" t="s">
        <v>345</v>
      </c>
      <c r="D62" s="38" t="s">
        <v>73</v>
      </c>
      <c r="E62" s="365">
        <f>0.3*100000</f>
        <v>30000</v>
      </c>
      <c r="F62" s="47">
        <f t="shared" si="76"/>
        <v>0</v>
      </c>
      <c r="G62" s="85">
        <f t="shared" si="77"/>
        <v>0</v>
      </c>
      <c r="H62" s="85">
        <f t="shared" si="78"/>
        <v>0</v>
      </c>
      <c r="I62" s="85">
        <f t="shared" si="79"/>
        <v>0</v>
      </c>
      <c r="J62" s="85">
        <f t="shared" si="80"/>
        <v>0</v>
      </c>
      <c r="K62" s="85">
        <f t="shared" si="81"/>
        <v>0</v>
      </c>
      <c r="L62" s="85">
        <f t="shared" si="82"/>
        <v>0</v>
      </c>
      <c r="M62" s="85">
        <f t="shared" si="83"/>
        <v>0</v>
      </c>
      <c r="N62" s="85">
        <f t="shared" si="84"/>
        <v>0</v>
      </c>
      <c r="O62" s="85">
        <f t="shared" si="85"/>
        <v>0</v>
      </c>
      <c r="P62" s="85">
        <f t="shared" si="86"/>
        <v>0</v>
      </c>
      <c r="Q62" s="85">
        <f t="shared" si="87"/>
        <v>0</v>
      </c>
      <c r="R62" s="47"/>
      <c r="S62" s="47"/>
      <c r="T62" s="47"/>
      <c r="U62" s="47"/>
      <c r="V62" s="366">
        <f t="shared" si="89"/>
        <v>0</v>
      </c>
      <c r="W62" s="366">
        <f t="shared" si="90"/>
        <v>0</v>
      </c>
      <c r="X62" s="366">
        <f t="shared" si="91"/>
        <v>0</v>
      </c>
      <c r="Y62" s="366">
        <f t="shared" si="92"/>
        <v>0</v>
      </c>
      <c r="Z62" s="47">
        <v>0</v>
      </c>
      <c r="AA62" s="179">
        <f t="shared" si="20"/>
        <v>0</v>
      </c>
      <c r="AB62" s="47">
        <v>0</v>
      </c>
      <c r="AC62" s="179">
        <f t="shared" si="21"/>
        <v>0</v>
      </c>
      <c r="AD62" s="47">
        <v>0</v>
      </c>
      <c r="AE62" s="179">
        <f t="shared" si="22"/>
        <v>0</v>
      </c>
      <c r="AF62" s="47">
        <v>0</v>
      </c>
      <c r="AG62" s="179">
        <f t="shared" si="23"/>
        <v>0</v>
      </c>
      <c r="AH62" s="47">
        <v>0</v>
      </c>
      <c r="AI62" s="179">
        <f t="shared" si="24"/>
        <v>0</v>
      </c>
      <c r="AJ62" s="47">
        <v>0</v>
      </c>
      <c r="AK62" s="179">
        <f t="shared" si="25"/>
        <v>0</v>
      </c>
      <c r="AL62" s="47">
        <v>0</v>
      </c>
      <c r="AM62" s="179">
        <f t="shared" si="26"/>
        <v>0</v>
      </c>
      <c r="AN62" s="47">
        <v>0</v>
      </c>
      <c r="AO62" s="179">
        <f t="shared" si="27"/>
        <v>0</v>
      </c>
      <c r="AP62" s="47">
        <v>0</v>
      </c>
      <c r="AQ62" s="179">
        <f t="shared" si="28"/>
        <v>0</v>
      </c>
      <c r="AR62" s="47">
        <v>0</v>
      </c>
      <c r="AS62" s="179">
        <f t="shared" si="29"/>
        <v>0</v>
      </c>
      <c r="AT62" s="47">
        <v>0</v>
      </c>
      <c r="AU62" s="179">
        <f t="shared" si="30"/>
        <v>0</v>
      </c>
      <c r="AV62" s="47">
        <v>0</v>
      </c>
      <c r="AW62" s="179">
        <f t="shared" si="31"/>
        <v>0</v>
      </c>
      <c r="AX62" s="47">
        <v>0</v>
      </c>
      <c r="AY62" s="179">
        <f t="shared" si="32"/>
        <v>0</v>
      </c>
      <c r="AZ62" s="47">
        <v>0</v>
      </c>
      <c r="BA62" s="179">
        <f t="shared" si="33"/>
        <v>0</v>
      </c>
      <c r="BB62" s="47">
        <v>0</v>
      </c>
      <c r="BC62" s="179">
        <f t="shared" si="34"/>
        <v>0</v>
      </c>
      <c r="BD62" s="47">
        <v>0</v>
      </c>
      <c r="BE62" s="179">
        <f t="shared" si="35"/>
        <v>0</v>
      </c>
      <c r="BF62" s="47">
        <v>0</v>
      </c>
      <c r="BG62" s="179">
        <f t="shared" si="36"/>
        <v>0</v>
      </c>
      <c r="BH62" s="47">
        <v>0</v>
      </c>
      <c r="BI62" s="179">
        <f t="shared" si="37"/>
        <v>0</v>
      </c>
      <c r="BJ62" s="47">
        <f t="shared" si="88"/>
        <v>0</v>
      </c>
      <c r="BK62" s="117">
        <f t="shared" si="88"/>
        <v>0</v>
      </c>
      <c r="BL62" s="293" t="s">
        <v>468</v>
      </c>
      <c r="BN62" s="113"/>
      <c r="BO62" s="113"/>
      <c r="BP62" s="113"/>
      <c r="BQ62" s="113"/>
      <c r="BR62" s="113">
        <f t="shared" si="93"/>
        <v>0</v>
      </c>
      <c r="BS62" s="113"/>
      <c r="BT62" s="113"/>
      <c r="BU62" s="124">
        <f t="shared" si="94"/>
        <v>0</v>
      </c>
      <c r="BV62" s="179">
        <f t="shared" si="0"/>
        <v>0</v>
      </c>
    </row>
    <row r="63" spans="1:74" ht="31.5" x14ac:dyDescent="0.25">
      <c r="A63" s="1023"/>
      <c r="B63" s="38"/>
      <c r="C63" s="38" t="s">
        <v>346</v>
      </c>
      <c r="D63" s="38" t="s">
        <v>73</v>
      </c>
      <c r="E63" s="365">
        <f>0.3*100000</f>
        <v>30000</v>
      </c>
      <c r="F63" s="47">
        <f t="shared" si="76"/>
        <v>0</v>
      </c>
      <c r="G63" s="85">
        <f t="shared" si="77"/>
        <v>0</v>
      </c>
      <c r="H63" s="85">
        <f t="shared" si="78"/>
        <v>0</v>
      </c>
      <c r="I63" s="85">
        <f t="shared" si="79"/>
        <v>0</v>
      </c>
      <c r="J63" s="85">
        <f t="shared" si="80"/>
        <v>0</v>
      </c>
      <c r="K63" s="85">
        <f t="shared" si="81"/>
        <v>0</v>
      </c>
      <c r="L63" s="85">
        <f t="shared" si="82"/>
        <v>0</v>
      </c>
      <c r="M63" s="85">
        <f t="shared" si="83"/>
        <v>0</v>
      </c>
      <c r="N63" s="85">
        <f t="shared" si="84"/>
        <v>0</v>
      </c>
      <c r="O63" s="85">
        <f t="shared" si="85"/>
        <v>0</v>
      </c>
      <c r="P63" s="85">
        <f t="shared" si="86"/>
        <v>0</v>
      </c>
      <c r="Q63" s="85">
        <f t="shared" si="87"/>
        <v>0</v>
      </c>
      <c r="R63" s="47"/>
      <c r="S63" s="47"/>
      <c r="T63" s="47"/>
      <c r="U63" s="47"/>
      <c r="V63" s="366">
        <f t="shared" si="89"/>
        <v>0</v>
      </c>
      <c r="W63" s="366">
        <f t="shared" si="90"/>
        <v>0</v>
      </c>
      <c r="X63" s="366">
        <f t="shared" si="91"/>
        <v>0</v>
      </c>
      <c r="Y63" s="366">
        <f t="shared" si="92"/>
        <v>0</v>
      </c>
      <c r="Z63" s="47">
        <v>0</v>
      </c>
      <c r="AA63" s="179">
        <f t="shared" si="20"/>
        <v>0</v>
      </c>
      <c r="AB63" s="47">
        <v>0</v>
      </c>
      <c r="AC63" s="179">
        <f t="shared" si="21"/>
        <v>0</v>
      </c>
      <c r="AD63" s="47">
        <v>0</v>
      </c>
      <c r="AE63" s="179">
        <f t="shared" si="22"/>
        <v>0</v>
      </c>
      <c r="AF63" s="47">
        <v>0</v>
      </c>
      <c r="AG63" s="179">
        <f t="shared" si="23"/>
        <v>0</v>
      </c>
      <c r="AH63" s="47">
        <v>0</v>
      </c>
      <c r="AI63" s="179">
        <f t="shared" si="24"/>
        <v>0</v>
      </c>
      <c r="AJ63" s="47">
        <v>0</v>
      </c>
      <c r="AK63" s="179">
        <f t="shared" si="25"/>
        <v>0</v>
      </c>
      <c r="AL63" s="47">
        <v>0</v>
      </c>
      <c r="AM63" s="179">
        <f t="shared" si="26"/>
        <v>0</v>
      </c>
      <c r="AN63" s="47">
        <v>0</v>
      </c>
      <c r="AO63" s="179">
        <f t="shared" si="27"/>
        <v>0</v>
      </c>
      <c r="AP63" s="47">
        <v>0</v>
      </c>
      <c r="AQ63" s="179">
        <f t="shared" si="28"/>
        <v>0</v>
      </c>
      <c r="AR63" s="47">
        <v>0</v>
      </c>
      <c r="AS63" s="179">
        <f t="shared" si="29"/>
        <v>0</v>
      </c>
      <c r="AT63" s="47">
        <v>0</v>
      </c>
      <c r="AU63" s="179">
        <f t="shared" si="30"/>
        <v>0</v>
      </c>
      <c r="AV63" s="47">
        <v>0</v>
      </c>
      <c r="AW63" s="179">
        <f t="shared" si="31"/>
        <v>0</v>
      </c>
      <c r="AX63" s="47">
        <v>0</v>
      </c>
      <c r="AY63" s="179">
        <f t="shared" si="32"/>
        <v>0</v>
      </c>
      <c r="AZ63" s="47">
        <v>0</v>
      </c>
      <c r="BA63" s="179">
        <f t="shared" si="33"/>
        <v>0</v>
      </c>
      <c r="BB63" s="47">
        <v>0</v>
      </c>
      <c r="BC63" s="179">
        <f t="shared" si="34"/>
        <v>0</v>
      </c>
      <c r="BD63" s="47">
        <v>0</v>
      </c>
      <c r="BE63" s="179">
        <f t="shared" si="35"/>
        <v>0</v>
      </c>
      <c r="BF63" s="47">
        <v>0</v>
      </c>
      <c r="BG63" s="179">
        <f t="shared" si="36"/>
        <v>0</v>
      </c>
      <c r="BH63" s="47">
        <v>0</v>
      </c>
      <c r="BI63" s="179">
        <f t="shared" si="37"/>
        <v>0</v>
      </c>
      <c r="BJ63" s="47">
        <f t="shared" si="88"/>
        <v>0</v>
      </c>
      <c r="BK63" s="117">
        <f t="shared" si="88"/>
        <v>0</v>
      </c>
      <c r="BL63" s="293" t="s">
        <v>468</v>
      </c>
      <c r="BN63" s="113"/>
      <c r="BO63" s="113"/>
      <c r="BP63" s="113"/>
      <c r="BQ63" s="113"/>
      <c r="BR63" s="113">
        <f t="shared" si="93"/>
        <v>0</v>
      </c>
      <c r="BS63" s="113"/>
      <c r="BT63" s="113"/>
      <c r="BU63" s="124">
        <f t="shared" si="94"/>
        <v>0</v>
      </c>
      <c r="BV63" s="179">
        <f t="shared" si="0"/>
        <v>0</v>
      </c>
    </row>
    <row r="64" spans="1:74" ht="31.5" x14ac:dyDescent="0.25">
      <c r="A64" s="1023"/>
      <c r="B64" s="38"/>
      <c r="C64" s="38" t="s">
        <v>347</v>
      </c>
      <c r="D64" s="38" t="s">
        <v>73</v>
      </c>
      <c r="E64" s="365">
        <f>0.3*100000</f>
        <v>30000</v>
      </c>
      <c r="F64" s="47">
        <f t="shared" si="76"/>
        <v>0</v>
      </c>
      <c r="G64" s="85">
        <f t="shared" si="77"/>
        <v>0</v>
      </c>
      <c r="H64" s="85">
        <f t="shared" si="78"/>
        <v>0</v>
      </c>
      <c r="I64" s="85">
        <f t="shared" si="79"/>
        <v>0</v>
      </c>
      <c r="J64" s="85">
        <f t="shared" si="80"/>
        <v>0</v>
      </c>
      <c r="K64" s="85">
        <f t="shared" si="81"/>
        <v>0</v>
      </c>
      <c r="L64" s="85">
        <f t="shared" si="82"/>
        <v>0</v>
      </c>
      <c r="M64" s="85">
        <f t="shared" si="83"/>
        <v>0</v>
      </c>
      <c r="N64" s="85">
        <f t="shared" si="84"/>
        <v>0</v>
      </c>
      <c r="O64" s="85">
        <f t="shared" si="85"/>
        <v>0</v>
      </c>
      <c r="P64" s="85">
        <f t="shared" si="86"/>
        <v>0</v>
      </c>
      <c r="Q64" s="85">
        <f t="shared" si="87"/>
        <v>0</v>
      </c>
      <c r="R64" s="47"/>
      <c r="S64" s="47"/>
      <c r="T64" s="47"/>
      <c r="U64" s="47"/>
      <c r="V64" s="366">
        <f t="shared" si="89"/>
        <v>0</v>
      </c>
      <c r="W64" s="366">
        <f t="shared" si="90"/>
        <v>0</v>
      </c>
      <c r="X64" s="366">
        <f t="shared" si="91"/>
        <v>0</v>
      </c>
      <c r="Y64" s="366">
        <f t="shared" si="92"/>
        <v>0</v>
      </c>
      <c r="Z64" s="47">
        <v>0</v>
      </c>
      <c r="AA64" s="179">
        <f t="shared" si="20"/>
        <v>0</v>
      </c>
      <c r="AB64" s="47">
        <v>0</v>
      </c>
      <c r="AC64" s="179">
        <f t="shared" si="21"/>
        <v>0</v>
      </c>
      <c r="AD64" s="47">
        <v>0</v>
      </c>
      <c r="AE64" s="179">
        <f t="shared" si="22"/>
        <v>0</v>
      </c>
      <c r="AF64" s="47">
        <v>0</v>
      </c>
      <c r="AG64" s="179">
        <f t="shared" si="23"/>
        <v>0</v>
      </c>
      <c r="AH64" s="47">
        <v>0</v>
      </c>
      <c r="AI64" s="179">
        <f t="shared" si="24"/>
        <v>0</v>
      </c>
      <c r="AJ64" s="47">
        <v>0</v>
      </c>
      <c r="AK64" s="179">
        <f t="shared" si="25"/>
        <v>0</v>
      </c>
      <c r="AL64" s="47">
        <v>0</v>
      </c>
      <c r="AM64" s="179">
        <f t="shared" si="26"/>
        <v>0</v>
      </c>
      <c r="AN64" s="47">
        <v>0</v>
      </c>
      <c r="AO64" s="179">
        <f t="shared" si="27"/>
        <v>0</v>
      </c>
      <c r="AP64" s="47">
        <v>0</v>
      </c>
      <c r="AQ64" s="179">
        <f t="shared" si="28"/>
        <v>0</v>
      </c>
      <c r="AR64" s="47">
        <v>0</v>
      </c>
      <c r="AS64" s="179">
        <f t="shared" si="29"/>
        <v>0</v>
      </c>
      <c r="AT64" s="47">
        <v>0</v>
      </c>
      <c r="AU64" s="179">
        <f t="shared" si="30"/>
        <v>0</v>
      </c>
      <c r="AV64" s="47">
        <v>0</v>
      </c>
      <c r="AW64" s="179">
        <f t="shared" si="31"/>
        <v>0</v>
      </c>
      <c r="AX64" s="47">
        <v>0</v>
      </c>
      <c r="AY64" s="179">
        <f t="shared" si="32"/>
        <v>0</v>
      </c>
      <c r="AZ64" s="47">
        <v>0</v>
      </c>
      <c r="BA64" s="179">
        <f t="shared" si="33"/>
        <v>0</v>
      </c>
      <c r="BB64" s="47">
        <v>0</v>
      </c>
      <c r="BC64" s="179">
        <f t="shared" si="34"/>
        <v>0</v>
      </c>
      <c r="BD64" s="47">
        <v>0</v>
      </c>
      <c r="BE64" s="179">
        <f t="shared" si="35"/>
        <v>0</v>
      </c>
      <c r="BF64" s="47">
        <v>0</v>
      </c>
      <c r="BG64" s="179">
        <f t="shared" si="36"/>
        <v>0</v>
      </c>
      <c r="BH64" s="47">
        <v>0</v>
      </c>
      <c r="BI64" s="179">
        <f t="shared" si="37"/>
        <v>0</v>
      </c>
      <c r="BJ64" s="47">
        <f t="shared" si="88"/>
        <v>0</v>
      </c>
      <c r="BK64" s="117">
        <f t="shared" si="88"/>
        <v>0</v>
      </c>
      <c r="BL64" s="293" t="s">
        <v>468</v>
      </c>
      <c r="BN64" s="113"/>
      <c r="BO64" s="113"/>
      <c r="BP64" s="113"/>
      <c r="BQ64" s="113"/>
      <c r="BR64" s="113">
        <f t="shared" si="93"/>
        <v>0</v>
      </c>
      <c r="BS64" s="113"/>
      <c r="BT64" s="113"/>
      <c r="BU64" s="124">
        <f t="shared" si="94"/>
        <v>0</v>
      </c>
      <c r="BV64" s="179">
        <f t="shared" si="0"/>
        <v>0</v>
      </c>
    </row>
    <row r="65" spans="1:74" ht="31.5" x14ac:dyDescent="0.25">
      <c r="A65" s="1023"/>
      <c r="B65" s="38"/>
      <c r="C65" s="38" t="s">
        <v>348</v>
      </c>
      <c r="D65" s="38" t="s">
        <v>73</v>
      </c>
      <c r="E65" s="365">
        <f>0.2*100000</f>
        <v>20000</v>
      </c>
      <c r="F65" s="47">
        <f t="shared" si="76"/>
        <v>0</v>
      </c>
      <c r="G65" s="85">
        <f t="shared" si="77"/>
        <v>0</v>
      </c>
      <c r="H65" s="85">
        <f t="shared" si="78"/>
        <v>0</v>
      </c>
      <c r="I65" s="85">
        <f t="shared" si="79"/>
        <v>0</v>
      </c>
      <c r="J65" s="85">
        <f t="shared" si="80"/>
        <v>0</v>
      </c>
      <c r="K65" s="85">
        <f t="shared" si="81"/>
        <v>0</v>
      </c>
      <c r="L65" s="85">
        <f t="shared" si="82"/>
        <v>0</v>
      </c>
      <c r="M65" s="85">
        <f t="shared" si="83"/>
        <v>0</v>
      </c>
      <c r="N65" s="85">
        <f t="shared" si="84"/>
        <v>0</v>
      </c>
      <c r="O65" s="85">
        <f t="shared" si="85"/>
        <v>0</v>
      </c>
      <c r="P65" s="85">
        <f t="shared" si="86"/>
        <v>0</v>
      </c>
      <c r="Q65" s="85">
        <f t="shared" si="87"/>
        <v>0</v>
      </c>
      <c r="R65" s="47"/>
      <c r="S65" s="47"/>
      <c r="T65" s="47"/>
      <c r="U65" s="47"/>
      <c r="V65" s="366">
        <f t="shared" si="89"/>
        <v>0</v>
      </c>
      <c r="W65" s="366">
        <f t="shared" si="90"/>
        <v>0</v>
      </c>
      <c r="X65" s="366">
        <f t="shared" si="91"/>
        <v>0</v>
      </c>
      <c r="Y65" s="366">
        <f t="shared" si="92"/>
        <v>0</v>
      </c>
      <c r="Z65" s="47">
        <v>0</v>
      </c>
      <c r="AA65" s="179">
        <f t="shared" si="20"/>
        <v>0</v>
      </c>
      <c r="AB65" s="47">
        <v>0</v>
      </c>
      <c r="AC65" s="179">
        <f t="shared" si="21"/>
        <v>0</v>
      </c>
      <c r="AD65" s="47">
        <v>0</v>
      </c>
      <c r="AE65" s="179">
        <f t="shared" si="22"/>
        <v>0</v>
      </c>
      <c r="AF65" s="47">
        <v>0</v>
      </c>
      <c r="AG65" s="179">
        <f t="shared" si="23"/>
        <v>0</v>
      </c>
      <c r="AH65" s="47">
        <v>0</v>
      </c>
      <c r="AI65" s="179">
        <f t="shared" si="24"/>
        <v>0</v>
      </c>
      <c r="AJ65" s="47">
        <v>0</v>
      </c>
      <c r="AK65" s="179">
        <f t="shared" si="25"/>
        <v>0</v>
      </c>
      <c r="AL65" s="47">
        <v>0</v>
      </c>
      <c r="AM65" s="179">
        <f t="shared" si="26"/>
        <v>0</v>
      </c>
      <c r="AN65" s="47">
        <v>0</v>
      </c>
      <c r="AO65" s="179">
        <f t="shared" si="27"/>
        <v>0</v>
      </c>
      <c r="AP65" s="47">
        <v>0</v>
      </c>
      <c r="AQ65" s="179">
        <f t="shared" si="28"/>
        <v>0</v>
      </c>
      <c r="AR65" s="47">
        <v>0</v>
      </c>
      <c r="AS65" s="179">
        <f t="shared" si="29"/>
        <v>0</v>
      </c>
      <c r="AT65" s="47">
        <v>0</v>
      </c>
      <c r="AU65" s="179">
        <f t="shared" si="30"/>
        <v>0</v>
      </c>
      <c r="AV65" s="47">
        <v>0</v>
      </c>
      <c r="AW65" s="179">
        <f t="shared" si="31"/>
        <v>0</v>
      </c>
      <c r="AX65" s="47">
        <v>0</v>
      </c>
      <c r="AY65" s="179">
        <f t="shared" si="32"/>
        <v>0</v>
      </c>
      <c r="AZ65" s="47">
        <v>0</v>
      </c>
      <c r="BA65" s="179">
        <f t="shared" si="33"/>
        <v>0</v>
      </c>
      <c r="BB65" s="47">
        <v>0</v>
      </c>
      <c r="BC65" s="179">
        <f t="shared" si="34"/>
        <v>0</v>
      </c>
      <c r="BD65" s="47">
        <v>0</v>
      </c>
      <c r="BE65" s="179">
        <f t="shared" si="35"/>
        <v>0</v>
      </c>
      <c r="BF65" s="47">
        <v>0</v>
      </c>
      <c r="BG65" s="179">
        <f t="shared" si="36"/>
        <v>0</v>
      </c>
      <c r="BH65" s="47">
        <v>0</v>
      </c>
      <c r="BI65" s="179">
        <f t="shared" si="37"/>
        <v>0</v>
      </c>
      <c r="BJ65" s="47">
        <f t="shared" si="88"/>
        <v>0</v>
      </c>
      <c r="BK65" s="117">
        <f t="shared" si="88"/>
        <v>0</v>
      </c>
      <c r="BL65" s="47"/>
      <c r="BN65" s="113"/>
      <c r="BO65" s="113"/>
      <c r="BP65" s="113"/>
      <c r="BQ65" s="113"/>
      <c r="BR65" s="113">
        <f t="shared" si="93"/>
        <v>0</v>
      </c>
      <c r="BS65" s="113"/>
      <c r="BT65" s="113"/>
      <c r="BU65" s="124">
        <f t="shared" si="94"/>
        <v>0</v>
      </c>
      <c r="BV65" s="179">
        <f t="shared" si="0"/>
        <v>0</v>
      </c>
    </row>
    <row r="66" spans="1:74" x14ac:dyDescent="0.25">
      <c r="A66" s="1023"/>
      <c r="B66" s="259"/>
      <c r="C66" s="389" t="s">
        <v>349</v>
      </c>
      <c r="D66" s="382"/>
      <c r="E66" s="382"/>
      <c r="F66" s="382">
        <f>SUM(F58:F65)</f>
        <v>0</v>
      </c>
      <c r="G66" s="383">
        <f>SUM(G58:G65)</f>
        <v>0</v>
      </c>
      <c r="H66" s="383">
        <f t="shared" ref="H66:Q66" si="95">SUM(H58:H65)</f>
        <v>0</v>
      </c>
      <c r="I66" s="383">
        <f t="shared" si="95"/>
        <v>0</v>
      </c>
      <c r="J66" s="383">
        <f t="shared" si="95"/>
        <v>0</v>
      </c>
      <c r="K66" s="383">
        <f t="shared" si="95"/>
        <v>0</v>
      </c>
      <c r="L66" s="383">
        <f t="shared" si="95"/>
        <v>0</v>
      </c>
      <c r="M66" s="383">
        <f t="shared" si="95"/>
        <v>0</v>
      </c>
      <c r="N66" s="383">
        <f t="shared" si="95"/>
        <v>0</v>
      </c>
      <c r="O66" s="383">
        <f t="shared" si="95"/>
        <v>0</v>
      </c>
      <c r="P66" s="383">
        <f t="shared" si="95"/>
        <v>0</v>
      </c>
      <c r="Q66" s="383">
        <f t="shared" si="95"/>
        <v>0</v>
      </c>
      <c r="R66" s="382">
        <f t="shared" ref="R66:BK66" si="96">SUM(R58:R65)</f>
        <v>0</v>
      </c>
      <c r="S66" s="382">
        <f t="shared" si="96"/>
        <v>0</v>
      </c>
      <c r="T66" s="382">
        <f t="shared" si="96"/>
        <v>0</v>
      </c>
      <c r="U66" s="382">
        <f t="shared" si="96"/>
        <v>0</v>
      </c>
      <c r="V66" s="383">
        <f t="shared" si="96"/>
        <v>0</v>
      </c>
      <c r="W66" s="383">
        <f t="shared" si="96"/>
        <v>0</v>
      </c>
      <c r="X66" s="383">
        <f t="shared" si="96"/>
        <v>0</v>
      </c>
      <c r="Y66" s="383">
        <f t="shared" si="96"/>
        <v>0</v>
      </c>
      <c r="Z66" s="382">
        <f t="shared" si="96"/>
        <v>0</v>
      </c>
      <c r="AA66" s="179">
        <f t="shared" si="20"/>
        <v>0</v>
      </c>
      <c r="AB66" s="382">
        <f t="shared" si="96"/>
        <v>0</v>
      </c>
      <c r="AC66" s="179">
        <f t="shared" si="21"/>
        <v>0</v>
      </c>
      <c r="AD66" s="382">
        <f t="shared" si="96"/>
        <v>0</v>
      </c>
      <c r="AE66" s="179">
        <f t="shared" si="22"/>
        <v>0</v>
      </c>
      <c r="AF66" s="382">
        <f t="shared" si="96"/>
        <v>0</v>
      </c>
      <c r="AG66" s="179">
        <f t="shared" si="23"/>
        <v>0</v>
      </c>
      <c r="AH66" s="382">
        <f t="shared" si="96"/>
        <v>0</v>
      </c>
      <c r="AI66" s="179">
        <f t="shared" si="24"/>
        <v>0</v>
      </c>
      <c r="AJ66" s="382">
        <f t="shared" si="96"/>
        <v>0</v>
      </c>
      <c r="AK66" s="179">
        <f t="shared" si="25"/>
        <v>0</v>
      </c>
      <c r="AL66" s="382">
        <f t="shared" si="96"/>
        <v>0</v>
      </c>
      <c r="AM66" s="179">
        <f t="shared" si="26"/>
        <v>0</v>
      </c>
      <c r="AN66" s="382">
        <f t="shared" si="96"/>
        <v>0</v>
      </c>
      <c r="AO66" s="179">
        <f t="shared" si="27"/>
        <v>0</v>
      </c>
      <c r="AP66" s="382">
        <f t="shared" si="96"/>
        <v>0</v>
      </c>
      <c r="AQ66" s="179">
        <f t="shared" si="28"/>
        <v>0</v>
      </c>
      <c r="AR66" s="382">
        <f t="shared" si="96"/>
        <v>0</v>
      </c>
      <c r="AS66" s="179">
        <f t="shared" si="29"/>
        <v>0</v>
      </c>
      <c r="AT66" s="382">
        <f t="shared" si="96"/>
        <v>0</v>
      </c>
      <c r="AU66" s="179">
        <f t="shared" si="30"/>
        <v>0</v>
      </c>
      <c r="AV66" s="382">
        <f t="shared" si="96"/>
        <v>0</v>
      </c>
      <c r="AW66" s="179">
        <f t="shared" si="31"/>
        <v>0</v>
      </c>
      <c r="AX66" s="382">
        <f t="shared" si="96"/>
        <v>0</v>
      </c>
      <c r="AY66" s="179">
        <f t="shared" si="32"/>
        <v>0</v>
      </c>
      <c r="AZ66" s="382">
        <f t="shared" si="96"/>
        <v>0</v>
      </c>
      <c r="BA66" s="179">
        <f t="shared" si="33"/>
        <v>0</v>
      </c>
      <c r="BB66" s="382">
        <f t="shared" si="96"/>
        <v>0</v>
      </c>
      <c r="BC66" s="179">
        <f t="shared" si="34"/>
        <v>0</v>
      </c>
      <c r="BD66" s="382">
        <f t="shared" si="96"/>
        <v>0</v>
      </c>
      <c r="BE66" s="179">
        <f t="shared" si="35"/>
        <v>0</v>
      </c>
      <c r="BF66" s="382">
        <f t="shared" si="96"/>
        <v>0</v>
      </c>
      <c r="BG66" s="179">
        <f t="shared" si="36"/>
        <v>0</v>
      </c>
      <c r="BH66" s="382">
        <f t="shared" si="96"/>
        <v>0</v>
      </c>
      <c r="BI66" s="179">
        <f t="shared" si="37"/>
        <v>0</v>
      </c>
      <c r="BJ66" s="382">
        <f t="shared" si="96"/>
        <v>0</v>
      </c>
      <c r="BK66" s="384">
        <f t="shared" si="96"/>
        <v>0</v>
      </c>
      <c r="BL66" s="47"/>
      <c r="BN66" s="384">
        <f t="shared" ref="BN66:BU66" si="97">SUM(BN58:BN65)</f>
        <v>0</v>
      </c>
      <c r="BO66" s="384">
        <f t="shared" si="97"/>
        <v>0</v>
      </c>
      <c r="BP66" s="384">
        <f t="shared" si="97"/>
        <v>0</v>
      </c>
      <c r="BQ66" s="384">
        <f t="shared" si="97"/>
        <v>0</v>
      </c>
      <c r="BR66" s="384">
        <f t="shared" si="97"/>
        <v>0</v>
      </c>
      <c r="BS66" s="384">
        <f t="shared" si="97"/>
        <v>0</v>
      </c>
      <c r="BT66" s="384">
        <f t="shared" si="97"/>
        <v>0</v>
      </c>
      <c r="BU66" s="384">
        <f t="shared" si="97"/>
        <v>0</v>
      </c>
      <c r="BV66" s="385">
        <f t="shared" si="0"/>
        <v>0</v>
      </c>
    </row>
    <row r="67" spans="1:74" ht="31.5" x14ac:dyDescent="0.25">
      <c r="A67" s="1023"/>
      <c r="B67" s="38">
        <v>41420</v>
      </c>
      <c r="C67" s="381" t="s">
        <v>350</v>
      </c>
      <c r="D67" s="38"/>
      <c r="E67" s="365"/>
      <c r="F67" s="38"/>
      <c r="G67" s="85"/>
      <c r="H67" s="85"/>
      <c r="I67" s="85"/>
      <c r="J67" s="85"/>
      <c r="K67" s="85"/>
      <c r="L67" s="85"/>
      <c r="M67" s="85"/>
      <c r="N67" s="85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179">
        <f t="shared" si="20"/>
        <v>0</v>
      </c>
      <c r="AB67" s="47"/>
      <c r="AC67" s="179">
        <f t="shared" si="21"/>
        <v>0</v>
      </c>
      <c r="AD67" s="47"/>
      <c r="AE67" s="179">
        <f t="shared" si="22"/>
        <v>0</v>
      </c>
      <c r="AF67" s="47"/>
      <c r="AG67" s="179">
        <f t="shared" si="23"/>
        <v>0</v>
      </c>
      <c r="AH67" s="47"/>
      <c r="AI67" s="179">
        <f t="shared" si="24"/>
        <v>0</v>
      </c>
      <c r="AJ67" s="47"/>
      <c r="AK67" s="179">
        <f t="shared" si="25"/>
        <v>0</v>
      </c>
      <c r="AL67" s="47"/>
      <c r="AM67" s="179">
        <f t="shared" si="26"/>
        <v>0</v>
      </c>
      <c r="AN67" s="47"/>
      <c r="AO67" s="179">
        <f t="shared" si="27"/>
        <v>0</v>
      </c>
      <c r="AP67" s="47"/>
      <c r="AQ67" s="179">
        <f t="shared" si="28"/>
        <v>0</v>
      </c>
      <c r="AR67" s="47"/>
      <c r="AS67" s="179">
        <f t="shared" si="29"/>
        <v>0</v>
      </c>
      <c r="AT67" s="47"/>
      <c r="AU67" s="179">
        <f t="shared" si="30"/>
        <v>0</v>
      </c>
      <c r="AV67" s="47"/>
      <c r="AW67" s="179">
        <f t="shared" si="31"/>
        <v>0</v>
      </c>
      <c r="AX67" s="47"/>
      <c r="AY67" s="179">
        <f t="shared" si="32"/>
        <v>0</v>
      </c>
      <c r="AZ67" s="47"/>
      <c r="BA67" s="179">
        <f t="shared" si="33"/>
        <v>0</v>
      </c>
      <c r="BB67" s="47"/>
      <c r="BC67" s="179">
        <f t="shared" si="34"/>
        <v>0</v>
      </c>
      <c r="BD67" s="47"/>
      <c r="BE67" s="179">
        <f t="shared" si="35"/>
        <v>0</v>
      </c>
      <c r="BF67" s="47"/>
      <c r="BG67" s="179">
        <f t="shared" si="36"/>
        <v>0</v>
      </c>
      <c r="BH67" s="47"/>
      <c r="BI67" s="179">
        <f t="shared" si="37"/>
        <v>0</v>
      </c>
      <c r="BJ67" s="47"/>
      <c r="BK67" s="123"/>
      <c r="BL67" s="47"/>
      <c r="BN67" s="113"/>
      <c r="BO67" s="113"/>
      <c r="BP67" s="113"/>
      <c r="BQ67" s="113"/>
      <c r="BR67" s="113"/>
      <c r="BS67" s="113"/>
      <c r="BT67" s="113"/>
      <c r="BU67" s="124"/>
      <c r="BV67" s="179">
        <f t="shared" si="0"/>
        <v>0</v>
      </c>
    </row>
    <row r="68" spans="1:74" ht="31.5" x14ac:dyDescent="0.25">
      <c r="A68" s="1023"/>
      <c r="B68" s="38"/>
      <c r="C68" s="401" t="s">
        <v>351</v>
      </c>
      <c r="D68" s="38" t="s">
        <v>73</v>
      </c>
      <c r="E68" s="365">
        <f>0.25*100000</f>
        <v>25000</v>
      </c>
      <c r="F68" s="47">
        <f>BJ68</f>
        <v>0</v>
      </c>
      <c r="G68" s="85">
        <f>E68*F68</f>
        <v>0</v>
      </c>
      <c r="H68" s="85">
        <f>G68*0.377</f>
        <v>0</v>
      </c>
      <c r="I68" s="85">
        <f>G68*0.398</f>
        <v>0</v>
      </c>
      <c r="J68" s="85">
        <f>G68*0</f>
        <v>0</v>
      </c>
      <c r="K68" s="85">
        <f>G68*0</f>
        <v>0</v>
      </c>
      <c r="L68" s="85">
        <f>G68*0.083</f>
        <v>0</v>
      </c>
      <c r="M68" s="85">
        <f>G68*0</f>
        <v>0</v>
      </c>
      <c r="N68" s="85">
        <f>G68*0</f>
        <v>0</v>
      </c>
      <c r="O68" s="85">
        <f>G68*0</f>
        <v>0</v>
      </c>
      <c r="P68" s="85">
        <f>G68*0</f>
        <v>0</v>
      </c>
      <c r="Q68" s="85">
        <f>G68*0.142</f>
        <v>0</v>
      </c>
      <c r="R68" s="47"/>
      <c r="S68" s="47"/>
      <c r="T68" s="47"/>
      <c r="U68" s="47"/>
      <c r="V68" s="366">
        <f>R68*E68</f>
        <v>0</v>
      </c>
      <c r="W68" s="366">
        <f>S68*E68</f>
        <v>0</v>
      </c>
      <c r="X68" s="366">
        <f>T68*E68</f>
        <v>0</v>
      </c>
      <c r="Y68" s="366">
        <f>U68*E68</f>
        <v>0</v>
      </c>
      <c r="Z68" s="47">
        <v>0</v>
      </c>
      <c r="AA68" s="179">
        <f t="shared" si="20"/>
        <v>0</v>
      </c>
      <c r="AB68" s="47">
        <v>0</v>
      </c>
      <c r="AC68" s="179">
        <f t="shared" si="21"/>
        <v>0</v>
      </c>
      <c r="AD68" s="47">
        <v>0</v>
      </c>
      <c r="AE68" s="179">
        <f t="shared" si="22"/>
        <v>0</v>
      </c>
      <c r="AF68" s="47">
        <v>0</v>
      </c>
      <c r="AG68" s="179">
        <f t="shared" si="23"/>
        <v>0</v>
      </c>
      <c r="AH68" s="47">
        <v>0</v>
      </c>
      <c r="AI68" s="179">
        <f t="shared" si="24"/>
        <v>0</v>
      </c>
      <c r="AJ68" s="47">
        <v>0</v>
      </c>
      <c r="AK68" s="179">
        <f t="shared" si="25"/>
        <v>0</v>
      </c>
      <c r="AL68" s="47">
        <v>0</v>
      </c>
      <c r="AM68" s="179">
        <f t="shared" si="26"/>
        <v>0</v>
      </c>
      <c r="AN68" s="47">
        <v>0</v>
      </c>
      <c r="AO68" s="179">
        <f t="shared" si="27"/>
        <v>0</v>
      </c>
      <c r="AP68" s="47">
        <v>0</v>
      </c>
      <c r="AQ68" s="179">
        <f t="shared" si="28"/>
        <v>0</v>
      </c>
      <c r="AR68" s="47">
        <v>0</v>
      </c>
      <c r="AS68" s="179">
        <f t="shared" si="29"/>
        <v>0</v>
      </c>
      <c r="AT68" s="47">
        <v>0</v>
      </c>
      <c r="AU68" s="179">
        <f t="shared" si="30"/>
        <v>0</v>
      </c>
      <c r="AV68" s="47">
        <v>0</v>
      </c>
      <c r="AW68" s="179">
        <f t="shared" si="31"/>
        <v>0</v>
      </c>
      <c r="AX68" s="47">
        <v>0</v>
      </c>
      <c r="AY68" s="179">
        <f t="shared" si="32"/>
        <v>0</v>
      </c>
      <c r="AZ68" s="47">
        <v>0</v>
      </c>
      <c r="BA68" s="179">
        <f t="shared" si="33"/>
        <v>0</v>
      </c>
      <c r="BB68" s="47">
        <v>0</v>
      </c>
      <c r="BC68" s="179">
        <f t="shared" si="34"/>
        <v>0</v>
      </c>
      <c r="BD68" s="47">
        <v>0</v>
      </c>
      <c r="BE68" s="179">
        <f t="shared" si="35"/>
        <v>0</v>
      </c>
      <c r="BF68" s="47">
        <v>0</v>
      </c>
      <c r="BG68" s="179">
        <f t="shared" si="36"/>
        <v>0</v>
      </c>
      <c r="BH68" s="47">
        <v>0</v>
      </c>
      <c r="BI68" s="179">
        <f t="shared" si="37"/>
        <v>0</v>
      </c>
      <c r="BJ68" s="47">
        <f t="shared" ref="BJ68:BK70" si="98">Z68+AB68+AD68+AF68+AH68+AJ68+AL68+AN68+AP68+AR68+AT68+AV68+AX68+AZ68+BB68+BD68+BF68+BH68</f>
        <v>0</v>
      </c>
      <c r="BK68" s="117">
        <f t="shared" si="98"/>
        <v>0</v>
      </c>
      <c r="BL68" s="47"/>
      <c r="BN68" s="113"/>
      <c r="BO68" s="113"/>
      <c r="BP68" s="113"/>
      <c r="BQ68" s="113"/>
      <c r="BR68" s="113">
        <f>BN68+BO68+BP68+BQ68</f>
        <v>0</v>
      </c>
      <c r="BS68" s="113"/>
      <c r="BT68" s="113"/>
      <c r="BU68" s="124">
        <f>BS68+BT68</f>
        <v>0</v>
      </c>
      <c r="BV68" s="179">
        <f t="shared" si="0"/>
        <v>0</v>
      </c>
    </row>
    <row r="69" spans="1:74" ht="31.5" x14ac:dyDescent="0.25">
      <c r="A69" s="1023"/>
      <c r="B69" s="38"/>
      <c r="C69" s="38" t="s">
        <v>352</v>
      </c>
      <c r="D69" s="38" t="s">
        <v>73</v>
      </c>
      <c r="E69" s="365">
        <f>0.1*100000</f>
        <v>10000</v>
      </c>
      <c r="F69" s="47">
        <f>BJ69</f>
        <v>0</v>
      </c>
      <c r="G69" s="85">
        <f>E69*F69</f>
        <v>0</v>
      </c>
      <c r="H69" s="85">
        <f>G69*0.5</f>
        <v>0</v>
      </c>
      <c r="I69" s="85">
        <f>G69*0.5</f>
        <v>0</v>
      </c>
      <c r="J69" s="85">
        <f>G69*0</f>
        <v>0</v>
      </c>
      <c r="K69" s="85">
        <f>G69*0</f>
        <v>0</v>
      </c>
      <c r="L69" s="85">
        <f>G69*0</f>
        <v>0</v>
      </c>
      <c r="M69" s="85">
        <f>G69*0</f>
        <v>0</v>
      </c>
      <c r="N69" s="85">
        <f>G69*0</f>
        <v>0</v>
      </c>
      <c r="O69" s="85">
        <f>G69*0</f>
        <v>0</v>
      </c>
      <c r="P69" s="85">
        <f>G69*0</f>
        <v>0</v>
      </c>
      <c r="Q69" s="85">
        <f>G69*0.142</f>
        <v>0</v>
      </c>
      <c r="R69" s="47"/>
      <c r="S69" s="47"/>
      <c r="T69" s="47"/>
      <c r="U69" s="47"/>
      <c r="V69" s="366">
        <f>R69*E69</f>
        <v>0</v>
      </c>
      <c r="W69" s="366">
        <f>S69*E69</f>
        <v>0</v>
      </c>
      <c r="X69" s="366">
        <f>T69*E69</f>
        <v>0</v>
      </c>
      <c r="Y69" s="366">
        <f>U69*E69</f>
        <v>0</v>
      </c>
      <c r="Z69" s="47">
        <v>0</v>
      </c>
      <c r="AA69" s="179">
        <f t="shared" si="20"/>
        <v>0</v>
      </c>
      <c r="AB69" s="47">
        <v>0</v>
      </c>
      <c r="AC69" s="179">
        <f t="shared" si="21"/>
        <v>0</v>
      </c>
      <c r="AD69" s="47">
        <v>0</v>
      </c>
      <c r="AE69" s="179">
        <f t="shared" si="22"/>
        <v>0</v>
      </c>
      <c r="AF69" s="47">
        <v>0</v>
      </c>
      <c r="AG69" s="179">
        <f t="shared" si="23"/>
        <v>0</v>
      </c>
      <c r="AH69" s="47">
        <v>0</v>
      </c>
      <c r="AI69" s="179">
        <f t="shared" si="24"/>
        <v>0</v>
      </c>
      <c r="AJ69" s="47">
        <v>0</v>
      </c>
      <c r="AK69" s="179">
        <f t="shared" si="25"/>
        <v>0</v>
      </c>
      <c r="AL69" s="47">
        <v>0</v>
      </c>
      <c r="AM69" s="179">
        <f t="shared" si="26"/>
        <v>0</v>
      </c>
      <c r="AN69" s="47">
        <v>0</v>
      </c>
      <c r="AO69" s="179">
        <f t="shared" si="27"/>
        <v>0</v>
      </c>
      <c r="AP69" s="47">
        <v>0</v>
      </c>
      <c r="AQ69" s="179">
        <f t="shared" si="28"/>
        <v>0</v>
      </c>
      <c r="AR69" s="47">
        <v>0</v>
      </c>
      <c r="AS69" s="179">
        <f t="shared" si="29"/>
        <v>0</v>
      </c>
      <c r="AT69" s="47">
        <v>0</v>
      </c>
      <c r="AU69" s="179">
        <f t="shared" si="30"/>
        <v>0</v>
      </c>
      <c r="AV69" s="47">
        <v>0</v>
      </c>
      <c r="AW69" s="179">
        <f t="shared" si="31"/>
        <v>0</v>
      </c>
      <c r="AX69" s="47">
        <v>0</v>
      </c>
      <c r="AY69" s="179">
        <f t="shared" si="32"/>
        <v>0</v>
      </c>
      <c r="AZ69" s="47">
        <v>0</v>
      </c>
      <c r="BA69" s="179">
        <f t="shared" si="33"/>
        <v>0</v>
      </c>
      <c r="BB69" s="47">
        <v>0</v>
      </c>
      <c r="BC69" s="179">
        <f t="shared" si="34"/>
        <v>0</v>
      </c>
      <c r="BD69" s="47">
        <v>0</v>
      </c>
      <c r="BE69" s="179">
        <f t="shared" si="35"/>
        <v>0</v>
      </c>
      <c r="BF69" s="47">
        <v>0</v>
      </c>
      <c r="BG69" s="179">
        <f t="shared" si="36"/>
        <v>0</v>
      </c>
      <c r="BH69" s="47">
        <v>0</v>
      </c>
      <c r="BI69" s="179">
        <f t="shared" si="37"/>
        <v>0</v>
      </c>
      <c r="BJ69" s="47">
        <f t="shared" si="98"/>
        <v>0</v>
      </c>
      <c r="BK69" s="117">
        <f t="shared" si="98"/>
        <v>0</v>
      </c>
      <c r="BL69" s="293" t="s">
        <v>497</v>
      </c>
      <c r="BN69" s="113"/>
      <c r="BO69" s="113"/>
      <c r="BP69" s="113"/>
      <c r="BQ69" s="113"/>
      <c r="BR69" s="113">
        <f>BN69+BO69+BP69+BQ69</f>
        <v>0</v>
      </c>
      <c r="BS69" s="113"/>
      <c r="BT69" s="113"/>
      <c r="BU69" s="124">
        <f>BS69+BT69</f>
        <v>0</v>
      </c>
      <c r="BV69" s="179">
        <f t="shared" si="0"/>
        <v>0</v>
      </c>
    </row>
    <row r="70" spans="1:74" ht="31.5" x14ac:dyDescent="0.25">
      <c r="A70" s="1023"/>
      <c r="B70" s="38"/>
      <c r="C70" s="38" t="s">
        <v>353</v>
      </c>
      <c r="D70" s="38" t="s">
        <v>73</v>
      </c>
      <c r="E70" s="365">
        <f>0.21*100000</f>
        <v>21000</v>
      </c>
      <c r="F70" s="47">
        <f>BJ70</f>
        <v>0</v>
      </c>
      <c r="G70" s="85">
        <f>E70*F70</f>
        <v>0</v>
      </c>
      <c r="H70" s="85">
        <f>G70*0.377</f>
        <v>0</v>
      </c>
      <c r="I70" s="85">
        <f>G70*0.398</f>
        <v>0</v>
      </c>
      <c r="J70" s="85">
        <f>G70*0</f>
        <v>0</v>
      </c>
      <c r="K70" s="85">
        <f>G70*0</f>
        <v>0</v>
      </c>
      <c r="L70" s="85">
        <f>G70*0.083</f>
        <v>0</v>
      </c>
      <c r="M70" s="85">
        <f>G70*0</f>
        <v>0</v>
      </c>
      <c r="N70" s="85">
        <f>G70*0</f>
        <v>0</v>
      </c>
      <c r="O70" s="85">
        <f>G70*0</f>
        <v>0</v>
      </c>
      <c r="P70" s="85">
        <f>G70*0</f>
        <v>0</v>
      </c>
      <c r="Q70" s="85">
        <f>G70*0.142</f>
        <v>0</v>
      </c>
      <c r="R70" s="47"/>
      <c r="S70" s="47"/>
      <c r="T70" s="47"/>
      <c r="U70" s="47"/>
      <c r="V70" s="366">
        <f>R70*E70</f>
        <v>0</v>
      </c>
      <c r="W70" s="366">
        <f>S70*E70</f>
        <v>0</v>
      </c>
      <c r="X70" s="366">
        <f>T70*E70</f>
        <v>0</v>
      </c>
      <c r="Y70" s="366">
        <f>U70*E70</f>
        <v>0</v>
      </c>
      <c r="Z70" s="47">
        <v>0</v>
      </c>
      <c r="AA70" s="179">
        <f t="shared" si="20"/>
        <v>0</v>
      </c>
      <c r="AB70" s="47">
        <v>0</v>
      </c>
      <c r="AC70" s="179">
        <f t="shared" si="21"/>
        <v>0</v>
      </c>
      <c r="AD70" s="47">
        <v>0</v>
      </c>
      <c r="AE70" s="179">
        <f t="shared" si="22"/>
        <v>0</v>
      </c>
      <c r="AF70" s="47">
        <v>0</v>
      </c>
      <c r="AG70" s="179">
        <f t="shared" si="23"/>
        <v>0</v>
      </c>
      <c r="AH70" s="47">
        <v>0</v>
      </c>
      <c r="AI70" s="179">
        <f t="shared" si="24"/>
        <v>0</v>
      </c>
      <c r="AJ70" s="47">
        <v>0</v>
      </c>
      <c r="AK70" s="179">
        <f t="shared" si="25"/>
        <v>0</v>
      </c>
      <c r="AL70" s="47">
        <v>0</v>
      </c>
      <c r="AM70" s="179">
        <f t="shared" si="26"/>
        <v>0</v>
      </c>
      <c r="AN70" s="47">
        <v>0</v>
      </c>
      <c r="AO70" s="179">
        <f t="shared" si="27"/>
        <v>0</v>
      </c>
      <c r="AP70" s="47">
        <v>0</v>
      </c>
      <c r="AQ70" s="179">
        <f t="shared" si="28"/>
        <v>0</v>
      </c>
      <c r="AR70" s="47">
        <v>0</v>
      </c>
      <c r="AS70" s="179">
        <f t="shared" si="29"/>
        <v>0</v>
      </c>
      <c r="AT70" s="47">
        <v>0</v>
      </c>
      <c r="AU70" s="179">
        <f t="shared" si="30"/>
        <v>0</v>
      </c>
      <c r="AV70" s="47">
        <v>0</v>
      </c>
      <c r="AW70" s="179">
        <f t="shared" si="31"/>
        <v>0</v>
      </c>
      <c r="AX70" s="47">
        <v>0</v>
      </c>
      <c r="AY70" s="179">
        <f t="shared" si="32"/>
        <v>0</v>
      </c>
      <c r="AZ70" s="47">
        <v>0</v>
      </c>
      <c r="BA70" s="179">
        <f t="shared" si="33"/>
        <v>0</v>
      </c>
      <c r="BB70" s="47">
        <v>0</v>
      </c>
      <c r="BC70" s="179">
        <f t="shared" si="34"/>
        <v>0</v>
      </c>
      <c r="BD70" s="47">
        <v>0</v>
      </c>
      <c r="BE70" s="179">
        <f t="shared" si="35"/>
        <v>0</v>
      </c>
      <c r="BF70" s="47">
        <v>0</v>
      </c>
      <c r="BG70" s="179">
        <f t="shared" si="36"/>
        <v>0</v>
      </c>
      <c r="BH70" s="47">
        <v>0</v>
      </c>
      <c r="BI70" s="179">
        <f t="shared" si="37"/>
        <v>0</v>
      </c>
      <c r="BJ70" s="47">
        <f t="shared" si="98"/>
        <v>0</v>
      </c>
      <c r="BK70" s="117">
        <f t="shared" si="98"/>
        <v>0</v>
      </c>
      <c r="BL70" s="293" t="s">
        <v>468</v>
      </c>
      <c r="BN70" s="113"/>
      <c r="BO70" s="113"/>
      <c r="BP70" s="113"/>
      <c r="BQ70" s="113"/>
      <c r="BR70" s="113">
        <f>BN70+BO70+BP70+BQ70</f>
        <v>0</v>
      </c>
      <c r="BS70" s="113"/>
      <c r="BT70" s="113"/>
      <c r="BU70" s="124">
        <f>BS70+BT70</f>
        <v>0</v>
      </c>
      <c r="BV70" s="179">
        <f t="shared" si="0"/>
        <v>0</v>
      </c>
    </row>
    <row r="71" spans="1:74" x14ac:dyDescent="0.25">
      <c r="A71" s="1023"/>
      <c r="B71" s="259"/>
      <c r="C71" s="389" t="s">
        <v>354</v>
      </c>
      <c r="D71" s="382"/>
      <c r="E71" s="382"/>
      <c r="F71" s="382">
        <f>SUM(F68:F70)</f>
        <v>0</v>
      </c>
      <c r="G71" s="383">
        <f>SUM(G68:G70)</f>
        <v>0</v>
      </c>
      <c r="H71" s="383">
        <f t="shared" ref="H71:Q71" si="99">SUM(H68:H70)</f>
        <v>0</v>
      </c>
      <c r="I71" s="383">
        <f t="shared" si="99"/>
        <v>0</v>
      </c>
      <c r="J71" s="383">
        <f t="shared" si="99"/>
        <v>0</v>
      </c>
      <c r="K71" s="383">
        <f t="shared" si="99"/>
        <v>0</v>
      </c>
      <c r="L71" s="383">
        <f t="shared" si="99"/>
        <v>0</v>
      </c>
      <c r="M71" s="383">
        <f t="shared" si="99"/>
        <v>0</v>
      </c>
      <c r="N71" s="383">
        <f t="shared" si="99"/>
        <v>0</v>
      </c>
      <c r="O71" s="383">
        <f t="shared" si="99"/>
        <v>0</v>
      </c>
      <c r="P71" s="383">
        <f t="shared" si="99"/>
        <v>0</v>
      </c>
      <c r="Q71" s="383">
        <f t="shared" si="99"/>
        <v>0</v>
      </c>
      <c r="R71" s="382">
        <f t="shared" ref="R71:BK71" si="100">SUM(R68:R70)</f>
        <v>0</v>
      </c>
      <c r="S71" s="382">
        <f t="shared" si="100"/>
        <v>0</v>
      </c>
      <c r="T71" s="382">
        <f t="shared" si="100"/>
        <v>0</v>
      </c>
      <c r="U71" s="382">
        <f t="shared" si="100"/>
        <v>0</v>
      </c>
      <c r="V71" s="383">
        <f t="shared" si="100"/>
        <v>0</v>
      </c>
      <c r="W71" s="383">
        <f t="shared" si="100"/>
        <v>0</v>
      </c>
      <c r="X71" s="383">
        <f t="shared" si="100"/>
        <v>0</v>
      </c>
      <c r="Y71" s="383">
        <f t="shared" si="100"/>
        <v>0</v>
      </c>
      <c r="Z71" s="382">
        <f t="shared" si="100"/>
        <v>0</v>
      </c>
      <c r="AA71" s="382">
        <f t="shared" si="100"/>
        <v>0</v>
      </c>
      <c r="AB71" s="382">
        <f t="shared" si="100"/>
        <v>0</v>
      </c>
      <c r="AC71" s="382">
        <f t="shared" si="100"/>
        <v>0</v>
      </c>
      <c r="AD71" s="382">
        <f t="shared" si="100"/>
        <v>0</v>
      </c>
      <c r="AE71" s="382">
        <f t="shared" si="100"/>
        <v>0</v>
      </c>
      <c r="AF71" s="382">
        <f t="shared" si="100"/>
        <v>0</v>
      </c>
      <c r="AG71" s="382">
        <f t="shared" si="100"/>
        <v>0</v>
      </c>
      <c r="AH71" s="382">
        <f t="shared" si="100"/>
        <v>0</v>
      </c>
      <c r="AI71" s="382">
        <f t="shared" si="100"/>
        <v>0</v>
      </c>
      <c r="AJ71" s="382">
        <f t="shared" si="100"/>
        <v>0</v>
      </c>
      <c r="AK71" s="382">
        <f t="shared" si="100"/>
        <v>0</v>
      </c>
      <c r="AL71" s="382">
        <f t="shared" si="100"/>
        <v>0</v>
      </c>
      <c r="AM71" s="382">
        <f t="shared" si="100"/>
        <v>0</v>
      </c>
      <c r="AN71" s="382">
        <f t="shared" si="100"/>
        <v>0</v>
      </c>
      <c r="AO71" s="382">
        <f t="shared" si="100"/>
        <v>0</v>
      </c>
      <c r="AP71" s="382">
        <f t="shared" si="100"/>
        <v>0</v>
      </c>
      <c r="AQ71" s="382">
        <f t="shared" si="100"/>
        <v>0</v>
      </c>
      <c r="AR71" s="382">
        <f t="shared" si="100"/>
        <v>0</v>
      </c>
      <c r="AS71" s="382">
        <f t="shared" si="100"/>
        <v>0</v>
      </c>
      <c r="AT71" s="382">
        <f t="shared" si="100"/>
        <v>0</v>
      </c>
      <c r="AU71" s="382">
        <f t="shared" si="100"/>
        <v>0</v>
      </c>
      <c r="AV71" s="382">
        <f t="shared" si="100"/>
        <v>0</v>
      </c>
      <c r="AW71" s="382">
        <f t="shared" si="100"/>
        <v>0</v>
      </c>
      <c r="AX71" s="382">
        <f t="shared" si="100"/>
        <v>0</v>
      </c>
      <c r="AY71" s="382">
        <f t="shared" si="100"/>
        <v>0</v>
      </c>
      <c r="AZ71" s="382">
        <f t="shared" si="100"/>
        <v>0</v>
      </c>
      <c r="BA71" s="382">
        <f t="shared" si="100"/>
        <v>0</v>
      </c>
      <c r="BB71" s="382">
        <f t="shared" si="100"/>
        <v>0</v>
      </c>
      <c r="BC71" s="382">
        <f t="shared" si="100"/>
        <v>0</v>
      </c>
      <c r="BD71" s="382">
        <f t="shared" si="100"/>
        <v>0</v>
      </c>
      <c r="BE71" s="382">
        <f t="shared" si="100"/>
        <v>0</v>
      </c>
      <c r="BF71" s="382">
        <f t="shared" si="100"/>
        <v>0</v>
      </c>
      <c r="BG71" s="382">
        <f t="shared" si="100"/>
        <v>0</v>
      </c>
      <c r="BH71" s="382">
        <f t="shared" si="100"/>
        <v>0</v>
      </c>
      <c r="BI71" s="382">
        <f t="shared" si="100"/>
        <v>0</v>
      </c>
      <c r="BJ71" s="382">
        <f t="shared" si="100"/>
        <v>0</v>
      </c>
      <c r="BK71" s="384">
        <f t="shared" si="100"/>
        <v>0</v>
      </c>
      <c r="BL71" s="47"/>
      <c r="BN71" s="384">
        <f t="shared" ref="BN71:BU71" si="101">SUM(BN68:BN70)</f>
        <v>0</v>
      </c>
      <c r="BO71" s="384">
        <f t="shared" si="101"/>
        <v>0</v>
      </c>
      <c r="BP71" s="384">
        <f t="shared" si="101"/>
        <v>0</v>
      </c>
      <c r="BQ71" s="384">
        <f t="shared" si="101"/>
        <v>0</v>
      </c>
      <c r="BR71" s="384">
        <f t="shared" si="101"/>
        <v>0</v>
      </c>
      <c r="BS71" s="384">
        <f t="shared" si="101"/>
        <v>0</v>
      </c>
      <c r="BT71" s="384">
        <f t="shared" si="101"/>
        <v>0</v>
      </c>
      <c r="BU71" s="384">
        <f t="shared" si="101"/>
        <v>0</v>
      </c>
      <c r="BV71" s="385">
        <f t="shared" si="0"/>
        <v>0</v>
      </c>
    </row>
    <row r="72" spans="1:74" x14ac:dyDescent="0.25">
      <c r="A72" s="1023"/>
      <c r="B72" s="38">
        <v>41410</v>
      </c>
      <c r="C72" s="381" t="s">
        <v>355</v>
      </c>
      <c r="D72" s="38"/>
      <c r="E72" s="365"/>
      <c r="F72" s="38"/>
      <c r="G72" s="85"/>
      <c r="H72" s="85"/>
      <c r="I72" s="85"/>
      <c r="J72" s="85"/>
      <c r="K72" s="85"/>
      <c r="L72" s="85"/>
      <c r="M72" s="85"/>
      <c r="N72" s="85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179">
        <f t="shared" si="20"/>
        <v>0</v>
      </c>
      <c r="AB72" s="47"/>
      <c r="AC72" s="179">
        <f t="shared" si="21"/>
        <v>0</v>
      </c>
      <c r="AD72" s="47"/>
      <c r="AE72" s="179">
        <f t="shared" si="22"/>
        <v>0</v>
      </c>
      <c r="AF72" s="47"/>
      <c r="AG72" s="179">
        <f t="shared" si="23"/>
        <v>0</v>
      </c>
      <c r="AH72" s="47"/>
      <c r="AI72" s="179">
        <f t="shared" si="24"/>
        <v>0</v>
      </c>
      <c r="AJ72" s="47"/>
      <c r="AK72" s="179">
        <f t="shared" si="25"/>
        <v>0</v>
      </c>
      <c r="AL72" s="47"/>
      <c r="AM72" s="179">
        <f t="shared" si="26"/>
        <v>0</v>
      </c>
      <c r="AN72" s="47"/>
      <c r="AO72" s="179">
        <f t="shared" si="27"/>
        <v>0</v>
      </c>
      <c r="AP72" s="47"/>
      <c r="AQ72" s="179">
        <f t="shared" si="28"/>
        <v>0</v>
      </c>
      <c r="AR72" s="47"/>
      <c r="AS72" s="179">
        <f t="shared" si="29"/>
        <v>0</v>
      </c>
      <c r="AT72" s="47"/>
      <c r="AU72" s="179">
        <f t="shared" si="30"/>
        <v>0</v>
      </c>
      <c r="AV72" s="47"/>
      <c r="AW72" s="179">
        <f t="shared" si="31"/>
        <v>0</v>
      </c>
      <c r="AX72" s="47"/>
      <c r="AY72" s="179">
        <f t="shared" si="32"/>
        <v>0</v>
      </c>
      <c r="AZ72" s="47"/>
      <c r="BA72" s="179">
        <f t="shared" si="33"/>
        <v>0</v>
      </c>
      <c r="BB72" s="47"/>
      <c r="BC72" s="179">
        <f t="shared" si="34"/>
        <v>0</v>
      </c>
      <c r="BD72" s="47"/>
      <c r="BE72" s="179">
        <f t="shared" si="35"/>
        <v>0</v>
      </c>
      <c r="BF72" s="47"/>
      <c r="BG72" s="179">
        <f t="shared" si="36"/>
        <v>0</v>
      </c>
      <c r="BH72" s="47"/>
      <c r="BI72" s="179">
        <f t="shared" si="37"/>
        <v>0</v>
      </c>
      <c r="BJ72" s="47"/>
      <c r="BK72" s="123"/>
      <c r="BL72" s="47"/>
      <c r="BN72" s="113"/>
      <c r="BO72" s="113"/>
      <c r="BP72" s="113"/>
      <c r="BQ72" s="113"/>
      <c r="BR72" s="113"/>
      <c r="BS72" s="113"/>
      <c r="BT72" s="113"/>
      <c r="BU72" s="124"/>
      <c r="BV72" s="179">
        <f t="shared" si="0"/>
        <v>0</v>
      </c>
    </row>
    <row r="73" spans="1:74" s="163" customFormat="1" ht="31.5" x14ac:dyDescent="0.25">
      <c r="A73" s="1023"/>
      <c r="B73" s="140"/>
      <c r="C73" s="140" t="s">
        <v>356</v>
      </c>
      <c r="D73" s="140" t="s">
        <v>73</v>
      </c>
      <c r="E73" s="141">
        <v>40000</v>
      </c>
      <c r="F73" s="47">
        <f>BJ73</f>
        <v>204</v>
      </c>
      <c r="G73" s="133">
        <f>E73*F73</f>
        <v>8160000</v>
      </c>
      <c r="H73" s="133">
        <f>G73*0.5</f>
        <v>4080000</v>
      </c>
      <c r="I73" s="133">
        <f>G73*0.5</f>
        <v>4080000</v>
      </c>
      <c r="J73" s="133">
        <f>G73*0</f>
        <v>0</v>
      </c>
      <c r="K73" s="133">
        <f>G73*0</f>
        <v>0</v>
      </c>
      <c r="L73" s="133">
        <f>G73*0</f>
        <v>0</v>
      </c>
      <c r="M73" s="133">
        <f>G73*0</f>
        <v>0</v>
      </c>
      <c r="N73" s="133">
        <f>G73*0</f>
        <v>0</v>
      </c>
      <c r="O73" s="133">
        <f>G73*0</f>
        <v>0</v>
      </c>
      <c r="P73" s="133">
        <f>G73*0</f>
        <v>0</v>
      </c>
      <c r="Q73" s="133">
        <f>G73*0</f>
        <v>0</v>
      </c>
      <c r="R73" s="135">
        <f>F73*0.25</f>
        <v>51</v>
      </c>
      <c r="S73" s="135">
        <f>F73*0.25</f>
        <v>51</v>
      </c>
      <c r="T73" s="135">
        <f>F73*0.25</f>
        <v>51</v>
      </c>
      <c r="U73" s="135">
        <f>F73*0.25</f>
        <v>51</v>
      </c>
      <c r="V73" s="366">
        <f>R73*E73</f>
        <v>2040000</v>
      </c>
      <c r="W73" s="366">
        <f>S73*E73</f>
        <v>2040000</v>
      </c>
      <c r="X73" s="366">
        <f>T73*E73</f>
        <v>2040000</v>
      </c>
      <c r="Y73" s="366">
        <f>U73*E73</f>
        <v>2040000</v>
      </c>
      <c r="Z73" s="135">
        <v>12</v>
      </c>
      <c r="AA73" s="179">
        <f t="shared" si="20"/>
        <v>480000</v>
      </c>
      <c r="AB73" s="135">
        <v>12</v>
      </c>
      <c r="AC73" s="179">
        <f t="shared" si="21"/>
        <v>480000</v>
      </c>
      <c r="AD73" s="135">
        <v>12</v>
      </c>
      <c r="AE73" s="179">
        <f t="shared" si="22"/>
        <v>480000</v>
      </c>
      <c r="AF73" s="135">
        <v>12</v>
      </c>
      <c r="AG73" s="179">
        <f t="shared" si="23"/>
        <v>480000</v>
      </c>
      <c r="AH73" s="135">
        <v>12</v>
      </c>
      <c r="AI73" s="179">
        <f t="shared" si="24"/>
        <v>480000</v>
      </c>
      <c r="AJ73" s="135">
        <v>12</v>
      </c>
      <c r="AK73" s="179">
        <f t="shared" si="25"/>
        <v>480000</v>
      </c>
      <c r="AL73" s="135">
        <v>12</v>
      </c>
      <c r="AM73" s="179">
        <f t="shared" si="26"/>
        <v>480000</v>
      </c>
      <c r="AN73" s="135">
        <v>12</v>
      </c>
      <c r="AO73" s="179">
        <f t="shared" si="27"/>
        <v>480000</v>
      </c>
      <c r="AP73" s="135">
        <v>12</v>
      </c>
      <c r="AQ73" s="179">
        <f t="shared" si="28"/>
        <v>480000</v>
      </c>
      <c r="AR73" s="135">
        <v>12</v>
      </c>
      <c r="AS73" s="179">
        <f t="shared" si="29"/>
        <v>480000</v>
      </c>
      <c r="AT73" s="135">
        <v>12</v>
      </c>
      <c r="AU73" s="179">
        <f t="shared" si="30"/>
        <v>480000</v>
      </c>
      <c r="AV73" s="135">
        <v>12</v>
      </c>
      <c r="AW73" s="179">
        <f t="shared" si="31"/>
        <v>480000</v>
      </c>
      <c r="AX73" s="135">
        <v>12</v>
      </c>
      <c r="AY73" s="179">
        <f t="shared" si="32"/>
        <v>480000</v>
      </c>
      <c r="AZ73" s="135">
        <v>12</v>
      </c>
      <c r="BA73" s="179">
        <f t="shared" si="33"/>
        <v>480000</v>
      </c>
      <c r="BB73" s="135">
        <v>12</v>
      </c>
      <c r="BC73" s="179">
        <f t="shared" si="34"/>
        <v>480000</v>
      </c>
      <c r="BD73" s="135">
        <v>12</v>
      </c>
      <c r="BE73" s="179">
        <f t="shared" si="35"/>
        <v>480000</v>
      </c>
      <c r="BF73" s="135">
        <v>12</v>
      </c>
      <c r="BG73" s="179">
        <f t="shared" si="36"/>
        <v>480000</v>
      </c>
      <c r="BH73" s="135">
        <v>0</v>
      </c>
      <c r="BI73" s="179">
        <f t="shared" si="37"/>
        <v>0</v>
      </c>
      <c r="BJ73" s="135">
        <f t="shared" ref="BJ73:BK77" si="102">Z73+AB73+AD73+AF73+AH73+AJ73+AL73+AN73+AP73+AR73+AT73+AV73+AX73+AZ73+BB73+BD73+BF73+BH73</f>
        <v>204</v>
      </c>
      <c r="BK73" s="322">
        <f t="shared" si="102"/>
        <v>8160000</v>
      </c>
      <c r="BL73" s="294" t="s">
        <v>470</v>
      </c>
      <c r="BN73" s="176"/>
      <c r="BO73" s="176"/>
      <c r="BP73" s="176"/>
      <c r="BQ73" s="176"/>
      <c r="BR73" s="176">
        <f>BN73+BO73+BP73+BQ73</f>
        <v>0</v>
      </c>
      <c r="BS73" s="176">
        <f>G73</f>
        <v>8160000</v>
      </c>
      <c r="BT73" s="176"/>
      <c r="BU73" s="164">
        <f>BS73+BT73</f>
        <v>8160000</v>
      </c>
      <c r="BV73" s="189">
        <f t="shared" si="0"/>
        <v>8160000</v>
      </c>
    </row>
    <row r="74" spans="1:74" s="163" customFormat="1" ht="31.5" x14ac:dyDescent="0.25">
      <c r="A74" s="1023"/>
      <c r="B74" s="169"/>
      <c r="C74" s="169" t="s">
        <v>357</v>
      </c>
      <c r="D74" s="169" t="s">
        <v>73</v>
      </c>
      <c r="E74" s="178">
        <v>30000</v>
      </c>
      <c r="F74" s="47">
        <f>BJ74</f>
        <v>197</v>
      </c>
      <c r="G74" s="133">
        <f>E74*F74</f>
        <v>5910000</v>
      </c>
      <c r="H74" s="133">
        <f>G74*0.5</f>
        <v>2955000</v>
      </c>
      <c r="I74" s="133">
        <f>G74*0.5</f>
        <v>2955000</v>
      </c>
      <c r="J74" s="133">
        <f>G74*0</f>
        <v>0</v>
      </c>
      <c r="K74" s="133">
        <f>G74*0</f>
        <v>0</v>
      </c>
      <c r="L74" s="133">
        <f>G74*0</f>
        <v>0</v>
      </c>
      <c r="M74" s="133">
        <f>G74*0</f>
        <v>0</v>
      </c>
      <c r="N74" s="133">
        <f>G74*0</f>
        <v>0</v>
      </c>
      <c r="O74" s="133">
        <f>G74*0</f>
        <v>0</v>
      </c>
      <c r="P74" s="133">
        <f>G74*0</f>
        <v>0</v>
      </c>
      <c r="Q74" s="133">
        <f>G74*0</f>
        <v>0</v>
      </c>
      <c r="R74" s="135">
        <f>F74*0.25</f>
        <v>49.25</v>
      </c>
      <c r="S74" s="135">
        <f>F74*0.25</f>
        <v>49.25</v>
      </c>
      <c r="T74" s="135">
        <f>F74*0.25</f>
        <v>49.25</v>
      </c>
      <c r="U74" s="135">
        <f>F74*0.25</f>
        <v>49.25</v>
      </c>
      <c r="V74" s="366">
        <f>R74*E74</f>
        <v>1477500</v>
      </c>
      <c r="W74" s="366">
        <f>S74*E74</f>
        <v>1477500</v>
      </c>
      <c r="X74" s="366">
        <f>T74*E74</f>
        <v>1477500</v>
      </c>
      <c r="Y74" s="366">
        <f>U74*E74</f>
        <v>1477500</v>
      </c>
      <c r="Z74" s="135">
        <v>12</v>
      </c>
      <c r="AA74" s="179">
        <f t="shared" si="20"/>
        <v>360000</v>
      </c>
      <c r="AB74" s="135">
        <v>12</v>
      </c>
      <c r="AC74" s="179">
        <f t="shared" si="21"/>
        <v>360000</v>
      </c>
      <c r="AD74" s="135">
        <v>12</v>
      </c>
      <c r="AE74" s="179">
        <f t="shared" si="22"/>
        <v>360000</v>
      </c>
      <c r="AF74" s="135">
        <v>12</v>
      </c>
      <c r="AG74" s="179">
        <f t="shared" si="23"/>
        <v>360000</v>
      </c>
      <c r="AH74" s="135">
        <v>9</v>
      </c>
      <c r="AI74" s="179">
        <f t="shared" si="24"/>
        <v>270000</v>
      </c>
      <c r="AJ74" s="135">
        <v>12</v>
      </c>
      <c r="AK74" s="179">
        <f t="shared" si="25"/>
        <v>360000</v>
      </c>
      <c r="AL74" s="135">
        <v>12</v>
      </c>
      <c r="AM74" s="179">
        <f t="shared" si="26"/>
        <v>360000</v>
      </c>
      <c r="AN74" s="135">
        <v>12</v>
      </c>
      <c r="AO74" s="179">
        <f t="shared" si="27"/>
        <v>360000</v>
      </c>
      <c r="AP74" s="135">
        <v>12</v>
      </c>
      <c r="AQ74" s="179">
        <f t="shared" si="28"/>
        <v>360000</v>
      </c>
      <c r="AR74" s="135">
        <v>12</v>
      </c>
      <c r="AS74" s="179">
        <f t="shared" si="29"/>
        <v>360000</v>
      </c>
      <c r="AT74" s="135">
        <v>12</v>
      </c>
      <c r="AU74" s="179">
        <f t="shared" si="30"/>
        <v>360000</v>
      </c>
      <c r="AV74" s="135">
        <v>12</v>
      </c>
      <c r="AW74" s="179">
        <f t="shared" si="31"/>
        <v>360000</v>
      </c>
      <c r="AX74" s="135">
        <v>10</v>
      </c>
      <c r="AY74" s="179">
        <f t="shared" si="32"/>
        <v>300000</v>
      </c>
      <c r="AZ74" s="135">
        <v>12</v>
      </c>
      <c r="BA74" s="179">
        <f t="shared" si="33"/>
        <v>360000</v>
      </c>
      <c r="BB74" s="135">
        <v>10</v>
      </c>
      <c r="BC74" s="179">
        <f t="shared" si="34"/>
        <v>300000</v>
      </c>
      <c r="BD74" s="135">
        <v>12</v>
      </c>
      <c r="BE74" s="179">
        <f t="shared" si="35"/>
        <v>360000</v>
      </c>
      <c r="BF74" s="135">
        <v>12</v>
      </c>
      <c r="BG74" s="179">
        <f t="shared" si="36"/>
        <v>360000</v>
      </c>
      <c r="BH74" s="135">
        <v>0</v>
      </c>
      <c r="BI74" s="179">
        <f t="shared" si="37"/>
        <v>0</v>
      </c>
      <c r="BJ74" s="135">
        <f t="shared" si="102"/>
        <v>197</v>
      </c>
      <c r="BK74" s="322">
        <f t="shared" si="102"/>
        <v>5910000</v>
      </c>
      <c r="BL74" s="294" t="s">
        <v>470</v>
      </c>
      <c r="BN74" s="176"/>
      <c r="BO74" s="176"/>
      <c r="BP74" s="176"/>
      <c r="BQ74" s="176"/>
      <c r="BR74" s="176">
        <f>BN74+BO74+BP74+BQ74</f>
        <v>0</v>
      </c>
      <c r="BS74" s="176">
        <f>G74</f>
        <v>5910000</v>
      </c>
      <c r="BT74" s="176"/>
      <c r="BU74" s="164">
        <f>BS74+BT74</f>
        <v>5910000</v>
      </c>
      <c r="BV74" s="189">
        <f t="shared" si="0"/>
        <v>5910000</v>
      </c>
    </row>
    <row r="75" spans="1:74" ht="31.5" x14ac:dyDescent="0.25">
      <c r="A75" s="1023"/>
      <c r="B75" s="38"/>
      <c r="C75" s="38" t="s">
        <v>358</v>
      </c>
      <c r="D75" s="38" t="s">
        <v>73</v>
      </c>
      <c r="E75" s="365">
        <v>22000</v>
      </c>
      <c r="F75" s="47">
        <f>BJ75</f>
        <v>204</v>
      </c>
      <c r="G75" s="85">
        <f>E75*F75</f>
        <v>4488000</v>
      </c>
      <c r="H75" s="85">
        <f>G75*0.5</f>
        <v>2244000</v>
      </c>
      <c r="I75" s="85">
        <f>G75*0.5</f>
        <v>2244000</v>
      </c>
      <c r="J75" s="85">
        <f>G75*0</f>
        <v>0</v>
      </c>
      <c r="K75" s="85">
        <f>G75*0</f>
        <v>0</v>
      </c>
      <c r="L75" s="85">
        <f>G75*0</f>
        <v>0</v>
      </c>
      <c r="M75" s="85">
        <f>G75*0</f>
        <v>0</v>
      </c>
      <c r="N75" s="85">
        <f>G75*0</f>
        <v>0</v>
      </c>
      <c r="O75" s="85">
        <f>G75*0</f>
        <v>0</v>
      </c>
      <c r="P75" s="85">
        <f>G75*0</f>
        <v>0</v>
      </c>
      <c r="Q75" s="85">
        <f>G75*0</f>
        <v>0</v>
      </c>
      <c r="R75" s="47">
        <f>F75*0.25</f>
        <v>51</v>
      </c>
      <c r="S75" s="47">
        <f>F75*0.25</f>
        <v>51</v>
      </c>
      <c r="T75" s="47">
        <f>F75*0.25</f>
        <v>51</v>
      </c>
      <c r="U75" s="47">
        <f>F75*0.25</f>
        <v>51</v>
      </c>
      <c r="V75" s="366">
        <f>R75*E75</f>
        <v>1122000</v>
      </c>
      <c r="W75" s="366">
        <f>S75*E75</f>
        <v>1122000</v>
      </c>
      <c r="X75" s="366">
        <f>T75*E75</f>
        <v>1122000</v>
      </c>
      <c r="Y75" s="366">
        <f>U75*E75</f>
        <v>1122000</v>
      </c>
      <c r="Z75" s="47">
        <v>0</v>
      </c>
      <c r="AA75" s="179">
        <f t="shared" si="20"/>
        <v>0</v>
      </c>
      <c r="AB75" s="47">
        <v>0</v>
      </c>
      <c r="AC75" s="179">
        <f t="shared" si="21"/>
        <v>0</v>
      </c>
      <c r="AD75" s="47">
        <v>0</v>
      </c>
      <c r="AE75" s="179">
        <f t="shared" si="22"/>
        <v>0</v>
      </c>
      <c r="AF75" s="47">
        <v>0</v>
      </c>
      <c r="AG75" s="179">
        <f t="shared" si="23"/>
        <v>0</v>
      </c>
      <c r="AH75" s="47">
        <v>0</v>
      </c>
      <c r="AI75" s="179">
        <f t="shared" si="24"/>
        <v>0</v>
      </c>
      <c r="AJ75" s="47">
        <v>0</v>
      </c>
      <c r="AK75" s="179">
        <f t="shared" si="25"/>
        <v>0</v>
      </c>
      <c r="AL75" s="47">
        <v>0</v>
      </c>
      <c r="AM75" s="179">
        <f t="shared" si="26"/>
        <v>0</v>
      </c>
      <c r="AN75" s="47">
        <v>0</v>
      </c>
      <c r="AO75" s="179">
        <f t="shared" si="27"/>
        <v>0</v>
      </c>
      <c r="AP75" s="47">
        <v>0</v>
      </c>
      <c r="AQ75" s="179">
        <f t="shared" si="28"/>
        <v>0</v>
      </c>
      <c r="AR75" s="47">
        <v>0</v>
      </c>
      <c r="AS75" s="179">
        <f t="shared" si="29"/>
        <v>0</v>
      </c>
      <c r="AT75" s="47">
        <v>0</v>
      </c>
      <c r="AU75" s="179">
        <f t="shared" si="30"/>
        <v>0</v>
      </c>
      <c r="AV75" s="47">
        <v>0</v>
      </c>
      <c r="AW75" s="179">
        <f t="shared" si="31"/>
        <v>0</v>
      </c>
      <c r="AX75" s="47">
        <v>0</v>
      </c>
      <c r="AY75" s="179">
        <f t="shared" si="32"/>
        <v>0</v>
      </c>
      <c r="AZ75" s="47">
        <v>0</v>
      </c>
      <c r="BA75" s="179">
        <f t="shared" si="33"/>
        <v>0</v>
      </c>
      <c r="BB75" s="47">
        <v>0</v>
      </c>
      <c r="BC75" s="179">
        <f t="shared" si="34"/>
        <v>0</v>
      </c>
      <c r="BD75" s="47">
        <v>0</v>
      </c>
      <c r="BE75" s="179">
        <f t="shared" si="35"/>
        <v>0</v>
      </c>
      <c r="BF75" s="47">
        <v>0</v>
      </c>
      <c r="BG75" s="179">
        <f t="shared" si="36"/>
        <v>0</v>
      </c>
      <c r="BH75" s="47">
        <f>17*1*12</f>
        <v>204</v>
      </c>
      <c r="BI75" s="179">
        <f t="shared" si="37"/>
        <v>4488000</v>
      </c>
      <c r="BJ75" s="47">
        <f t="shared" si="102"/>
        <v>204</v>
      </c>
      <c r="BK75" s="117">
        <f t="shared" si="102"/>
        <v>4488000</v>
      </c>
      <c r="BL75" s="294" t="s">
        <v>470</v>
      </c>
      <c r="BN75" s="113"/>
      <c r="BO75" s="113"/>
      <c r="BP75" s="113"/>
      <c r="BQ75" s="113"/>
      <c r="BR75" s="113">
        <f>BN75+BO75+BP75+BQ75</f>
        <v>0</v>
      </c>
      <c r="BS75" s="113">
        <f>G75</f>
        <v>4488000</v>
      </c>
      <c r="BT75" s="113"/>
      <c r="BU75" s="124">
        <f>BS75+BT75</f>
        <v>4488000</v>
      </c>
      <c r="BV75" s="179">
        <f t="shared" si="0"/>
        <v>4488000</v>
      </c>
    </row>
    <row r="76" spans="1:74" ht="31.5" x14ac:dyDescent="0.25">
      <c r="A76" s="1023"/>
      <c r="B76" s="38"/>
      <c r="C76" s="38" t="s">
        <v>359</v>
      </c>
      <c r="D76" s="38" t="s">
        <v>73</v>
      </c>
      <c r="E76" s="365">
        <v>27600</v>
      </c>
      <c r="F76" s="47">
        <f>BJ76</f>
        <v>204</v>
      </c>
      <c r="G76" s="85">
        <f>E76*F76</f>
        <v>5630400</v>
      </c>
      <c r="H76" s="85">
        <f>G76*0.5</f>
        <v>2815200</v>
      </c>
      <c r="I76" s="85">
        <f>G76*0.5</f>
        <v>2815200</v>
      </c>
      <c r="J76" s="85">
        <f>G76*0</f>
        <v>0</v>
      </c>
      <c r="K76" s="85">
        <f>G76*0</f>
        <v>0</v>
      </c>
      <c r="L76" s="85">
        <f>G76*0</f>
        <v>0</v>
      </c>
      <c r="M76" s="85">
        <f>G76*0</f>
        <v>0</v>
      </c>
      <c r="N76" s="85">
        <f>G76*0</f>
        <v>0</v>
      </c>
      <c r="O76" s="85">
        <f>G76*0</f>
        <v>0</v>
      </c>
      <c r="P76" s="85">
        <f>G76*0</f>
        <v>0</v>
      </c>
      <c r="Q76" s="85">
        <f>G76*0</f>
        <v>0</v>
      </c>
      <c r="R76" s="47">
        <f>F76*0.25</f>
        <v>51</v>
      </c>
      <c r="S76" s="47">
        <f>F76*0.25</f>
        <v>51</v>
      </c>
      <c r="T76" s="47">
        <f>F76*0.25</f>
        <v>51</v>
      </c>
      <c r="U76" s="47">
        <f>F76*0.25</f>
        <v>51</v>
      </c>
      <c r="V76" s="366">
        <f>R76*E76</f>
        <v>1407600</v>
      </c>
      <c r="W76" s="366">
        <f>S76*E76</f>
        <v>1407600</v>
      </c>
      <c r="X76" s="366">
        <f>T76*E76</f>
        <v>1407600</v>
      </c>
      <c r="Y76" s="366">
        <f>U76*E76</f>
        <v>1407600</v>
      </c>
      <c r="Z76" s="47">
        <v>12</v>
      </c>
      <c r="AA76" s="179">
        <f t="shared" si="20"/>
        <v>331200</v>
      </c>
      <c r="AB76" s="47">
        <v>12</v>
      </c>
      <c r="AC76" s="179">
        <f t="shared" si="21"/>
        <v>331200</v>
      </c>
      <c r="AD76" s="47">
        <v>12</v>
      </c>
      <c r="AE76" s="179">
        <f t="shared" si="22"/>
        <v>331200</v>
      </c>
      <c r="AF76" s="47">
        <v>12</v>
      </c>
      <c r="AG76" s="179">
        <f t="shared" si="23"/>
        <v>331200</v>
      </c>
      <c r="AH76" s="47">
        <v>12</v>
      </c>
      <c r="AI76" s="179">
        <f t="shared" si="24"/>
        <v>331200</v>
      </c>
      <c r="AJ76" s="47">
        <v>12</v>
      </c>
      <c r="AK76" s="179">
        <f t="shared" si="25"/>
        <v>331200</v>
      </c>
      <c r="AL76" s="47">
        <v>12</v>
      </c>
      <c r="AM76" s="179">
        <f t="shared" si="26"/>
        <v>331200</v>
      </c>
      <c r="AN76" s="47">
        <v>12</v>
      </c>
      <c r="AO76" s="179">
        <f t="shared" si="27"/>
        <v>331200</v>
      </c>
      <c r="AP76" s="47">
        <v>12</v>
      </c>
      <c r="AQ76" s="179">
        <f t="shared" si="28"/>
        <v>331200</v>
      </c>
      <c r="AR76" s="47">
        <v>12</v>
      </c>
      <c r="AS76" s="179">
        <f t="shared" si="29"/>
        <v>331200</v>
      </c>
      <c r="AT76" s="47">
        <v>12</v>
      </c>
      <c r="AU76" s="179">
        <f t="shared" si="30"/>
        <v>331200</v>
      </c>
      <c r="AV76" s="47">
        <v>12</v>
      </c>
      <c r="AW76" s="179">
        <f t="shared" si="31"/>
        <v>331200</v>
      </c>
      <c r="AX76" s="47">
        <v>12</v>
      </c>
      <c r="AY76" s="179">
        <f t="shared" si="32"/>
        <v>331200</v>
      </c>
      <c r="AZ76" s="47">
        <v>12</v>
      </c>
      <c r="BA76" s="179">
        <f t="shared" si="33"/>
        <v>331200</v>
      </c>
      <c r="BB76" s="47">
        <v>12</v>
      </c>
      <c r="BC76" s="179">
        <f t="shared" si="34"/>
        <v>331200</v>
      </c>
      <c r="BD76" s="47">
        <v>12</v>
      </c>
      <c r="BE76" s="179">
        <f t="shared" si="35"/>
        <v>331200</v>
      </c>
      <c r="BF76" s="47">
        <v>12</v>
      </c>
      <c r="BG76" s="179">
        <f t="shared" si="36"/>
        <v>331200</v>
      </c>
      <c r="BH76" s="47">
        <v>0</v>
      </c>
      <c r="BI76" s="179">
        <f t="shared" si="37"/>
        <v>0</v>
      </c>
      <c r="BJ76" s="47">
        <f t="shared" si="102"/>
        <v>204</v>
      </c>
      <c r="BK76" s="117">
        <f t="shared" si="102"/>
        <v>5630400</v>
      </c>
      <c r="BL76" s="294" t="s">
        <v>470</v>
      </c>
      <c r="BN76" s="113"/>
      <c r="BO76" s="113"/>
      <c r="BP76" s="113"/>
      <c r="BQ76" s="113"/>
      <c r="BR76" s="113">
        <f>BN76+BO76+BP76+BQ76</f>
        <v>0</v>
      </c>
      <c r="BS76" s="113">
        <f>G76</f>
        <v>5630400</v>
      </c>
      <c r="BT76" s="113"/>
      <c r="BU76" s="124">
        <f>BS76+BT76</f>
        <v>5630400</v>
      </c>
      <c r="BV76" s="179">
        <f t="shared" si="0"/>
        <v>5630400</v>
      </c>
    </row>
    <row r="77" spans="1:74" ht="31.5" x14ac:dyDescent="0.25">
      <c r="A77" s="1023"/>
      <c r="B77" s="205"/>
      <c r="C77" s="205" t="s">
        <v>360</v>
      </c>
      <c r="D77" s="205" t="s">
        <v>73</v>
      </c>
      <c r="E77" s="378">
        <v>15000</v>
      </c>
      <c r="F77" s="47">
        <f>BJ77</f>
        <v>204</v>
      </c>
      <c r="G77" s="85">
        <f>E77*F77</f>
        <v>3060000</v>
      </c>
      <c r="H77" s="85">
        <f>G77*0.5</f>
        <v>1530000</v>
      </c>
      <c r="I77" s="85">
        <f>G77*0.5</f>
        <v>1530000</v>
      </c>
      <c r="J77" s="85">
        <f>G77*0</f>
        <v>0</v>
      </c>
      <c r="K77" s="85">
        <f>G77*0</f>
        <v>0</v>
      </c>
      <c r="L77" s="85">
        <f>G77*0</f>
        <v>0</v>
      </c>
      <c r="M77" s="85">
        <f>G77*0</f>
        <v>0</v>
      </c>
      <c r="N77" s="85">
        <f>G77*0</f>
        <v>0</v>
      </c>
      <c r="O77" s="85">
        <f>G77*0</f>
        <v>0</v>
      </c>
      <c r="P77" s="85">
        <f>G77*0</f>
        <v>0</v>
      </c>
      <c r="Q77" s="85">
        <f>G77*0</f>
        <v>0</v>
      </c>
      <c r="R77" s="47">
        <f>F77*0.25</f>
        <v>51</v>
      </c>
      <c r="S77" s="47">
        <f>F77*0.25</f>
        <v>51</v>
      </c>
      <c r="T77" s="47">
        <f>F77*0.25</f>
        <v>51</v>
      </c>
      <c r="U77" s="47">
        <f>F77*0.25</f>
        <v>51</v>
      </c>
      <c r="V77" s="366">
        <f>R77*E77</f>
        <v>765000</v>
      </c>
      <c r="W77" s="366">
        <f>S77*E77</f>
        <v>765000</v>
      </c>
      <c r="X77" s="366">
        <f>T77*E77</f>
        <v>765000</v>
      </c>
      <c r="Y77" s="366">
        <f>U77*E77</f>
        <v>765000</v>
      </c>
      <c r="Z77" s="47">
        <v>0</v>
      </c>
      <c r="AA77" s="179">
        <f t="shared" ref="AA77:AA110" si="103">Z77*E77</f>
        <v>0</v>
      </c>
      <c r="AB77" s="47">
        <v>0</v>
      </c>
      <c r="AC77" s="179">
        <f t="shared" ref="AC77:AC110" si="104">AB77*E77</f>
        <v>0</v>
      </c>
      <c r="AD77" s="47">
        <v>0</v>
      </c>
      <c r="AE77" s="179">
        <f t="shared" ref="AE77:AE110" si="105">AD77*E77</f>
        <v>0</v>
      </c>
      <c r="AF77" s="47">
        <v>0</v>
      </c>
      <c r="AG77" s="179">
        <f t="shared" ref="AG77:AG110" si="106">AF77*E77</f>
        <v>0</v>
      </c>
      <c r="AH77" s="47">
        <v>0</v>
      </c>
      <c r="AI77" s="179">
        <f t="shared" ref="AI77:AI110" si="107">AH77*E77</f>
        <v>0</v>
      </c>
      <c r="AJ77" s="47">
        <v>0</v>
      </c>
      <c r="AK77" s="179">
        <f t="shared" ref="AK77:AK110" si="108">AJ77*E77</f>
        <v>0</v>
      </c>
      <c r="AL77" s="47">
        <v>0</v>
      </c>
      <c r="AM77" s="179">
        <f t="shared" ref="AM77:AM110" si="109">AL77*E77</f>
        <v>0</v>
      </c>
      <c r="AN77" s="47">
        <v>0</v>
      </c>
      <c r="AO77" s="179">
        <f t="shared" ref="AO77:AO110" si="110">AN77*E77</f>
        <v>0</v>
      </c>
      <c r="AP77" s="47">
        <v>0</v>
      </c>
      <c r="AQ77" s="179">
        <f t="shared" ref="AQ77:AQ110" si="111">AP77*E77</f>
        <v>0</v>
      </c>
      <c r="AR77" s="47">
        <v>0</v>
      </c>
      <c r="AS77" s="179">
        <f t="shared" ref="AS77:AS110" si="112">AR77*E77</f>
        <v>0</v>
      </c>
      <c r="AT77" s="47">
        <v>0</v>
      </c>
      <c r="AU77" s="179">
        <f t="shared" ref="AU77:AU110" si="113">AT77*E77</f>
        <v>0</v>
      </c>
      <c r="AV77" s="47">
        <v>0</v>
      </c>
      <c r="AW77" s="179">
        <f t="shared" ref="AW77:AW110" si="114">AV77*E77</f>
        <v>0</v>
      </c>
      <c r="AX77" s="47">
        <v>0</v>
      </c>
      <c r="AY77" s="179">
        <f t="shared" ref="AY77:AY110" si="115">AX77*E77</f>
        <v>0</v>
      </c>
      <c r="AZ77" s="47">
        <v>0</v>
      </c>
      <c r="BA77" s="179">
        <f t="shared" ref="BA77:BA110" si="116">AZ77*E77</f>
        <v>0</v>
      </c>
      <c r="BB77" s="47">
        <v>0</v>
      </c>
      <c r="BC77" s="179">
        <f t="shared" ref="BC77:BC110" si="117">BB77*E77</f>
        <v>0</v>
      </c>
      <c r="BD77" s="47">
        <v>0</v>
      </c>
      <c r="BE77" s="179">
        <f t="shared" ref="BE77:BE110" si="118">BD77*E77</f>
        <v>0</v>
      </c>
      <c r="BF77" s="47">
        <v>0</v>
      </c>
      <c r="BG77" s="179">
        <f t="shared" ref="BG77:BG110" si="119">BF77*E77</f>
        <v>0</v>
      </c>
      <c r="BH77" s="47">
        <f>17*1*12</f>
        <v>204</v>
      </c>
      <c r="BI77" s="179">
        <f t="shared" ref="BI77:BI110" si="120">BH77*E77</f>
        <v>3060000</v>
      </c>
      <c r="BJ77" s="47">
        <f t="shared" si="102"/>
        <v>204</v>
      </c>
      <c r="BK77" s="117">
        <f t="shared" si="102"/>
        <v>3060000</v>
      </c>
      <c r="BL77" s="294" t="s">
        <v>470</v>
      </c>
      <c r="BN77" s="113"/>
      <c r="BO77" s="113"/>
      <c r="BP77" s="113"/>
      <c r="BQ77" s="113"/>
      <c r="BR77" s="113">
        <f>BN77+BO77+BP77+BQ77</f>
        <v>0</v>
      </c>
      <c r="BS77" s="113">
        <f>G77</f>
        <v>3060000</v>
      </c>
      <c r="BT77" s="113"/>
      <c r="BU77" s="124">
        <f>BS77+BT77</f>
        <v>3060000</v>
      </c>
      <c r="BV77" s="179">
        <f t="shared" ref="BV77:BV112" si="121">BR77+BU77</f>
        <v>3060000</v>
      </c>
    </row>
    <row r="78" spans="1:74" x14ac:dyDescent="0.25">
      <c r="A78" s="1023"/>
      <c r="B78" s="259"/>
      <c r="C78" s="389" t="s">
        <v>361</v>
      </c>
      <c r="D78" s="382"/>
      <c r="E78" s="382"/>
      <c r="F78" s="382">
        <f>SUM(F73:F77)</f>
        <v>1013</v>
      </c>
      <c r="G78" s="390">
        <f>SUM(G73:G77)</f>
        <v>27248400</v>
      </c>
      <c r="H78" s="390">
        <f t="shared" ref="H78:Q78" si="122">SUM(H73:H77)</f>
        <v>13624200</v>
      </c>
      <c r="I78" s="390">
        <f t="shared" si="122"/>
        <v>13624200</v>
      </c>
      <c r="J78" s="390">
        <f t="shared" si="122"/>
        <v>0</v>
      </c>
      <c r="K78" s="390">
        <f t="shared" si="122"/>
        <v>0</v>
      </c>
      <c r="L78" s="390">
        <f t="shared" si="122"/>
        <v>0</v>
      </c>
      <c r="M78" s="390">
        <f t="shared" si="122"/>
        <v>0</v>
      </c>
      <c r="N78" s="390">
        <f t="shared" si="122"/>
        <v>0</v>
      </c>
      <c r="O78" s="390">
        <f t="shared" si="122"/>
        <v>0</v>
      </c>
      <c r="P78" s="390">
        <f t="shared" si="122"/>
        <v>0</v>
      </c>
      <c r="Q78" s="390">
        <f t="shared" si="122"/>
        <v>0</v>
      </c>
      <c r="R78" s="242">
        <f t="shared" ref="R78:R105" si="123">F78*0.25</f>
        <v>253.25</v>
      </c>
      <c r="S78" s="242">
        <f t="shared" ref="S78:S105" si="124">F78*0.25</f>
        <v>253.25</v>
      </c>
      <c r="T78" s="242">
        <f t="shared" ref="T78:T105" si="125">F78*0.25</f>
        <v>253.25</v>
      </c>
      <c r="U78" s="242">
        <f t="shared" ref="U78:U105" si="126">F78*0.25</f>
        <v>253.25</v>
      </c>
      <c r="V78" s="242">
        <f>G78*0.25</f>
        <v>6812100</v>
      </c>
      <c r="W78" s="242">
        <f>G78*0.25</f>
        <v>6812100</v>
      </c>
      <c r="X78" s="242">
        <f>G78*0.25</f>
        <v>6812100</v>
      </c>
      <c r="Y78" s="242">
        <f>G78*0.25</f>
        <v>6812100</v>
      </c>
      <c r="Z78" s="391">
        <f t="shared" ref="Z78:BK78" si="127">SUM(Z73:Z77)</f>
        <v>36</v>
      </c>
      <c r="AA78" s="391">
        <f t="shared" si="127"/>
        <v>1171200</v>
      </c>
      <c r="AB78" s="391">
        <f t="shared" si="127"/>
        <v>36</v>
      </c>
      <c r="AC78" s="391">
        <f t="shared" si="127"/>
        <v>1171200</v>
      </c>
      <c r="AD78" s="391">
        <f t="shared" si="127"/>
        <v>36</v>
      </c>
      <c r="AE78" s="391">
        <f t="shared" si="127"/>
        <v>1171200</v>
      </c>
      <c r="AF78" s="391">
        <f t="shared" si="127"/>
        <v>36</v>
      </c>
      <c r="AG78" s="391">
        <f t="shared" si="127"/>
        <v>1171200</v>
      </c>
      <c r="AH78" s="391">
        <f t="shared" si="127"/>
        <v>33</v>
      </c>
      <c r="AI78" s="391">
        <f t="shared" si="127"/>
        <v>1081200</v>
      </c>
      <c r="AJ78" s="391">
        <f t="shared" si="127"/>
        <v>36</v>
      </c>
      <c r="AK78" s="391">
        <f t="shared" si="127"/>
        <v>1171200</v>
      </c>
      <c r="AL78" s="391">
        <f t="shared" si="127"/>
        <v>36</v>
      </c>
      <c r="AM78" s="391">
        <f t="shared" si="127"/>
        <v>1171200</v>
      </c>
      <c r="AN78" s="391">
        <f t="shared" si="127"/>
        <v>36</v>
      </c>
      <c r="AO78" s="391">
        <f t="shared" si="127"/>
        <v>1171200</v>
      </c>
      <c r="AP78" s="391">
        <f t="shared" si="127"/>
        <v>36</v>
      </c>
      <c r="AQ78" s="391">
        <f t="shared" si="127"/>
        <v>1171200</v>
      </c>
      <c r="AR78" s="391">
        <f t="shared" si="127"/>
        <v>36</v>
      </c>
      <c r="AS78" s="391">
        <f t="shared" si="127"/>
        <v>1171200</v>
      </c>
      <c r="AT78" s="391">
        <f t="shared" si="127"/>
        <v>36</v>
      </c>
      <c r="AU78" s="391">
        <f t="shared" si="127"/>
        <v>1171200</v>
      </c>
      <c r="AV78" s="391">
        <f t="shared" si="127"/>
        <v>36</v>
      </c>
      <c r="AW78" s="391">
        <f t="shared" si="127"/>
        <v>1171200</v>
      </c>
      <c r="AX78" s="391">
        <f t="shared" si="127"/>
        <v>34</v>
      </c>
      <c r="AY78" s="391">
        <f t="shared" si="127"/>
        <v>1111200</v>
      </c>
      <c r="AZ78" s="391">
        <f t="shared" si="127"/>
        <v>36</v>
      </c>
      <c r="BA78" s="391">
        <f t="shared" si="127"/>
        <v>1171200</v>
      </c>
      <c r="BB78" s="391">
        <f t="shared" si="127"/>
        <v>34</v>
      </c>
      <c r="BC78" s="391">
        <f t="shared" si="127"/>
        <v>1111200</v>
      </c>
      <c r="BD78" s="391">
        <f t="shared" si="127"/>
        <v>36</v>
      </c>
      <c r="BE78" s="391">
        <f t="shared" si="127"/>
        <v>1171200</v>
      </c>
      <c r="BF78" s="391">
        <f t="shared" si="127"/>
        <v>36</v>
      </c>
      <c r="BG78" s="391">
        <f t="shared" si="127"/>
        <v>1171200</v>
      </c>
      <c r="BH78" s="391">
        <f t="shared" si="127"/>
        <v>408</v>
      </c>
      <c r="BI78" s="391">
        <f t="shared" si="127"/>
        <v>7548000</v>
      </c>
      <c r="BJ78" s="382">
        <f t="shared" si="127"/>
        <v>1013</v>
      </c>
      <c r="BK78" s="392">
        <f t="shared" si="127"/>
        <v>27248400</v>
      </c>
      <c r="BL78" s="47"/>
      <c r="BN78" s="384">
        <f t="shared" ref="BN78:BU78" si="128">SUM(BN73:BN77)</f>
        <v>0</v>
      </c>
      <c r="BO78" s="384">
        <f t="shared" si="128"/>
        <v>0</v>
      </c>
      <c r="BP78" s="384">
        <f t="shared" si="128"/>
        <v>0</v>
      </c>
      <c r="BQ78" s="384">
        <f t="shared" si="128"/>
        <v>0</v>
      </c>
      <c r="BR78" s="384">
        <f t="shared" si="128"/>
        <v>0</v>
      </c>
      <c r="BS78" s="384">
        <f t="shared" si="128"/>
        <v>27248400</v>
      </c>
      <c r="BT78" s="384">
        <f t="shared" si="128"/>
        <v>0</v>
      </c>
      <c r="BU78" s="384">
        <f t="shared" si="128"/>
        <v>27248400</v>
      </c>
      <c r="BV78" s="385">
        <f t="shared" si="121"/>
        <v>27248400</v>
      </c>
    </row>
    <row r="79" spans="1:74" ht="31.5" x14ac:dyDescent="0.25">
      <c r="A79" s="1023"/>
      <c r="B79" s="38">
        <v>41420</v>
      </c>
      <c r="C79" s="381" t="s">
        <v>310</v>
      </c>
      <c r="D79" s="38"/>
      <c r="E79" s="365"/>
      <c r="F79" s="38"/>
      <c r="G79" s="85"/>
      <c r="H79" s="85"/>
      <c r="I79" s="85"/>
      <c r="J79" s="85"/>
      <c r="K79" s="85"/>
      <c r="L79" s="85"/>
      <c r="M79" s="85"/>
      <c r="N79" s="85"/>
      <c r="O79" s="47"/>
      <c r="P79" s="47"/>
      <c r="Q79" s="47"/>
      <c r="R79" s="47">
        <f t="shared" si="123"/>
        <v>0</v>
      </c>
      <c r="S79" s="47">
        <f t="shared" si="124"/>
        <v>0</v>
      </c>
      <c r="T79" s="47">
        <f t="shared" si="125"/>
        <v>0</v>
      </c>
      <c r="U79" s="47">
        <f t="shared" si="126"/>
        <v>0</v>
      </c>
      <c r="V79" s="366">
        <f>R79*E79</f>
        <v>0</v>
      </c>
      <c r="W79" s="366">
        <f>S79*E79</f>
        <v>0</v>
      </c>
      <c r="X79" s="366">
        <f>T79*E79</f>
        <v>0</v>
      </c>
      <c r="Y79" s="366">
        <f>U79*E79</f>
        <v>0</v>
      </c>
      <c r="Z79" s="47"/>
      <c r="AA79" s="179">
        <f t="shared" si="103"/>
        <v>0</v>
      </c>
      <c r="AB79" s="47"/>
      <c r="AC79" s="179">
        <f t="shared" si="104"/>
        <v>0</v>
      </c>
      <c r="AD79" s="47"/>
      <c r="AE79" s="179">
        <f t="shared" si="105"/>
        <v>0</v>
      </c>
      <c r="AF79" s="47"/>
      <c r="AG79" s="179">
        <f t="shared" si="106"/>
        <v>0</v>
      </c>
      <c r="AH79" s="47"/>
      <c r="AI79" s="179">
        <f t="shared" si="107"/>
        <v>0</v>
      </c>
      <c r="AJ79" s="47"/>
      <c r="AK79" s="179">
        <f t="shared" si="108"/>
        <v>0</v>
      </c>
      <c r="AL79" s="47"/>
      <c r="AM79" s="179">
        <f t="shared" si="109"/>
        <v>0</v>
      </c>
      <c r="AN79" s="47"/>
      <c r="AO79" s="179">
        <f t="shared" si="110"/>
        <v>0</v>
      </c>
      <c r="AP79" s="47"/>
      <c r="AQ79" s="179">
        <f t="shared" si="111"/>
        <v>0</v>
      </c>
      <c r="AR79" s="47"/>
      <c r="AS79" s="179">
        <f t="shared" si="112"/>
        <v>0</v>
      </c>
      <c r="AT79" s="47"/>
      <c r="AU79" s="179">
        <f t="shared" si="113"/>
        <v>0</v>
      </c>
      <c r="AV79" s="47"/>
      <c r="AW79" s="179">
        <f t="shared" si="114"/>
        <v>0</v>
      </c>
      <c r="AX79" s="47"/>
      <c r="AY79" s="179">
        <f t="shared" si="115"/>
        <v>0</v>
      </c>
      <c r="AZ79" s="47"/>
      <c r="BA79" s="179">
        <f t="shared" si="116"/>
        <v>0</v>
      </c>
      <c r="BB79" s="47"/>
      <c r="BC79" s="179">
        <f t="shared" si="117"/>
        <v>0</v>
      </c>
      <c r="BD79" s="47"/>
      <c r="BE79" s="179">
        <f t="shared" si="118"/>
        <v>0</v>
      </c>
      <c r="BF79" s="47"/>
      <c r="BG79" s="179">
        <f t="shared" si="119"/>
        <v>0</v>
      </c>
      <c r="BH79" s="47"/>
      <c r="BI79" s="179">
        <f t="shared" si="120"/>
        <v>0</v>
      </c>
      <c r="BJ79" s="47"/>
      <c r="BK79" s="123"/>
      <c r="BL79" s="47"/>
      <c r="BN79" s="113"/>
      <c r="BO79" s="113"/>
      <c r="BP79" s="113"/>
      <c r="BQ79" s="113"/>
      <c r="BR79" s="113"/>
      <c r="BS79" s="113"/>
      <c r="BT79" s="113"/>
      <c r="BU79" s="124"/>
      <c r="BV79" s="179">
        <f t="shared" si="121"/>
        <v>0</v>
      </c>
    </row>
    <row r="80" spans="1:74" s="163" customFormat="1" ht="31.5" x14ac:dyDescent="0.25">
      <c r="A80" s="1023"/>
      <c r="B80" s="169"/>
      <c r="C80" s="169" t="s">
        <v>311</v>
      </c>
      <c r="D80" s="169" t="s">
        <v>73</v>
      </c>
      <c r="E80" s="178">
        <v>25000</v>
      </c>
      <c r="F80" s="47">
        <f t="shared" ref="F80:F86" si="129">BJ80</f>
        <v>204</v>
      </c>
      <c r="G80" s="133">
        <f t="shared" ref="G80:G86" si="130">E80*F80</f>
        <v>5100000</v>
      </c>
      <c r="H80" s="133">
        <f>G80*0.5</f>
        <v>2550000</v>
      </c>
      <c r="I80" s="133">
        <f>G80*0.5</f>
        <v>2550000</v>
      </c>
      <c r="J80" s="133">
        <f>G80*0</f>
        <v>0</v>
      </c>
      <c r="K80" s="133">
        <f>G80*0</f>
        <v>0</v>
      </c>
      <c r="L80" s="133">
        <f>G80*0</f>
        <v>0</v>
      </c>
      <c r="M80" s="133">
        <f>G80*0</f>
        <v>0</v>
      </c>
      <c r="N80" s="133">
        <f>G80*0</f>
        <v>0</v>
      </c>
      <c r="O80" s="133">
        <f>G80*0</f>
        <v>0</v>
      </c>
      <c r="P80" s="133">
        <f>G80*0</f>
        <v>0</v>
      </c>
      <c r="Q80" s="133">
        <f>G80*0</f>
        <v>0</v>
      </c>
      <c r="R80" s="135">
        <f t="shared" si="123"/>
        <v>51</v>
      </c>
      <c r="S80" s="135">
        <f t="shared" si="124"/>
        <v>51</v>
      </c>
      <c r="T80" s="135">
        <f t="shared" si="125"/>
        <v>51</v>
      </c>
      <c r="U80" s="135">
        <f t="shared" si="126"/>
        <v>51</v>
      </c>
      <c r="V80" s="366">
        <f t="shared" ref="V80:V86" si="131">R80*E80</f>
        <v>1275000</v>
      </c>
      <c r="W80" s="366">
        <f t="shared" ref="W80:W86" si="132">S80*E80</f>
        <v>1275000</v>
      </c>
      <c r="X80" s="366">
        <f t="shared" ref="X80:X86" si="133">T80*E80</f>
        <v>1275000</v>
      </c>
      <c r="Y80" s="366">
        <f t="shared" ref="Y80:Y86" si="134">U80*E80</f>
        <v>1275000</v>
      </c>
      <c r="Z80" s="135">
        <v>12</v>
      </c>
      <c r="AA80" s="179">
        <f t="shared" si="103"/>
        <v>300000</v>
      </c>
      <c r="AB80" s="135">
        <v>12</v>
      </c>
      <c r="AC80" s="179">
        <f t="shared" si="104"/>
        <v>300000</v>
      </c>
      <c r="AD80" s="135">
        <v>12</v>
      </c>
      <c r="AE80" s="179">
        <f t="shared" si="105"/>
        <v>300000</v>
      </c>
      <c r="AF80" s="135">
        <v>12</v>
      </c>
      <c r="AG80" s="179">
        <f t="shared" si="106"/>
        <v>300000</v>
      </c>
      <c r="AH80" s="135">
        <v>12</v>
      </c>
      <c r="AI80" s="179">
        <f t="shared" si="107"/>
        <v>300000</v>
      </c>
      <c r="AJ80" s="135">
        <v>12</v>
      </c>
      <c r="AK80" s="179">
        <f t="shared" si="108"/>
        <v>300000</v>
      </c>
      <c r="AL80" s="135">
        <v>12</v>
      </c>
      <c r="AM80" s="179">
        <f t="shared" si="109"/>
        <v>300000</v>
      </c>
      <c r="AN80" s="135">
        <v>12</v>
      </c>
      <c r="AO80" s="179">
        <f t="shared" si="110"/>
        <v>300000</v>
      </c>
      <c r="AP80" s="135">
        <v>12</v>
      </c>
      <c r="AQ80" s="179">
        <f t="shared" si="111"/>
        <v>300000</v>
      </c>
      <c r="AR80" s="135">
        <v>12</v>
      </c>
      <c r="AS80" s="179">
        <f t="shared" si="112"/>
        <v>300000</v>
      </c>
      <c r="AT80" s="135">
        <v>12</v>
      </c>
      <c r="AU80" s="179">
        <f t="shared" si="113"/>
        <v>300000</v>
      </c>
      <c r="AV80" s="135">
        <v>12</v>
      </c>
      <c r="AW80" s="179">
        <f t="shared" si="114"/>
        <v>300000</v>
      </c>
      <c r="AX80" s="135">
        <v>12</v>
      </c>
      <c r="AY80" s="179">
        <f t="shared" si="115"/>
        <v>300000</v>
      </c>
      <c r="AZ80" s="135">
        <v>12</v>
      </c>
      <c r="BA80" s="179">
        <f t="shared" si="116"/>
        <v>300000</v>
      </c>
      <c r="BB80" s="135">
        <v>12</v>
      </c>
      <c r="BC80" s="179">
        <f t="shared" si="117"/>
        <v>300000</v>
      </c>
      <c r="BD80" s="135">
        <v>12</v>
      </c>
      <c r="BE80" s="179">
        <f t="shared" si="118"/>
        <v>300000</v>
      </c>
      <c r="BF80" s="135">
        <v>12</v>
      </c>
      <c r="BG80" s="179">
        <f t="shared" si="119"/>
        <v>300000</v>
      </c>
      <c r="BH80" s="135">
        <v>0</v>
      </c>
      <c r="BI80" s="179">
        <f t="shared" si="120"/>
        <v>0</v>
      </c>
      <c r="BJ80" s="135">
        <f t="shared" ref="BJ80:BK86" si="135">Z80+AB80+AD80+AF80+AH80+AJ80+AL80+AN80+AP80+AR80+AT80+AV80+AX80+AZ80+BB80+BD80+BF80+BH80</f>
        <v>204</v>
      </c>
      <c r="BK80" s="322">
        <f t="shared" si="135"/>
        <v>5100000</v>
      </c>
      <c r="BL80" s="298" t="s">
        <v>470</v>
      </c>
      <c r="BN80" s="176"/>
      <c r="BO80" s="176"/>
      <c r="BP80" s="176"/>
      <c r="BQ80" s="176"/>
      <c r="BR80" s="176">
        <f>BN80+BO80+BP80+BQ80</f>
        <v>0</v>
      </c>
      <c r="BS80" s="176">
        <f t="shared" ref="BS80:BS86" si="136">G80</f>
        <v>5100000</v>
      </c>
      <c r="BT80" s="176"/>
      <c r="BU80" s="164">
        <f>BS80+BT80</f>
        <v>5100000</v>
      </c>
      <c r="BV80" s="189">
        <f t="shared" si="121"/>
        <v>5100000</v>
      </c>
    </row>
    <row r="81" spans="1:74" ht="31.5" x14ac:dyDescent="0.25">
      <c r="A81" s="1023"/>
      <c r="B81" s="38"/>
      <c r="C81" s="38" t="s">
        <v>312</v>
      </c>
      <c r="D81" s="38" t="s">
        <v>73</v>
      </c>
      <c r="E81" s="365">
        <f>0*100000</f>
        <v>0</v>
      </c>
      <c r="F81" s="47">
        <f t="shared" si="129"/>
        <v>0</v>
      </c>
      <c r="G81" s="85">
        <f t="shared" si="130"/>
        <v>0</v>
      </c>
      <c r="H81" s="85">
        <f t="shared" ref="H81:H86" si="137">G81*0.5</f>
        <v>0</v>
      </c>
      <c r="I81" s="85">
        <f t="shared" ref="I81:I86" si="138">G81*0.5</f>
        <v>0</v>
      </c>
      <c r="J81" s="85">
        <f t="shared" ref="J81:J86" si="139">G81*0</f>
        <v>0</v>
      </c>
      <c r="K81" s="85">
        <f t="shared" ref="K81:K86" si="140">G81*0</f>
        <v>0</v>
      </c>
      <c r="L81" s="85">
        <f t="shared" ref="L81:L86" si="141">G81*0</f>
        <v>0</v>
      </c>
      <c r="M81" s="85">
        <f t="shared" ref="M81:M86" si="142">G81*0</f>
        <v>0</v>
      </c>
      <c r="N81" s="85">
        <f t="shared" ref="N81:N86" si="143">G81*0</f>
        <v>0</v>
      </c>
      <c r="O81" s="85">
        <f t="shared" ref="O81:O86" si="144">G81*0</f>
        <v>0</v>
      </c>
      <c r="P81" s="85">
        <f t="shared" ref="P81:P86" si="145">G81*0</f>
        <v>0</v>
      </c>
      <c r="Q81" s="85">
        <f t="shared" ref="Q81:Q86" si="146">G81*0</f>
        <v>0</v>
      </c>
      <c r="R81" s="47">
        <f t="shared" si="123"/>
        <v>0</v>
      </c>
      <c r="S81" s="47">
        <f t="shared" si="124"/>
        <v>0</v>
      </c>
      <c r="T81" s="47">
        <f t="shared" si="125"/>
        <v>0</v>
      </c>
      <c r="U81" s="47">
        <f t="shared" si="126"/>
        <v>0</v>
      </c>
      <c r="V81" s="366">
        <f t="shared" si="131"/>
        <v>0</v>
      </c>
      <c r="W81" s="366">
        <f t="shared" si="132"/>
        <v>0</v>
      </c>
      <c r="X81" s="366">
        <f t="shared" si="133"/>
        <v>0</v>
      </c>
      <c r="Y81" s="366">
        <f t="shared" si="134"/>
        <v>0</v>
      </c>
      <c r="Z81" s="135">
        <v>0</v>
      </c>
      <c r="AA81" s="179">
        <f t="shared" si="103"/>
        <v>0</v>
      </c>
      <c r="AB81" s="135">
        <v>0</v>
      </c>
      <c r="AC81" s="179">
        <f t="shared" si="104"/>
        <v>0</v>
      </c>
      <c r="AD81" s="135">
        <v>0</v>
      </c>
      <c r="AE81" s="179">
        <f t="shared" si="105"/>
        <v>0</v>
      </c>
      <c r="AF81" s="135">
        <v>0</v>
      </c>
      <c r="AG81" s="179">
        <f t="shared" si="106"/>
        <v>0</v>
      </c>
      <c r="AH81" s="135">
        <v>0</v>
      </c>
      <c r="AI81" s="179">
        <f t="shared" si="107"/>
        <v>0</v>
      </c>
      <c r="AJ81" s="135">
        <v>0</v>
      </c>
      <c r="AK81" s="179">
        <f t="shared" si="108"/>
        <v>0</v>
      </c>
      <c r="AL81" s="135">
        <v>0</v>
      </c>
      <c r="AM81" s="179">
        <f t="shared" si="109"/>
        <v>0</v>
      </c>
      <c r="AN81" s="135">
        <v>0</v>
      </c>
      <c r="AO81" s="179">
        <f t="shared" si="110"/>
        <v>0</v>
      </c>
      <c r="AP81" s="135">
        <v>0</v>
      </c>
      <c r="AQ81" s="179">
        <f t="shared" si="111"/>
        <v>0</v>
      </c>
      <c r="AR81" s="135">
        <v>0</v>
      </c>
      <c r="AS81" s="179">
        <f t="shared" si="112"/>
        <v>0</v>
      </c>
      <c r="AT81" s="135">
        <v>0</v>
      </c>
      <c r="AU81" s="179">
        <f t="shared" si="113"/>
        <v>0</v>
      </c>
      <c r="AV81" s="135">
        <v>0</v>
      </c>
      <c r="AW81" s="179">
        <f t="shared" si="114"/>
        <v>0</v>
      </c>
      <c r="AX81" s="135">
        <v>0</v>
      </c>
      <c r="AY81" s="179">
        <f t="shared" si="115"/>
        <v>0</v>
      </c>
      <c r="AZ81" s="135">
        <v>0</v>
      </c>
      <c r="BA81" s="179">
        <f t="shared" si="116"/>
        <v>0</v>
      </c>
      <c r="BB81" s="135">
        <v>0</v>
      </c>
      <c r="BC81" s="179">
        <f t="shared" si="117"/>
        <v>0</v>
      </c>
      <c r="BD81" s="135">
        <v>0</v>
      </c>
      <c r="BE81" s="179">
        <f t="shared" si="118"/>
        <v>0</v>
      </c>
      <c r="BF81" s="135">
        <v>0</v>
      </c>
      <c r="BG81" s="179">
        <f t="shared" si="119"/>
        <v>0</v>
      </c>
      <c r="BH81" s="135">
        <v>0</v>
      </c>
      <c r="BI81" s="179">
        <f t="shared" si="120"/>
        <v>0</v>
      </c>
      <c r="BJ81" s="47">
        <f t="shared" si="135"/>
        <v>0</v>
      </c>
      <c r="BK81" s="117">
        <f t="shared" si="135"/>
        <v>0</v>
      </c>
      <c r="BL81" s="293" t="s">
        <v>470</v>
      </c>
      <c r="BN81" s="113"/>
      <c r="BO81" s="113"/>
      <c r="BP81" s="113"/>
      <c r="BQ81" s="113"/>
      <c r="BR81" s="113">
        <f t="shared" ref="BR81:BR86" si="147">BN81+BO81+BP81+BQ81</f>
        <v>0</v>
      </c>
      <c r="BS81" s="113">
        <f t="shared" si="136"/>
        <v>0</v>
      </c>
      <c r="BT81" s="113"/>
      <c r="BU81" s="124">
        <f t="shared" ref="BU81:BU86" si="148">BS81+BT81</f>
        <v>0</v>
      </c>
      <c r="BV81" s="179">
        <f t="shared" si="121"/>
        <v>0</v>
      </c>
    </row>
    <row r="82" spans="1:74" s="163" customFormat="1" ht="47.25" x14ac:dyDescent="0.25">
      <c r="A82" s="1023"/>
      <c r="B82" s="169"/>
      <c r="C82" s="169" t="s">
        <v>362</v>
      </c>
      <c r="D82" s="169" t="s">
        <v>17</v>
      </c>
      <c r="E82" s="178">
        <v>60000</v>
      </c>
      <c r="F82" s="47">
        <f t="shared" si="129"/>
        <v>17</v>
      </c>
      <c r="G82" s="133">
        <f t="shared" si="130"/>
        <v>1020000</v>
      </c>
      <c r="H82" s="133">
        <f t="shared" si="137"/>
        <v>510000</v>
      </c>
      <c r="I82" s="133">
        <f t="shared" si="138"/>
        <v>510000</v>
      </c>
      <c r="J82" s="133">
        <f t="shared" si="139"/>
        <v>0</v>
      </c>
      <c r="K82" s="133">
        <f t="shared" si="140"/>
        <v>0</v>
      </c>
      <c r="L82" s="133">
        <f t="shared" si="141"/>
        <v>0</v>
      </c>
      <c r="M82" s="133">
        <f t="shared" si="142"/>
        <v>0</v>
      </c>
      <c r="N82" s="133">
        <f t="shared" si="143"/>
        <v>0</v>
      </c>
      <c r="O82" s="133">
        <f t="shared" si="144"/>
        <v>0</v>
      </c>
      <c r="P82" s="133">
        <f t="shared" si="145"/>
        <v>0</v>
      </c>
      <c r="Q82" s="133">
        <f t="shared" si="146"/>
        <v>0</v>
      </c>
      <c r="R82" s="135">
        <f t="shared" si="123"/>
        <v>4.25</v>
      </c>
      <c r="S82" s="135">
        <f t="shared" si="124"/>
        <v>4.25</v>
      </c>
      <c r="T82" s="135">
        <f t="shared" si="125"/>
        <v>4.25</v>
      </c>
      <c r="U82" s="135">
        <f t="shared" si="126"/>
        <v>4.25</v>
      </c>
      <c r="V82" s="366">
        <f t="shared" si="131"/>
        <v>255000</v>
      </c>
      <c r="W82" s="366">
        <f t="shared" si="132"/>
        <v>255000</v>
      </c>
      <c r="X82" s="366">
        <f t="shared" si="133"/>
        <v>255000</v>
      </c>
      <c r="Y82" s="366">
        <f t="shared" si="134"/>
        <v>255000</v>
      </c>
      <c r="Z82" s="135">
        <v>1</v>
      </c>
      <c r="AA82" s="179">
        <f t="shared" si="103"/>
        <v>60000</v>
      </c>
      <c r="AB82" s="135">
        <v>1</v>
      </c>
      <c r="AC82" s="179">
        <f t="shared" si="104"/>
        <v>60000</v>
      </c>
      <c r="AD82" s="135">
        <v>1</v>
      </c>
      <c r="AE82" s="179">
        <f t="shared" si="105"/>
        <v>60000</v>
      </c>
      <c r="AF82" s="135">
        <v>1</v>
      </c>
      <c r="AG82" s="179">
        <f t="shared" si="106"/>
        <v>60000</v>
      </c>
      <c r="AH82" s="135">
        <v>1</v>
      </c>
      <c r="AI82" s="179">
        <f t="shared" si="107"/>
        <v>60000</v>
      </c>
      <c r="AJ82" s="135">
        <v>1</v>
      </c>
      <c r="AK82" s="179">
        <f t="shared" si="108"/>
        <v>60000</v>
      </c>
      <c r="AL82" s="135">
        <v>1</v>
      </c>
      <c r="AM82" s="179">
        <f t="shared" si="109"/>
        <v>60000</v>
      </c>
      <c r="AN82" s="135">
        <v>1</v>
      </c>
      <c r="AO82" s="179">
        <f t="shared" si="110"/>
        <v>60000</v>
      </c>
      <c r="AP82" s="135">
        <v>1</v>
      </c>
      <c r="AQ82" s="179">
        <f t="shared" si="111"/>
        <v>60000</v>
      </c>
      <c r="AR82" s="135">
        <v>1</v>
      </c>
      <c r="AS82" s="179">
        <f t="shared" si="112"/>
        <v>60000</v>
      </c>
      <c r="AT82" s="135">
        <v>1</v>
      </c>
      <c r="AU82" s="179">
        <f t="shared" si="113"/>
        <v>60000</v>
      </c>
      <c r="AV82" s="135">
        <v>1</v>
      </c>
      <c r="AW82" s="179">
        <f t="shared" si="114"/>
        <v>60000</v>
      </c>
      <c r="AX82" s="135">
        <v>1</v>
      </c>
      <c r="AY82" s="179">
        <f t="shared" si="115"/>
        <v>60000</v>
      </c>
      <c r="AZ82" s="135">
        <v>1</v>
      </c>
      <c r="BA82" s="179">
        <f t="shared" si="116"/>
        <v>60000</v>
      </c>
      <c r="BB82" s="135">
        <v>1</v>
      </c>
      <c r="BC82" s="179">
        <f t="shared" si="117"/>
        <v>60000</v>
      </c>
      <c r="BD82" s="135">
        <v>1</v>
      </c>
      <c r="BE82" s="179">
        <f t="shared" si="118"/>
        <v>60000</v>
      </c>
      <c r="BF82" s="135">
        <v>1</v>
      </c>
      <c r="BG82" s="179">
        <f t="shared" si="119"/>
        <v>60000</v>
      </c>
      <c r="BH82" s="135">
        <v>0</v>
      </c>
      <c r="BI82" s="179">
        <f t="shared" si="120"/>
        <v>0</v>
      </c>
      <c r="BJ82" s="135">
        <f t="shared" si="135"/>
        <v>17</v>
      </c>
      <c r="BK82" s="322">
        <f t="shared" si="135"/>
        <v>1020000</v>
      </c>
      <c r="BL82" s="298" t="s">
        <v>470</v>
      </c>
      <c r="BN82" s="176"/>
      <c r="BO82" s="176"/>
      <c r="BP82" s="176"/>
      <c r="BQ82" s="176"/>
      <c r="BR82" s="176">
        <f t="shared" si="147"/>
        <v>0</v>
      </c>
      <c r="BS82" s="176">
        <f t="shared" si="136"/>
        <v>1020000</v>
      </c>
      <c r="BT82" s="176"/>
      <c r="BU82" s="164">
        <f t="shared" si="148"/>
        <v>1020000</v>
      </c>
      <c r="BV82" s="189">
        <f t="shared" si="121"/>
        <v>1020000</v>
      </c>
    </row>
    <row r="83" spans="1:74" ht="31.5" x14ac:dyDescent="0.25">
      <c r="A83" s="1023"/>
      <c r="B83" s="38"/>
      <c r="C83" s="38" t="s">
        <v>313</v>
      </c>
      <c r="D83" s="38" t="s">
        <v>73</v>
      </c>
      <c r="E83" s="365">
        <f>0.0475*100000</f>
        <v>4750</v>
      </c>
      <c r="F83" s="47">
        <f t="shared" si="129"/>
        <v>204</v>
      </c>
      <c r="G83" s="85">
        <f t="shared" si="130"/>
        <v>969000</v>
      </c>
      <c r="H83" s="85">
        <f t="shared" si="137"/>
        <v>484500</v>
      </c>
      <c r="I83" s="85">
        <f t="shared" si="138"/>
        <v>484500</v>
      </c>
      <c r="J83" s="85">
        <f t="shared" si="139"/>
        <v>0</v>
      </c>
      <c r="K83" s="85">
        <f t="shared" si="140"/>
        <v>0</v>
      </c>
      <c r="L83" s="85">
        <f t="shared" si="141"/>
        <v>0</v>
      </c>
      <c r="M83" s="85">
        <f t="shared" si="142"/>
        <v>0</v>
      </c>
      <c r="N83" s="85">
        <f t="shared" si="143"/>
        <v>0</v>
      </c>
      <c r="O83" s="85">
        <f t="shared" si="144"/>
        <v>0</v>
      </c>
      <c r="P83" s="85">
        <f t="shared" si="145"/>
        <v>0</v>
      </c>
      <c r="Q83" s="85">
        <f t="shared" si="146"/>
        <v>0</v>
      </c>
      <c r="R83" s="47">
        <f t="shared" si="123"/>
        <v>51</v>
      </c>
      <c r="S83" s="47">
        <f t="shared" si="124"/>
        <v>51</v>
      </c>
      <c r="T83" s="47">
        <f t="shared" si="125"/>
        <v>51</v>
      </c>
      <c r="U83" s="47">
        <f t="shared" si="126"/>
        <v>51</v>
      </c>
      <c r="V83" s="366">
        <f t="shared" si="131"/>
        <v>242250</v>
      </c>
      <c r="W83" s="366">
        <f t="shared" si="132"/>
        <v>242250</v>
      </c>
      <c r="X83" s="366">
        <f t="shared" si="133"/>
        <v>242250</v>
      </c>
      <c r="Y83" s="366">
        <f t="shared" si="134"/>
        <v>242250</v>
      </c>
      <c r="Z83" s="47">
        <v>12</v>
      </c>
      <c r="AA83" s="179">
        <f t="shared" si="103"/>
        <v>57000</v>
      </c>
      <c r="AB83" s="47">
        <v>12</v>
      </c>
      <c r="AC83" s="179">
        <f t="shared" si="104"/>
        <v>57000</v>
      </c>
      <c r="AD83" s="47">
        <v>12</v>
      </c>
      <c r="AE83" s="179">
        <f t="shared" si="105"/>
        <v>57000</v>
      </c>
      <c r="AF83" s="47">
        <v>12</v>
      </c>
      <c r="AG83" s="179">
        <f t="shared" si="106"/>
        <v>57000</v>
      </c>
      <c r="AH83" s="47">
        <v>12</v>
      </c>
      <c r="AI83" s="179">
        <f t="shared" si="107"/>
        <v>57000</v>
      </c>
      <c r="AJ83" s="47">
        <v>12</v>
      </c>
      <c r="AK83" s="179">
        <f t="shared" si="108"/>
        <v>57000</v>
      </c>
      <c r="AL83" s="47">
        <v>12</v>
      </c>
      <c r="AM83" s="179">
        <f t="shared" si="109"/>
        <v>57000</v>
      </c>
      <c r="AN83" s="47">
        <v>12</v>
      </c>
      <c r="AO83" s="179">
        <f t="shared" si="110"/>
        <v>57000</v>
      </c>
      <c r="AP83" s="47">
        <v>12</v>
      </c>
      <c r="AQ83" s="179">
        <f t="shared" si="111"/>
        <v>57000</v>
      </c>
      <c r="AR83" s="47">
        <v>12</v>
      </c>
      <c r="AS83" s="179">
        <f t="shared" si="112"/>
        <v>57000</v>
      </c>
      <c r="AT83" s="47">
        <v>12</v>
      </c>
      <c r="AU83" s="179">
        <f t="shared" si="113"/>
        <v>57000</v>
      </c>
      <c r="AV83" s="47">
        <v>12</v>
      </c>
      <c r="AW83" s="179">
        <f t="shared" si="114"/>
        <v>57000</v>
      </c>
      <c r="AX83" s="47">
        <v>12</v>
      </c>
      <c r="AY83" s="179">
        <f t="shared" si="115"/>
        <v>57000</v>
      </c>
      <c r="AZ83" s="47">
        <v>12</v>
      </c>
      <c r="BA83" s="179">
        <f t="shared" si="116"/>
        <v>57000</v>
      </c>
      <c r="BB83" s="47">
        <v>12</v>
      </c>
      <c r="BC83" s="179">
        <f t="shared" si="117"/>
        <v>57000</v>
      </c>
      <c r="BD83" s="47">
        <v>12</v>
      </c>
      <c r="BE83" s="179">
        <f t="shared" si="118"/>
        <v>57000</v>
      </c>
      <c r="BF83" s="47">
        <v>12</v>
      </c>
      <c r="BG83" s="179">
        <f t="shared" si="119"/>
        <v>57000</v>
      </c>
      <c r="BH83" s="47">
        <v>0</v>
      </c>
      <c r="BI83" s="179">
        <f t="shared" si="120"/>
        <v>0</v>
      </c>
      <c r="BJ83" s="47">
        <f t="shared" si="135"/>
        <v>204</v>
      </c>
      <c r="BK83" s="117">
        <f t="shared" si="135"/>
        <v>969000</v>
      </c>
      <c r="BL83" s="293" t="s">
        <v>470</v>
      </c>
      <c r="BN83" s="113"/>
      <c r="BO83" s="113"/>
      <c r="BP83" s="113"/>
      <c r="BQ83" s="113"/>
      <c r="BR83" s="113">
        <f t="shared" si="147"/>
        <v>0</v>
      </c>
      <c r="BS83" s="113">
        <f t="shared" si="136"/>
        <v>969000</v>
      </c>
      <c r="BT83" s="113"/>
      <c r="BU83" s="124">
        <f t="shared" si="148"/>
        <v>969000</v>
      </c>
      <c r="BV83" s="179">
        <f t="shared" si="121"/>
        <v>969000</v>
      </c>
    </row>
    <row r="84" spans="1:74" ht="31.5" x14ac:dyDescent="0.25">
      <c r="A84" s="1023"/>
      <c r="B84" s="38"/>
      <c r="C84" s="38" t="s">
        <v>314</v>
      </c>
      <c r="D84" s="38" t="s">
        <v>73</v>
      </c>
      <c r="E84" s="365">
        <f>0.05*100000</f>
        <v>5000</v>
      </c>
      <c r="F84" s="47">
        <f t="shared" si="129"/>
        <v>204</v>
      </c>
      <c r="G84" s="85">
        <f t="shared" si="130"/>
        <v>1020000</v>
      </c>
      <c r="H84" s="85">
        <f t="shared" si="137"/>
        <v>510000</v>
      </c>
      <c r="I84" s="85">
        <f t="shared" si="138"/>
        <v>510000</v>
      </c>
      <c r="J84" s="85">
        <f t="shared" si="139"/>
        <v>0</v>
      </c>
      <c r="K84" s="85">
        <f t="shared" si="140"/>
        <v>0</v>
      </c>
      <c r="L84" s="85">
        <f t="shared" si="141"/>
        <v>0</v>
      </c>
      <c r="M84" s="85">
        <f t="shared" si="142"/>
        <v>0</v>
      </c>
      <c r="N84" s="85">
        <f t="shared" si="143"/>
        <v>0</v>
      </c>
      <c r="O84" s="85">
        <f t="shared" si="144"/>
        <v>0</v>
      </c>
      <c r="P84" s="85">
        <f t="shared" si="145"/>
        <v>0</v>
      </c>
      <c r="Q84" s="85">
        <f t="shared" si="146"/>
        <v>0</v>
      </c>
      <c r="R84" s="47">
        <f t="shared" si="123"/>
        <v>51</v>
      </c>
      <c r="S84" s="47">
        <f t="shared" si="124"/>
        <v>51</v>
      </c>
      <c r="T84" s="47">
        <f t="shared" si="125"/>
        <v>51</v>
      </c>
      <c r="U84" s="47">
        <f t="shared" si="126"/>
        <v>51</v>
      </c>
      <c r="V84" s="366">
        <f t="shared" si="131"/>
        <v>255000</v>
      </c>
      <c r="W84" s="366">
        <f t="shared" si="132"/>
        <v>255000</v>
      </c>
      <c r="X84" s="366">
        <f t="shared" si="133"/>
        <v>255000</v>
      </c>
      <c r="Y84" s="366">
        <f t="shared" si="134"/>
        <v>255000</v>
      </c>
      <c r="Z84" s="47">
        <v>12</v>
      </c>
      <c r="AA84" s="179">
        <f t="shared" si="103"/>
        <v>60000</v>
      </c>
      <c r="AB84" s="47">
        <v>12</v>
      </c>
      <c r="AC84" s="179">
        <f t="shared" si="104"/>
        <v>60000</v>
      </c>
      <c r="AD84" s="47">
        <v>12</v>
      </c>
      <c r="AE84" s="179">
        <f t="shared" si="105"/>
        <v>60000</v>
      </c>
      <c r="AF84" s="47">
        <v>12</v>
      </c>
      <c r="AG84" s="179">
        <f t="shared" si="106"/>
        <v>60000</v>
      </c>
      <c r="AH84" s="47">
        <v>12</v>
      </c>
      <c r="AI84" s="179">
        <f t="shared" si="107"/>
        <v>60000</v>
      </c>
      <c r="AJ84" s="47">
        <v>12</v>
      </c>
      <c r="AK84" s="179">
        <f t="shared" si="108"/>
        <v>60000</v>
      </c>
      <c r="AL84" s="47">
        <v>12</v>
      </c>
      <c r="AM84" s="179">
        <f t="shared" si="109"/>
        <v>60000</v>
      </c>
      <c r="AN84" s="47">
        <v>12</v>
      </c>
      <c r="AO84" s="179">
        <f t="shared" si="110"/>
        <v>60000</v>
      </c>
      <c r="AP84" s="47">
        <v>12</v>
      </c>
      <c r="AQ84" s="179">
        <f t="shared" si="111"/>
        <v>60000</v>
      </c>
      <c r="AR84" s="47">
        <v>12</v>
      </c>
      <c r="AS84" s="179">
        <f t="shared" si="112"/>
        <v>60000</v>
      </c>
      <c r="AT84" s="47">
        <v>12</v>
      </c>
      <c r="AU84" s="179">
        <f t="shared" si="113"/>
        <v>60000</v>
      </c>
      <c r="AV84" s="47">
        <v>12</v>
      </c>
      <c r="AW84" s="179">
        <f t="shared" si="114"/>
        <v>60000</v>
      </c>
      <c r="AX84" s="47">
        <v>12</v>
      </c>
      <c r="AY84" s="179">
        <f t="shared" si="115"/>
        <v>60000</v>
      </c>
      <c r="AZ84" s="47">
        <v>12</v>
      </c>
      <c r="BA84" s="179">
        <f t="shared" si="116"/>
        <v>60000</v>
      </c>
      <c r="BB84" s="47">
        <v>12</v>
      </c>
      <c r="BC84" s="179">
        <f t="shared" si="117"/>
        <v>60000</v>
      </c>
      <c r="BD84" s="47">
        <v>12</v>
      </c>
      <c r="BE84" s="179">
        <f t="shared" si="118"/>
        <v>60000</v>
      </c>
      <c r="BF84" s="47">
        <v>12</v>
      </c>
      <c r="BG84" s="179">
        <f t="shared" si="119"/>
        <v>60000</v>
      </c>
      <c r="BH84" s="47">
        <v>0</v>
      </c>
      <c r="BI84" s="179">
        <f t="shared" si="120"/>
        <v>0</v>
      </c>
      <c r="BJ84" s="47">
        <f t="shared" si="135"/>
        <v>204</v>
      </c>
      <c r="BK84" s="117">
        <f t="shared" si="135"/>
        <v>1020000</v>
      </c>
      <c r="BL84" s="293" t="s">
        <v>470</v>
      </c>
      <c r="BN84" s="113"/>
      <c r="BO84" s="113"/>
      <c r="BP84" s="113"/>
      <c r="BQ84" s="113"/>
      <c r="BR84" s="113">
        <f t="shared" si="147"/>
        <v>0</v>
      </c>
      <c r="BS84" s="113">
        <f t="shared" si="136"/>
        <v>1020000</v>
      </c>
      <c r="BT84" s="113"/>
      <c r="BU84" s="124">
        <f t="shared" si="148"/>
        <v>1020000</v>
      </c>
      <c r="BV84" s="179">
        <f t="shared" si="121"/>
        <v>1020000</v>
      </c>
    </row>
    <row r="85" spans="1:74" ht="31.5" x14ac:dyDescent="0.25">
      <c r="A85" s="1023"/>
      <c r="B85" s="38"/>
      <c r="C85" s="38" t="s">
        <v>315</v>
      </c>
      <c r="D85" s="38" t="s">
        <v>73</v>
      </c>
      <c r="E85" s="365">
        <f>0.0375*100000</f>
        <v>3750</v>
      </c>
      <c r="F85" s="47">
        <f t="shared" si="129"/>
        <v>204</v>
      </c>
      <c r="G85" s="85">
        <f t="shared" si="130"/>
        <v>765000</v>
      </c>
      <c r="H85" s="85">
        <f t="shared" si="137"/>
        <v>382500</v>
      </c>
      <c r="I85" s="85">
        <f t="shared" si="138"/>
        <v>382500</v>
      </c>
      <c r="J85" s="85">
        <f t="shared" si="139"/>
        <v>0</v>
      </c>
      <c r="K85" s="85">
        <f t="shared" si="140"/>
        <v>0</v>
      </c>
      <c r="L85" s="85">
        <f t="shared" si="141"/>
        <v>0</v>
      </c>
      <c r="M85" s="85">
        <f t="shared" si="142"/>
        <v>0</v>
      </c>
      <c r="N85" s="85">
        <f t="shared" si="143"/>
        <v>0</v>
      </c>
      <c r="O85" s="85">
        <f t="shared" si="144"/>
        <v>0</v>
      </c>
      <c r="P85" s="85">
        <f t="shared" si="145"/>
        <v>0</v>
      </c>
      <c r="Q85" s="85">
        <f t="shared" si="146"/>
        <v>0</v>
      </c>
      <c r="R85" s="47">
        <f t="shared" si="123"/>
        <v>51</v>
      </c>
      <c r="S85" s="47">
        <f t="shared" si="124"/>
        <v>51</v>
      </c>
      <c r="T85" s="47">
        <f t="shared" si="125"/>
        <v>51</v>
      </c>
      <c r="U85" s="47">
        <f t="shared" si="126"/>
        <v>51</v>
      </c>
      <c r="V85" s="366">
        <f t="shared" si="131"/>
        <v>191250</v>
      </c>
      <c r="W85" s="366">
        <f t="shared" si="132"/>
        <v>191250</v>
      </c>
      <c r="X85" s="366">
        <f t="shared" si="133"/>
        <v>191250</v>
      </c>
      <c r="Y85" s="366">
        <f t="shared" si="134"/>
        <v>191250</v>
      </c>
      <c r="Z85" s="47">
        <v>12</v>
      </c>
      <c r="AA85" s="179">
        <f t="shared" si="103"/>
        <v>45000</v>
      </c>
      <c r="AB85" s="47">
        <v>12</v>
      </c>
      <c r="AC85" s="179">
        <f t="shared" si="104"/>
        <v>45000</v>
      </c>
      <c r="AD85" s="47">
        <v>12</v>
      </c>
      <c r="AE85" s="179">
        <f t="shared" si="105"/>
        <v>45000</v>
      </c>
      <c r="AF85" s="47">
        <v>12</v>
      </c>
      <c r="AG85" s="179">
        <f t="shared" si="106"/>
        <v>45000</v>
      </c>
      <c r="AH85" s="47">
        <v>12</v>
      </c>
      <c r="AI85" s="179">
        <f t="shared" si="107"/>
        <v>45000</v>
      </c>
      <c r="AJ85" s="47">
        <v>12</v>
      </c>
      <c r="AK85" s="179">
        <f t="shared" si="108"/>
        <v>45000</v>
      </c>
      <c r="AL85" s="47">
        <v>12</v>
      </c>
      <c r="AM85" s="179">
        <f t="shared" si="109"/>
        <v>45000</v>
      </c>
      <c r="AN85" s="47">
        <v>12</v>
      </c>
      <c r="AO85" s="179">
        <f t="shared" si="110"/>
        <v>45000</v>
      </c>
      <c r="AP85" s="47">
        <v>12</v>
      </c>
      <c r="AQ85" s="179">
        <f t="shared" si="111"/>
        <v>45000</v>
      </c>
      <c r="AR85" s="47">
        <v>12</v>
      </c>
      <c r="AS85" s="179">
        <f t="shared" si="112"/>
        <v>45000</v>
      </c>
      <c r="AT85" s="47">
        <v>12</v>
      </c>
      <c r="AU85" s="179">
        <f t="shared" si="113"/>
        <v>45000</v>
      </c>
      <c r="AV85" s="47">
        <v>12</v>
      </c>
      <c r="AW85" s="179">
        <f t="shared" si="114"/>
        <v>45000</v>
      </c>
      <c r="AX85" s="47">
        <v>12</v>
      </c>
      <c r="AY85" s="179">
        <f t="shared" si="115"/>
        <v>45000</v>
      </c>
      <c r="AZ85" s="47">
        <v>12</v>
      </c>
      <c r="BA85" s="179">
        <f t="shared" si="116"/>
        <v>45000</v>
      </c>
      <c r="BB85" s="47">
        <v>12</v>
      </c>
      <c r="BC85" s="179">
        <f t="shared" si="117"/>
        <v>45000</v>
      </c>
      <c r="BD85" s="47">
        <v>12</v>
      </c>
      <c r="BE85" s="179">
        <f t="shared" si="118"/>
        <v>45000</v>
      </c>
      <c r="BF85" s="47">
        <v>12</v>
      </c>
      <c r="BG85" s="179">
        <f t="shared" si="119"/>
        <v>45000</v>
      </c>
      <c r="BH85" s="47">
        <v>0</v>
      </c>
      <c r="BI85" s="179">
        <f t="shared" si="120"/>
        <v>0</v>
      </c>
      <c r="BJ85" s="47">
        <f t="shared" si="135"/>
        <v>204</v>
      </c>
      <c r="BK85" s="117">
        <f t="shared" si="135"/>
        <v>765000</v>
      </c>
      <c r="BL85" s="293" t="s">
        <v>470</v>
      </c>
      <c r="BN85" s="113"/>
      <c r="BO85" s="113"/>
      <c r="BP85" s="113"/>
      <c r="BQ85" s="113"/>
      <c r="BR85" s="113">
        <f t="shared" si="147"/>
        <v>0</v>
      </c>
      <c r="BS85" s="113">
        <f t="shared" si="136"/>
        <v>765000</v>
      </c>
      <c r="BT85" s="113"/>
      <c r="BU85" s="124">
        <f t="shared" si="148"/>
        <v>765000</v>
      </c>
      <c r="BV85" s="179">
        <f t="shared" si="121"/>
        <v>765000</v>
      </c>
    </row>
    <row r="86" spans="1:74" ht="31.5" x14ac:dyDescent="0.25">
      <c r="A86" s="1023"/>
      <c r="B86" s="38"/>
      <c r="C86" s="38" t="s">
        <v>316</v>
      </c>
      <c r="D86" s="38" t="s">
        <v>73</v>
      </c>
      <c r="E86" s="365">
        <f>0.14*100000</f>
        <v>14000.000000000002</v>
      </c>
      <c r="F86" s="47">
        <f t="shared" si="129"/>
        <v>0</v>
      </c>
      <c r="G86" s="85">
        <f t="shared" si="130"/>
        <v>0</v>
      </c>
      <c r="H86" s="85">
        <f t="shared" si="137"/>
        <v>0</v>
      </c>
      <c r="I86" s="85">
        <f t="shared" si="138"/>
        <v>0</v>
      </c>
      <c r="J86" s="85">
        <f t="shared" si="139"/>
        <v>0</v>
      </c>
      <c r="K86" s="85">
        <f t="shared" si="140"/>
        <v>0</v>
      </c>
      <c r="L86" s="85">
        <f t="shared" si="141"/>
        <v>0</v>
      </c>
      <c r="M86" s="85">
        <f t="shared" si="142"/>
        <v>0</v>
      </c>
      <c r="N86" s="85">
        <f t="shared" si="143"/>
        <v>0</v>
      </c>
      <c r="O86" s="85">
        <f t="shared" si="144"/>
        <v>0</v>
      </c>
      <c r="P86" s="85">
        <f t="shared" si="145"/>
        <v>0</v>
      </c>
      <c r="Q86" s="85">
        <f t="shared" si="146"/>
        <v>0</v>
      </c>
      <c r="R86" s="47">
        <f t="shared" si="123"/>
        <v>0</v>
      </c>
      <c r="S86" s="47">
        <f t="shared" si="124"/>
        <v>0</v>
      </c>
      <c r="T86" s="47">
        <f t="shared" si="125"/>
        <v>0</v>
      </c>
      <c r="U86" s="47">
        <f t="shared" si="126"/>
        <v>0</v>
      </c>
      <c r="V86" s="366">
        <f t="shared" si="131"/>
        <v>0</v>
      </c>
      <c r="W86" s="366">
        <f t="shared" si="132"/>
        <v>0</v>
      </c>
      <c r="X86" s="366">
        <f t="shared" si="133"/>
        <v>0</v>
      </c>
      <c r="Y86" s="366">
        <f t="shared" si="134"/>
        <v>0</v>
      </c>
      <c r="Z86" s="47">
        <v>0</v>
      </c>
      <c r="AA86" s="179">
        <f t="shared" si="103"/>
        <v>0</v>
      </c>
      <c r="AB86" s="47">
        <v>0</v>
      </c>
      <c r="AC86" s="179">
        <f t="shared" si="104"/>
        <v>0</v>
      </c>
      <c r="AD86" s="47">
        <v>0</v>
      </c>
      <c r="AE86" s="179">
        <f t="shared" si="105"/>
        <v>0</v>
      </c>
      <c r="AF86" s="47">
        <v>0</v>
      </c>
      <c r="AG86" s="179">
        <f t="shared" si="106"/>
        <v>0</v>
      </c>
      <c r="AH86" s="47">
        <v>0</v>
      </c>
      <c r="AI86" s="179">
        <f t="shared" si="107"/>
        <v>0</v>
      </c>
      <c r="AJ86" s="47">
        <v>0</v>
      </c>
      <c r="AK86" s="179">
        <f t="shared" si="108"/>
        <v>0</v>
      </c>
      <c r="AL86" s="47">
        <v>0</v>
      </c>
      <c r="AM86" s="179">
        <f t="shared" si="109"/>
        <v>0</v>
      </c>
      <c r="AN86" s="47">
        <v>0</v>
      </c>
      <c r="AO86" s="179">
        <f t="shared" si="110"/>
        <v>0</v>
      </c>
      <c r="AP86" s="47">
        <v>0</v>
      </c>
      <c r="AQ86" s="179">
        <f t="shared" si="111"/>
        <v>0</v>
      </c>
      <c r="AR86" s="47">
        <v>0</v>
      </c>
      <c r="AS86" s="179">
        <f t="shared" si="112"/>
        <v>0</v>
      </c>
      <c r="AT86" s="47">
        <v>0</v>
      </c>
      <c r="AU86" s="179">
        <f t="shared" si="113"/>
        <v>0</v>
      </c>
      <c r="AV86" s="47">
        <v>0</v>
      </c>
      <c r="AW86" s="179">
        <f t="shared" si="114"/>
        <v>0</v>
      </c>
      <c r="AX86" s="47">
        <v>0</v>
      </c>
      <c r="AY86" s="179">
        <f t="shared" si="115"/>
        <v>0</v>
      </c>
      <c r="AZ86" s="47">
        <v>0</v>
      </c>
      <c r="BA86" s="179">
        <f t="shared" si="116"/>
        <v>0</v>
      </c>
      <c r="BB86" s="47">
        <v>0</v>
      </c>
      <c r="BC86" s="179">
        <f t="shared" si="117"/>
        <v>0</v>
      </c>
      <c r="BD86" s="47">
        <v>0</v>
      </c>
      <c r="BE86" s="179">
        <f t="shared" si="118"/>
        <v>0</v>
      </c>
      <c r="BF86" s="47">
        <v>0</v>
      </c>
      <c r="BG86" s="179">
        <f t="shared" si="119"/>
        <v>0</v>
      </c>
      <c r="BH86" s="47">
        <v>0</v>
      </c>
      <c r="BI86" s="179">
        <f t="shared" si="120"/>
        <v>0</v>
      </c>
      <c r="BJ86" s="47">
        <f t="shared" si="135"/>
        <v>0</v>
      </c>
      <c r="BK86" s="117">
        <f t="shared" si="135"/>
        <v>0</v>
      </c>
      <c r="BL86" s="293" t="s">
        <v>470</v>
      </c>
      <c r="BN86" s="113"/>
      <c r="BO86" s="113"/>
      <c r="BP86" s="113"/>
      <c r="BQ86" s="113"/>
      <c r="BR86" s="113">
        <f t="shared" si="147"/>
        <v>0</v>
      </c>
      <c r="BS86" s="113">
        <f t="shared" si="136"/>
        <v>0</v>
      </c>
      <c r="BT86" s="113"/>
      <c r="BU86" s="124">
        <f t="shared" si="148"/>
        <v>0</v>
      </c>
      <c r="BV86" s="179">
        <f t="shared" si="121"/>
        <v>0</v>
      </c>
    </row>
    <row r="87" spans="1:74" x14ac:dyDescent="0.25">
      <c r="A87" s="1023"/>
      <c r="B87" s="259"/>
      <c r="C87" s="389" t="s">
        <v>363</v>
      </c>
      <c r="D87" s="382"/>
      <c r="E87" s="391"/>
      <c r="F87" s="391">
        <f>SUM(F80:F86)</f>
        <v>833</v>
      </c>
      <c r="G87" s="390">
        <f>SUM(G80:G86)</f>
        <v>8874000</v>
      </c>
      <c r="H87" s="390">
        <f t="shared" ref="H87:Q87" si="149">SUM(H80:H86)</f>
        <v>4437000</v>
      </c>
      <c r="I87" s="390">
        <f t="shared" si="149"/>
        <v>4437000</v>
      </c>
      <c r="J87" s="390">
        <f t="shared" si="149"/>
        <v>0</v>
      </c>
      <c r="K87" s="390">
        <f t="shared" si="149"/>
        <v>0</v>
      </c>
      <c r="L87" s="390">
        <f t="shared" si="149"/>
        <v>0</v>
      </c>
      <c r="M87" s="390">
        <f t="shared" si="149"/>
        <v>0</v>
      </c>
      <c r="N87" s="390">
        <f t="shared" si="149"/>
        <v>0</v>
      </c>
      <c r="O87" s="390">
        <f t="shared" si="149"/>
        <v>0</v>
      </c>
      <c r="P87" s="390">
        <f t="shared" si="149"/>
        <v>0</v>
      </c>
      <c r="Q87" s="390">
        <f t="shared" si="149"/>
        <v>0</v>
      </c>
      <c r="R87" s="242">
        <f t="shared" si="123"/>
        <v>208.25</v>
      </c>
      <c r="S87" s="242">
        <f t="shared" si="124"/>
        <v>208.25</v>
      </c>
      <c r="T87" s="242">
        <f t="shared" si="125"/>
        <v>208.25</v>
      </c>
      <c r="U87" s="242">
        <f t="shared" si="126"/>
        <v>208.25</v>
      </c>
      <c r="V87" s="242">
        <f>G87*0.25</f>
        <v>2218500</v>
      </c>
      <c r="W87" s="242">
        <f>G87*0.25</f>
        <v>2218500</v>
      </c>
      <c r="X87" s="242">
        <f>G87*0.25</f>
        <v>2218500</v>
      </c>
      <c r="Y87" s="242">
        <f>G87*0.25</f>
        <v>2218500</v>
      </c>
      <c r="Z87" s="391">
        <f t="shared" ref="Z87:BK87" si="150">SUM(Z80:Z86)</f>
        <v>49</v>
      </c>
      <c r="AA87" s="391">
        <f t="shared" si="150"/>
        <v>522000</v>
      </c>
      <c r="AB87" s="391">
        <f t="shared" si="150"/>
        <v>49</v>
      </c>
      <c r="AC87" s="391">
        <f t="shared" si="150"/>
        <v>522000</v>
      </c>
      <c r="AD87" s="391">
        <f t="shared" si="150"/>
        <v>49</v>
      </c>
      <c r="AE87" s="391">
        <f t="shared" si="150"/>
        <v>522000</v>
      </c>
      <c r="AF87" s="391">
        <f t="shared" si="150"/>
        <v>49</v>
      </c>
      <c r="AG87" s="391">
        <f t="shared" si="150"/>
        <v>522000</v>
      </c>
      <c r="AH87" s="391">
        <f t="shared" si="150"/>
        <v>49</v>
      </c>
      <c r="AI87" s="391">
        <f t="shared" si="150"/>
        <v>522000</v>
      </c>
      <c r="AJ87" s="391">
        <f t="shared" si="150"/>
        <v>49</v>
      </c>
      <c r="AK87" s="391">
        <f t="shared" si="150"/>
        <v>522000</v>
      </c>
      <c r="AL87" s="391">
        <f t="shared" si="150"/>
        <v>49</v>
      </c>
      <c r="AM87" s="391">
        <f t="shared" si="150"/>
        <v>522000</v>
      </c>
      <c r="AN87" s="391">
        <f t="shared" si="150"/>
        <v>49</v>
      </c>
      <c r="AO87" s="391">
        <f t="shared" si="150"/>
        <v>522000</v>
      </c>
      <c r="AP87" s="391">
        <f t="shared" si="150"/>
        <v>49</v>
      </c>
      <c r="AQ87" s="391">
        <f t="shared" si="150"/>
        <v>522000</v>
      </c>
      <c r="AR87" s="391">
        <f t="shared" si="150"/>
        <v>49</v>
      </c>
      <c r="AS87" s="391">
        <f t="shared" si="150"/>
        <v>522000</v>
      </c>
      <c r="AT87" s="391">
        <f t="shared" si="150"/>
        <v>49</v>
      </c>
      <c r="AU87" s="391">
        <f t="shared" si="150"/>
        <v>522000</v>
      </c>
      <c r="AV87" s="391">
        <f t="shared" si="150"/>
        <v>49</v>
      </c>
      <c r="AW87" s="391">
        <f t="shared" si="150"/>
        <v>522000</v>
      </c>
      <c r="AX87" s="391">
        <f t="shared" si="150"/>
        <v>49</v>
      </c>
      <c r="AY87" s="391">
        <f t="shared" si="150"/>
        <v>522000</v>
      </c>
      <c r="AZ87" s="391">
        <f t="shared" si="150"/>
        <v>49</v>
      </c>
      <c r="BA87" s="391">
        <f t="shared" si="150"/>
        <v>522000</v>
      </c>
      <c r="BB87" s="391">
        <f t="shared" si="150"/>
        <v>49</v>
      </c>
      <c r="BC87" s="391">
        <f t="shared" si="150"/>
        <v>522000</v>
      </c>
      <c r="BD87" s="391">
        <f t="shared" si="150"/>
        <v>49</v>
      </c>
      <c r="BE87" s="391">
        <f t="shared" si="150"/>
        <v>522000</v>
      </c>
      <c r="BF87" s="391">
        <f t="shared" si="150"/>
        <v>49</v>
      </c>
      <c r="BG87" s="391">
        <f t="shared" si="150"/>
        <v>522000</v>
      </c>
      <c r="BH87" s="391">
        <f t="shared" si="150"/>
        <v>0</v>
      </c>
      <c r="BI87" s="391">
        <f t="shared" si="150"/>
        <v>0</v>
      </c>
      <c r="BJ87" s="382">
        <f t="shared" si="150"/>
        <v>833</v>
      </c>
      <c r="BK87" s="392">
        <f t="shared" si="150"/>
        <v>8874000</v>
      </c>
      <c r="BL87" s="293"/>
      <c r="BN87" s="384">
        <f t="shared" ref="BN87:BU87" si="151">SUM(BN80:BN86)</f>
        <v>0</v>
      </c>
      <c r="BO87" s="384">
        <f t="shared" si="151"/>
        <v>0</v>
      </c>
      <c r="BP87" s="384">
        <f t="shared" si="151"/>
        <v>0</v>
      </c>
      <c r="BQ87" s="384">
        <f t="shared" si="151"/>
        <v>0</v>
      </c>
      <c r="BR87" s="384">
        <f t="shared" si="151"/>
        <v>0</v>
      </c>
      <c r="BS87" s="384">
        <f t="shared" si="151"/>
        <v>8874000</v>
      </c>
      <c r="BT87" s="384">
        <f t="shared" si="151"/>
        <v>0</v>
      </c>
      <c r="BU87" s="384">
        <f t="shared" si="151"/>
        <v>8874000</v>
      </c>
      <c r="BV87" s="385">
        <f t="shared" si="121"/>
        <v>8874000</v>
      </c>
    </row>
    <row r="88" spans="1:74" s="67" customFormat="1" x14ac:dyDescent="0.25">
      <c r="A88" s="1023"/>
      <c r="B88" s="367"/>
      <c r="C88" s="369"/>
      <c r="D88" s="369"/>
      <c r="E88" s="369"/>
      <c r="F88" s="369">
        <f>F87+F78+F71+F66</f>
        <v>1846</v>
      </c>
      <c r="G88" s="370">
        <f>G87+G78+G71+G66</f>
        <v>36122400</v>
      </c>
      <c r="H88" s="370">
        <f t="shared" ref="H88:Q88" si="152">H87+H78+H71+H66</f>
        <v>18061200</v>
      </c>
      <c r="I88" s="370">
        <f t="shared" si="152"/>
        <v>18061200</v>
      </c>
      <c r="J88" s="370">
        <f t="shared" si="152"/>
        <v>0</v>
      </c>
      <c r="K88" s="370">
        <f t="shared" si="152"/>
        <v>0</v>
      </c>
      <c r="L88" s="370">
        <f t="shared" si="152"/>
        <v>0</v>
      </c>
      <c r="M88" s="370">
        <f t="shared" si="152"/>
        <v>0</v>
      </c>
      <c r="N88" s="370">
        <f t="shared" si="152"/>
        <v>0</v>
      </c>
      <c r="O88" s="370">
        <f t="shared" si="152"/>
        <v>0</v>
      </c>
      <c r="P88" s="370">
        <f t="shared" si="152"/>
        <v>0</v>
      </c>
      <c r="Q88" s="370">
        <f t="shared" si="152"/>
        <v>0</v>
      </c>
      <c r="R88" s="393">
        <f t="shared" si="123"/>
        <v>461.5</v>
      </c>
      <c r="S88" s="393">
        <f t="shared" si="124"/>
        <v>461.5</v>
      </c>
      <c r="T88" s="393">
        <f t="shared" si="125"/>
        <v>461.5</v>
      </c>
      <c r="U88" s="393">
        <f t="shared" si="126"/>
        <v>461.5</v>
      </c>
      <c r="V88" s="393">
        <f>G88*0.25</f>
        <v>9030600</v>
      </c>
      <c r="W88" s="393">
        <f>G88*0.25</f>
        <v>9030600</v>
      </c>
      <c r="X88" s="393">
        <f>G88*0.25</f>
        <v>9030600</v>
      </c>
      <c r="Y88" s="393">
        <f>G88*0.25</f>
        <v>9030600</v>
      </c>
      <c r="Z88" s="369">
        <f t="shared" ref="Z88:BK88" si="153">Z87+Z78+Z71+Z66</f>
        <v>85</v>
      </c>
      <c r="AA88" s="369">
        <f t="shared" si="153"/>
        <v>1693200</v>
      </c>
      <c r="AB88" s="369">
        <f t="shared" si="153"/>
        <v>85</v>
      </c>
      <c r="AC88" s="369">
        <f t="shared" si="153"/>
        <v>1693200</v>
      </c>
      <c r="AD88" s="369">
        <f t="shared" si="153"/>
        <v>85</v>
      </c>
      <c r="AE88" s="369">
        <f t="shared" si="153"/>
        <v>1693200</v>
      </c>
      <c r="AF88" s="369">
        <f t="shared" si="153"/>
        <v>85</v>
      </c>
      <c r="AG88" s="369">
        <f t="shared" si="153"/>
        <v>1693200</v>
      </c>
      <c r="AH88" s="369">
        <f t="shared" si="153"/>
        <v>82</v>
      </c>
      <c r="AI88" s="369">
        <f t="shared" si="153"/>
        <v>1603200</v>
      </c>
      <c r="AJ88" s="369">
        <f t="shared" si="153"/>
        <v>85</v>
      </c>
      <c r="AK88" s="369">
        <f t="shared" si="153"/>
        <v>1693200</v>
      </c>
      <c r="AL88" s="369">
        <f t="shared" si="153"/>
        <v>85</v>
      </c>
      <c r="AM88" s="369">
        <f t="shared" si="153"/>
        <v>1693200</v>
      </c>
      <c r="AN88" s="369">
        <f t="shared" si="153"/>
        <v>85</v>
      </c>
      <c r="AO88" s="369">
        <f t="shared" si="153"/>
        <v>1693200</v>
      </c>
      <c r="AP88" s="369">
        <f t="shared" si="153"/>
        <v>85</v>
      </c>
      <c r="AQ88" s="369">
        <f t="shared" si="153"/>
        <v>1693200</v>
      </c>
      <c r="AR88" s="369">
        <f t="shared" si="153"/>
        <v>85</v>
      </c>
      <c r="AS88" s="369">
        <f t="shared" si="153"/>
        <v>1693200</v>
      </c>
      <c r="AT88" s="369">
        <f t="shared" si="153"/>
        <v>85</v>
      </c>
      <c r="AU88" s="369">
        <f t="shared" si="153"/>
        <v>1693200</v>
      </c>
      <c r="AV88" s="369">
        <f t="shared" si="153"/>
        <v>85</v>
      </c>
      <c r="AW88" s="369">
        <f t="shared" si="153"/>
        <v>1693200</v>
      </c>
      <c r="AX88" s="369">
        <f t="shared" si="153"/>
        <v>83</v>
      </c>
      <c r="AY88" s="369">
        <f t="shared" si="153"/>
        <v>1633200</v>
      </c>
      <c r="AZ88" s="369">
        <f t="shared" si="153"/>
        <v>85</v>
      </c>
      <c r="BA88" s="369">
        <f t="shared" si="153"/>
        <v>1693200</v>
      </c>
      <c r="BB88" s="369">
        <f t="shared" si="153"/>
        <v>83</v>
      </c>
      <c r="BC88" s="369">
        <f t="shared" si="153"/>
        <v>1633200</v>
      </c>
      <c r="BD88" s="369">
        <f t="shared" si="153"/>
        <v>85</v>
      </c>
      <c r="BE88" s="369">
        <f t="shared" si="153"/>
        <v>1693200</v>
      </c>
      <c r="BF88" s="369">
        <f t="shared" si="153"/>
        <v>85</v>
      </c>
      <c r="BG88" s="369">
        <f t="shared" si="153"/>
        <v>1693200</v>
      </c>
      <c r="BH88" s="369">
        <f t="shared" si="153"/>
        <v>408</v>
      </c>
      <c r="BI88" s="369">
        <f t="shared" si="153"/>
        <v>7548000</v>
      </c>
      <c r="BJ88" s="369">
        <f t="shared" si="153"/>
        <v>1846</v>
      </c>
      <c r="BK88" s="371">
        <f t="shared" si="153"/>
        <v>36122400</v>
      </c>
      <c r="BL88" s="118"/>
      <c r="BN88" s="371">
        <f t="shared" ref="BN88:BU88" si="154">BN87+BN78+BN71+BN66</f>
        <v>0</v>
      </c>
      <c r="BO88" s="371">
        <f t="shared" si="154"/>
        <v>0</v>
      </c>
      <c r="BP88" s="371">
        <f t="shared" si="154"/>
        <v>0</v>
      </c>
      <c r="BQ88" s="371">
        <f t="shared" si="154"/>
        <v>0</v>
      </c>
      <c r="BR88" s="371">
        <f t="shared" si="154"/>
        <v>0</v>
      </c>
      <c r="BS88" s="371">
        <f t="shared" si="154"/>
        <v>36122400</v>
      </c>
      <c r="BT88" s="371">
        <f t="shared" si="154"/>
        <v>0</v>
      </c>
      <c r="BU88" s="371">
        <f t="shared" si="154"/>
        <v>36122400</v>
      </c>
      <c r="BV88" s="380">
        <f t="shared" si="121"/>
        <v>36122400</v>
      </c>
    </row>
    <row r="89" spans="1:74" x14ac:dyDescent="0.25">
      <c r="A89" s="1023"/>
      <c r="B89" s="38">
        <v>41500</v>
      </c>
      <c r="C89" s="38" t="s">
        <v>319</v>
      </c>
      <c r="D89" s="38"/>
      <c r="E89" s="365"/>
      <c r="F89" s="38"/>
      <c r="G89" s="85"/>
      <c r="H89" s="85"/>
      <c r="I89" s="85"/>
      <c r="J89" s="85"/>
      <c r="K89" s="85"/>
      <c r="L89" s="85"/>
      <c r="M89" s="85"/>
      <c r="N89" s="85"/>
      <c r="O89" s="47"/>
      <c r="P89" s="47"/>
      <c r="Q89" s="47"/>
      <c r="R89" s="47">
        <f t="shared" si="123"/>
        <v>0</v>
      </c>
      <c r="S89" s="47">
        <f t="shared" si="124"/>
        <v>0</v>
      </c>
      <c r="T89" s="47">
        <f t="shared" si="125"/>
        <v>0</v>
      </c>
      <c r="U89" s="47">
        <f t="shared" si="126"/>
        <v>0</v>
      </c>
      <c r="V89" s="47">
        <f>G89*0.25</f>
        <v>0</v>
      </c>
      <c r="W89" s="47">
        <f>G89*0.25</f>
        <v>0</v>
      </c>
      <c r="X89" s="47">
        <f>G89*0.25</f>
        <v>0</v>
      </c>
      <c r="Y89" s="47">
        <f>G89*0.25</f>
        <v>0</v>
      </c>
      <c r="Z89" s="47"/>
      <c r="AA89" s="179">
        <f t="shared" si="103"/>
        <v>0</v>
      </c>
      <c r="AB89" s="47"/>
      <c r="AC89" s="179">
        <f t="shared" si="104"/>
        <v>0</v>
      </c>
      <c r="AD89" s="47"/>
      <c r="AE89" s="179">
        <f t="shared" si="105"/>
        <v>0</v>
      </c>
      <c r="AF89" s="47"/>
      <c r="AG89" s="179">
        <f t="shared" si="106"/>
        <v>0</v>
      </c>
      <c r="AH89" s="47"/>
      <c r="AI89" s="179">
        <f t="shared" si="107"/>
        <v>0</v>
      </c>
      <c r="AJ89" s="47"/>
      <c r="AK89" s="179">
        <f t="shared" si="108"/>
        <v>0</v>
      </c>
      <c r="AL89" s="47"/>
      <c r="AM89" s="179">
        <f t="shared" si="109"/>
        <v>0</v>
      </c>
      <c r="AN89" s="47"/>
      <c r="AO89" s="179">
        <f t="shared" si="110"/>
        <v>0</v>
      </c>
      <c r="AP89" s="47"/>
      <c r="AQ89" s="179">
        <f t="shared" si="111"/>
        <v>0</v>
      </c>
      <c r="AR89" s="47"/>
      <c r="AS89" s="179">
        <f t="shared" si="112"/>
        <v>0</v>
      </c>
      <c r="AT89" s="47"/>
      <c r="AU89" s="179">
        <f t="shared" si="113"/>
        <v>0</v>
      </c>
      <c r="AV89" s="47"/>
      <c r="AW89" s="179">
        <f t="shared" si="114"/>
        <v>0</v>
      </c>
      <c r="AX89" s="47"/>
      <c r="AY89" s="179">
        <f t="shared" si="115"/>
        <v>0</v>
      </c>
      <c r="AZ89" s="47"/>
      <c r="BA89" s="179">
        <f t="shared" si="116"/>
        <v>0</v>
      </c>
      <c r="BB89" s="47"/>
      <c r="BC89" s="179">
        <f t="shared" si="117"/>
        <v>0</v>
      </c>
      <c r="BD89" s="47"/>
      <c r="BE89" s="179">
        <f t="shared" si="118"/>
        <v>0</v>
      </c>
      <c r="BF89" s="47"/>
      <c r="BG89" s="179">
        <f t="shared" si="119"/>
        <v>0</v>
      </c>
      <c r="BH89" s="47"/>
      <c r="BI89" s="179">
        <f t="shared" si="120"/>
        <v>0</v>
      </c>
      <c r="BJ89" s="47"/>
      <c r="BK89" s="123"/>
      <c r="BL89" s="47"/>
      <c r="BN89" s="113"/>
      <c r="BO89" s="113"/>
      <c r="BP89" s="113"/>
      <c r="BQ89" s="113"/>
      <c r="BR89" s="113"/>
      <c r="BS89" s="113"/>
      <c r="BT89" s="113"/>
      <c r="BU89" s="124"/>
      <c r="BV89" s="179">
        <f t="shared" si="121"/>
        <v>0</v>
      </c>
    </row>
    <row r="90" spans="1:74" s="163" customFormat="1" ht="31.5" x14ac:dyDescent="0.25">
      <c r="A90" s="1023"/>
      <c r="B90" s="169">
        <v>41501</v>
      </c>
      <c r="C90" s="169" t="s">
        <v>876</v>
      </c>
      <c r="D90" s="169" t="s">
        <v>17</v>
      </c>
      <c r="E90" s="178">
        <v>100000</v>
      </c>
      <c r="F90" s="47">
        <f t="shared" ref="F90:F105" si="155">BJ90</f>
        <v>17</v>
      </c>
      <c r="G90" s="133">
        <f t="shared" ref="G90:G105" si="156">E90*F90</f>
        <v>1700000</v>
      </c>
      <c r="H90" s="133">
        <f>G90*0.5</f>
        <v>850000</v>
      </c>
      <c r="I90" s="133">
        <f>G90*0.5</f>
        <v>850000</v>
      </c>
      <c r="J90" s="133">
        <f>G90*0</f>
        <v>0</v>
      </c>
      <c r="K90" s="133">
        <f>G90*0</f>
        <v>0</v>
      </c>
      <c r="L90" s="133">
        <f>G90*0</f>
        <v>0</v>
      </c>
      <c r="M90" s="133">
        <f>G90*0</f>
        <v>0</v>
      </c>
      <c r="N90" s="133">
        <f>G90*0</f>
        <v>0</v>
      </c>
      <c r="O90" s="133">
        <f>G90*0</f>
        <v>0</v>
      </c>
      <c r="P90" s="133">
        <f>G90*0</f>
        <v>0</v>
      </c>
      <c r="Q90" s="133">
        <f>G90*0</f>
        <v>0</v>
      </c>
      <c r="R90" s="135">
        <f t="shared" si="123"/>
        <v>4.25</v>
      </c>
      <c r="S90" s="135">
        <f t="shared" si="124"/>
        <v>4.25</v>
      </c>
      <c r="T90" s="135">
        <f t="shared" si="125"/>
        <v>4.25</v>
      </c>
      <c r="U90" s="135">
        <f t="shared" si="126"/>
        <v>4.25</v>
      </c>
      <c r="V90" s="366">
        <f>R90*E90</f>
        <v>425000</v>
      </c>
      <c r="W90" s="366">
        <f>S90*E90</f>
        <v>425000</v>
      </c>
      <c r="X90" s="366">
        <f>T90*E90</f>
        <v>425000</v>
      </c>
      <c r="Y90" s="366">
        <f>U90*E90</f>
        <v>425000</v>
      </c>
      <c r="Z90" s="135">
        <v>1</v>
      </c>
      <c r="AA90" s="179">
        <f t="shared" si="103"/>
        <v>100000</v>
      </c>
      <c r="AB90" s="135">
        <v>1</v>
      </c>
      <c r="AC90" s="179">
        <f t="shared" si="104"/>
        <v>100000</v>
      </c>
      <c r="AD90" s="135">
        <v>1</v>
      </c>
      <c r="AE90" s="179">
        <f t="shared" si="105"/>
        <v>100000</v>
      </c>
      <c r="AF90" s="135">
        <v>1</v>
      </c>
      <c r="AG90" s="179">
        <f t="shared" si="106"/>
        <v>100000</v>
      </c>
      <c r="AH90" s="135">
        <v>1</v>
      </c>
      <c r="AI90" s="179">
        <f t="shared" si="107"/>
        <v>100000</v>
      </c>
      <c r="AJ90" s="135">
        <v>1</v>
      </c>
      <c r="AK90" s="179">
        <f t="shared" si="108"/>
        <v>100000</v>
      </c>
      <c r="AL90" s="135">
        <v>1</v>
      </c>
      <c r="AM90" s="179">
        <f t="shared" si="109"/>
        <v>100000</v>
      </c>
      <c r="AN90" s="135">
        <v>1</v>
      </c>
      <c r="AO90" s="179">
        <f t="shared" si="110"/>
        <v>100000</v>
      </c>
      <c r="AP90" s="135">
        <v>1</v>
      </c>
      <c r="AQ90" s="179">
        <f t="shared" si="111"/>
        <v>100000</v>
      </c>
      <c r="AR90" s="135">
        <v>1</v>
      </c>
      <c r="AS90" s="179">
        <f t="shared" si="112"/>
        <v>100000</v>
      </c>
      <c r="AT90" s="135">
        <v>1</v>
      </c>
      <c r="AU90" s="179">
        <f t="shared" si="113"/>
        <v>100000</v>
      </c>
      <c r="AV90" s="135">
        <v>1</v>
      </c>
      <c r="AW90" s="179">
        <f t="shared" si="114"/>
        <v>100000</v>
      </c>
      <c r="AX90" s="135">
        <v>1</v>
      </c>
      <c r="AY90" s="179">
        <f t="shared" si="115"/>
        <v>100000</v>
      </c>
      <c r="AZ90" s="135">
        <v>1</v>
      </c>
      <c r="BA90" s="179">
        <f t="shared" si="116"/>
        <v>100000</v>
      </c>
      <c r="BB90" s="135">
        <v>1</v>
      </c>
      <c r="BC90" s="179">
        <f t="shared" si="117"/>
        <v>100000</v>
      </c>
      <c r="BD90" s="135">
        <v>1</v>
      </c>
      <c r="BE90" s="179">
        <f t="shared" si="118"/>
        <v>100000</v>
      </c>
      <c r="BF90" s="135">
        <v>1</v>
      </c>
      <c r="BG90" s="179">
        <f t="shared" si="119"/>
        <v>100000</v>
      </c>
      <c r="BH90" s="135">
        <v>0</v>
      </c>
      <c r="BI90" s="179">
        <f t="shared" si="120"/>
        <v>0</v>
      </c>
      <c r="BJ90" s="135">
        <f t="shared" ref="BJ90:BK105" si="157">Z90+AB90+AD90+AF90+AH90+AJ90+AL90+AN90+AP90+AR90+AT90+AV90+AX90+AZ90+BB90+BD90+BF90+BH90</f>
        <v>17</v>
      </c>
      <c r="BK90" s="322">
        <f t="shared" si="157"/>
        <v>1700000</v>
      </c>
      <c r="BL90" s="298" t="s">
        <v>470</v>
      </c>
      <c r="BN90" s="176"/>
      <c r="BO90" s="176"/>
      <c r="BP90" s="176"/>
      <c r="BQ90" s="176"/>
      <c r="BR90" s="176">
        <f>BN90+BO90+BP90+BQ90</f>
        <v>0</v>
      </c>
      <c r="BS90" s="176"/>
      <c r="BT90" s="176">
        <f>G90</f>
        <v>1700000</v>
      </c>
      <c r="BU90" s="164">
        <f>BS90+BT90</f>
        <v>1700000</v>
      </c>
      <c r="BV90" s="189">
        <f t="shared" si="121"/>
        <v>1700000</v>
      </c>
    </row>
    <row r="91" spans="1:74" s="163" customFormat="1" x14ac:dyDescent="0.25">
      <c r="A91" s="1023"/>
      <c r="B91" s="169">
        <v>41502</v>
      </c>
      <c r="C91" s="169" t="s">
        <v>320</v>
      </c>
      <c r="D91" s="169" t="s">
        <v>17</v>
      </c>
      <c r="E91" s="178">
        <f>0.05*100000</f>
        <v>5000</v>
      </c>
      <c r="F91" s="47">
        <f t="shared" si="155"/>
        <v>17</v>
      </c>
      <c r="G91" s="133">
        <f t="shared" si="156"/>
        <v>85000</v>
      </c>
      <c r="H91" s="133">
        <f t="shared" ref="H91:H105" si="158">G91*0.5</f>
        <v>42500</v>
      </c>
      <c r="I91" s="133">
        <f t="shared" ref="I91:I105" si="159">G91*0.5</f>
        <v>42500</v>
      </c>
      <c r="J91" s="133">
        <f t="shared" ref="J91:J105" si="160">G91*0</f>
        <v>0</v>
      </c>
      <c r="K91" s="133">
        <f t="shared" ref="K91:K105" si="161">G91*0</f>
        <v>0</v>
      </c>
      <c r="L91" s="133">
        <f t="shared" ref="L91:L105" si="162">G91*0</f>
        <v>0</v>
      </c>
      <c r="M91" s="133">
        <f t="shared" ref="M91:M105" si="163">G91*0</f>
        <v>0</v>
      </c>
      <c r="N91" s="133">
        <f t="shared" ref="N91:N105" si="164">G91*0</f>
        <v>0</v>
      </c>
      <c r="O91" s="133">
        <f t="shared" ref="O91:O105" si="165">G91*0</f>
        <v>0</v>
      </c>
      <c r="P91" s="133">
        <f t="shared" ref="P91:P105" si="166">G91*0</f>
        <v>0</v>
      </c>
      <c r="Q91" s="133">
        <f t="shared" ref="Q91:Q105" si="167">G91*0</f>
        <v>0</v>
      </c>
      <c r="R91" s="135">
        <f t="shared" si="123"/>
        <v>4.25</v>
      </c>
      <c r="S91" s="135">
        <f t="shared" si="124"/>
        <v>4.25</v>
      </c>
      <c r="T91" s="135">
        <f t="shared" si="125"/>
        <v>4.25</v>
      </c>
      <c r="U91" s="135">
        <f t="shared" si="126"/>
        <v>4.25</v>
      </c>
      <c r="V91" s="366">
        <f t="shared" ref="V91:V110" si="168">R91*E91</f>
        <v>21250</v>
      </c>
      <c r="W91" s="366">
        <f t="shared" ref="W91:W110" si="169">S91*E91</f>
        <v>21250</v>
      </c>
      <c r="X91" s="366">
        <f t="shared" ref="X91:X110" si="170">T91*E91</f>
        <v>21250</v>
      </c>
      <c r="Y91" s="366">
        <f t="shared" ref="Y91:Y110" si="171">U91*E91</f>
        <v>21250</v>
      </c>
      <c r="Z91" s="135">
        <v>1</v>
      </c>
      <c r="AA91" s="179">
        <f t="shared" si="103"/>
        <v>5000</v>
      </c>
      <c r="AB91" s="135">
        <v>1</v>
      </c>
      <c r="AC91" s="179">
        <f t="shared" si="104"/>
        <v>5000</v>
      </c>
      <c r="AD91" s="135">
        <v>1</v>
      </c>
      <c r="AE91" s="179">
        <f t="shared" si="105"/>
        <v>5000</v>
      </c>
      <c r="AF91" s="135">
        <v>1</v>
      </c>
      <c r="AG91" s="179">
        <f t="shared" si="106"/>
        <v>5000</v>
      </c>
      <c r="AH91" s="135">
        <v>1</v>
      </c>
      <c r="AI91" s="179">
        <f t="shared" si="107"/>
        <v>5000</v>
      </c>
      <c r="AJ91" s="135">
        <v>1</v>
      </c>
      <c r="AK91" s="179">
        <f t="shared" si="108"/>
        <v>5000</v>
      </c>
      <c r="AL91" s="135">
        <v>1</v>
      </c>
      <c r="AM91" s="179">
        <f t="shared" si="109"/>
        <v>5000</v>
      </c>
      <c r="AN91" s="135">
        <v>1</v>
      </c>
      <c r="AO91" s="179">
        <f t="shared" si="110"/>
        <v>5000</v>
      </c>
      <c r="AP91" s="135">
        <v>1</v>
      </c>
      <c r="AQ91" s="179">
        <f t="shared" si="111"/>
        <v>5000</v>
      </c>
      <c r="AR91" s="135">
        <v>1</v>
      </c>
      <c r="AS91" s="179">
        <f t="shared" si="112"/>
        <v>5000</v>
      </c>
      <c r="AT91" s="135">
        <v>1</v>
      </c>
      <c r="AU91" s="179">
        <f t="shared" si="113"/>
        <v>5000</v>
      </c>
      <c r="AV91" s="135">
        <v>1</v>
      </c>
      <c r="AW91" s="179">
        <f t="shared" si="114"/>
        <v>5000</v>
      </c>
      <c r="AX91" s="135">
        <v>1</v>
      </c>
      <c r="AY91" s="179">
        <f t="shared" si="115"/>
        <v>5000</v>
      </c>
      <c r="AZ91" s="135">
        <v>1</v>
      </c>
      <c r="BA91" s="179">
        <f t="shared" si="116"/>
        <v>5000</v>
      </c>
      <c r="BB91" s="135">
        <v>1</v>
      </c>
      <c r="BC91" s="179">
        <f t="shared" si="117"/>
        <v>5000</v>
      </c>
      <c r="BD91" s="135">
        <v>1</v>
      </c>
      <c r="BE91" s="179">
        <f t="shared" si="118"/>
        <v>5000</v>
      </c>
      <c r="BF91" s="135">
        <v>1</v>
      </c>
      <c r="BG91" s="179">
        <f t="shared" si="119"/>
        <v>5000</v>
      </c>
      <c r="BH91" s="135">
        <v>0</v>
      </c>
      <c r="BI91" s="179">
        <f t="shared" si="120"/>
        <v>0</v>
      </c>
      <c r="BJ91" s="135">
        <f t="shared" si="157"/>
        <v>17</v>
      </c>
      <c r="BK91" s="322">
        <f t="shared" si="157"/>
        <v>85000</v>
      </c>
      <c r="BL91" s="298" t="s">
        <v>470</v>
      </c>
      <c r="BN91" s="176"/>
      <c r="BO91" s="176"/>
      <c r="BP91" s="176"/>
      <c r="BQ91" s="176"/>
      <c r="BR91" s="176">
        <f t="shared" ref="BR91:BR105" si="172">BN91+BO91+BP91+BQ91</f>
        <v>0</v>
      </c>
      <c r="BS91" s="176"/>
      <c r="BT91" s="176">
        <f t="shared" ref="BT91:BT105" si="173">G91</f>
        <v>85000</v>
      </c>
      <c r="BU91" s="164">
        <f t="shared" ref="BU91:BU105" si="174">BS91+BT91</f>
        <v>85000</v>
      </c>
      <c r="BV91" s="189">
        <f t="shared" si="121"/>
        <v>85000</v>
      </c>
    </row>
    <row r="92" spans="1:74" s="163" customFormat="1" ht="31.5" x14ac:dyDescent="0.25">
      <c r="A92" s="1023"/>
      <c r="B92" s="169">
        <v>41503</v>
      </c>
      <c r="C92" s="169" t="s">
        <v>321</v>
      </c>
      <c r="D92" s="169" t="s">
        <v>17</v>
      </c>
      <c r="E92" s="178">
        <v>0</v>
      </c>
      <c r="F92" s="47">
        <f t="shared" si="155"/>
        <v>0</v>
      </c>
      <c r="G92" s="133">
        <f t="shared" si="156"/>
        <v>0</v>
      </c>
      <c r="H92" s="133">
        <f t="shared" si="158"/>
        <v>0</v>
      </c>
      <c r="I92" s="133">
        <f t="shared" si="159"/>
        <v>0</v>
      </c>
      <c r="J92" s="133">
        <f t="shared" si="160"/>
        <v>0</v>
      </c>
      <c r="K92" s="133">
        <f t="shared" si="161"/>
        <v>0</v>
      </c>
      <c r="L92" s="133">
        <f t="shared" si="162"/>
        <v>0</v>
      </c>
      <c r="M92" s="133">
        <f t="shared" si="163"/>
        <v>0</v>
      </c>
      <c r="N92" s="133">
        <f t="shared" si="164"/>
        <v>0</v>
      </c>
      <c r="O92" s="133">
        <f t="shared" si="165"/>
        <v>0</v>
      </c>
      <c r="P92" s="133">
        <f t="shared" si="166"/>
        <v>0</v>
      </c>
      <c r="Q92" s="133">
        <f t="shared" si="167"/>
        <v>0</v>
      </c>
      <c r="R92" s="135">
        <f t="shared" si="123"/>
        <v>0</v>
      </c>
      <c r="S92" s="135">
        <f t="shared" si="124"/>
        <v>0</v>
      </c>
      <c r="T92" s="135">
        <f t="shared" si="125"/>
        <v>0</v>
      </c>
      <c r="U92" s="135">
        <f t="shared" si="126"/>
        <v>0</v>
      </c>
      <c r="V92" s="366">
        <f t="shared" si="168"/>
        <v>0</v>
      </c>
      <c r="W92" s="366">
        <f t="shared" si="169"/>
        <v>0</v>
      </c>
      <c r="X92" s="366">
        <f t="shared" si="170"/>
        <v>0</v>
      </c>
      <c r="Y92" s="366">
        <f t="shared" si="171"/>
        <v>0</v>
      </c>
      <c r="Z92" s="135">
        <v>0</v>
      </c>
      <c r="AA92" s="179">
        <f t="shared" si="103"/>
        <v>0</v>
      </c>
      <c r="AB92" s="135">
        <v>0</v>
      </c>
      <c r="AC92" s="179">
        <f t="shared" si="104"/>
        <v>0</v>
      </c>
      <c r="AD92" s="135">
        <v>0</v>
      </c>
      <c r="AE92" s="179">
        <f t="shared" si="105"/>
        <v>0</v>
      </c>
      <c r="AF92" s="135">
        <v>0</v>
      </c>
      <c r="AG92" s="179">
        <f t="shared" si="106"/>
        <v>0</v>
      </c>
      <c r="AH92" s="135">
        <v>0</v>
      </c>
      <c r="AI92" s="179">
        <f t="shared" si="107"/>
        <v>0</v>
      </c>
      <c r="AJ92" s="135">
        <v>0</v>
      </c>
      <c r="AK92" s="179">
        <f t="shared" si="108"/>
        <v>0</v>
      </c>
      <c r="AL92" s="135">
        <v>0</v>
      </c>
      <c r="AM92" s="179">
        <f t="shared" si="109"/>
        <v>0</v>
      </c>
      <c r="AN92" s="135">
        <v>0</v>
      </c>
      <c r="AO92" s="179">
        <f t="shared" si="110"/>
        <v>0</v>
      </c>
      <c r="AP92" s="135">
        <v>0</v>
      </c>
      <c r="AQ92" s="179">
        <f t="shared" si="111"/>
        <v>0</v>
      </c>
      <c r="AR92" s="135">
        <v>0</v>
      </c>
      <c r="AS92" s="179">
        <f t="shared" si="112"/>
        <v>0</v>
      </c>
      <c r="AT92" s="135">
        <v>0</v>
      </c>
      <c r="AU92" s="179">
        <f t="shared" si="113"/>
        <v>0</v>
      </c>
      <c r="AV92" s="135">
        <v>0</v>
      </c>
      <c r="AW92" s="179">
        <f t="shared" si="114"/>
        <v>0</v>
      </c>
      <c r="AX92" s="135">
        <v>0</v>
      </c>
      <c r="AY92" s="179">
        <f t="shared" si="115"/>
        <v>0</v>
      </c>
      <c r="AZ92" s="135">
        <v>0</v>
      </c>
      <c r="BA92" s="179">
        <f t="shared" si="116"/>
        <v>0</v>
      </c>
      <c r="BB92" s="135">
        <v>0</v>
      </c>
      <c r="BC92" s="179">
        <f t="shared" si="117"/>
        <v>0</v>
      </c>
      <c r="BD92" s="135">
        <v>0</v>
      </c>
      <c r="BE92" s="179">
        <f t="shared" si="118"/>
        <v>0</v>
      </c>
      <c r="BF92" s="135">
        <v>0</v>
      </c>
      <c r="BG92" s="179">
        <f t="shared" si="119"/>
        <v>0</v>
      </c>
      <c r="BH92" s="135">
        <v>0</v>
      </c>
      <c r="BI92" s="179">
        <f t="shared" si="120"/>
        <v>0</v>
      </c>
      <c r="BJ92" s="135">
        <f t="shared" si="157"/>
        <v>0</v>
      </c>
      <c r="BK92" s="322">
        <f t="shared" si="157"/>
        <v>0</v>
      </c>
      <c r="BL92" s="298" t="s">
        <v>470</v>
      </c>
      <c r="BN92" s="176"/>
      <c r="BO92" s="176"/>
      <c r="BP92" s="176"/>
      <c r="BQ92" s="176"/>
      <c r="BR92" s="176">
        <f t="shared" si="172"/>
        <v>0</v>
      </c>
      <c r="BS92" s="176"/>
      <c r="BT92" s="176">
        <f t="shared" si="173"/>
        <v>0</v>
      </c>
      <c r="BU92" s="164">
        <f t="shared" si="174"/>
        <v>0</v>
      </c>
      <c r="BV92" s="189">
        <f t="shared" si="121"/>
        <v>0</v>
      </c>
    </row>
    <row r="93" spans="1:74" ht="31.5" x14ac:dyDescent="0.25">
      <c r="A93" s="1023"/>
      <c r="B93" s="38">
        <v>41504</v>
      </c>
      <c r="C93" s="38" t="s">
        <v>322</v>
      </c>
      <c r="D93" s="38" t="s">
        <v>73</v>
      </c>
      <c r="E93" s="365"/>
      <c r="F93" s="47">
        <f t="shared" si="155"/>
        <v>0</v>
      </c>
      <c r="G93" s="85">
        <f t="shared" si="156"/>
        <v>0</v>
      </c>
      <c r="H93" s="85">
        <f t="shared" si="158"/>
        <v>0</v>
      </c>
      <c r="I93" s="85">
        <f t="shared" si="159"/>
        <v>0</v>
      </c>
      <c r="J93" s="85">
        <f t="shared" si="160"/>
        <v>0</v>
      </c>
      <c r="K93" s="85">
        <f t="shared" si="161"/>
        <v>0</v>
      </c>
      <c r="L93" s="85">
        <f t="shared" si="162"/>
        <v>0</v>
      </c>
      <c r="M93" s="85">
        <f t="shared" si="163"/>
        <v>0</v>
      </c>
      <c r="N93" s="85">
        <f t="shared" si="164"/>
        <v>0</v>
      </c>
      <c r="O93" s="85">
        <f t="shared" si="165"/>
        <v>0</v>
      </c>
      <c r="P93" s="85">
        <f t="shared" si="166"/>
        <v>0</v>
      </c>
      <c r="Q93" s="85">
        <f t="shared" si="167"/>
        <v>0</v>
      </c>
      <c r="R93" s="47">
        <f t="shared" si="123"/>
        <v>0</v>
      </c>
      <c r="S93" s="47">
        <f t="shared" si="124"/>
        <v>0</v>
      </c>
      <c r="T93" s="47">
        <f t="shared" si="125"/>
        <v>0</v>
      </c>
      <c r="U93" s="47">
        <f t="shared" si="126"/>
        <v>0</v>
      </c>
      <c r="V93" s="366">
        <f t="shared" si="168"/>
        <v>0</v>
      </c>
      <c r="W93" s="366">
        <f t="shared" si="169"/>
        <v>0</v>
      </c>
      <c r="X93" s="366">
        <f t="shared" si="170"/>
        <v>0</v>
      </c>
      <c r="Y93" s="366">
        <f t="shared" si="171"/>
        <v>0</v>
      </c>
      <c r="Z93" s="47">
        <v>0</v>
      </c>
      <c r="AA93" s="179">
        <f t="shared" si="103"/>
        <v>0</v>
      </c>
      <c r="AB93" s="47">
        <v>0</v>
      </c>
      <c r="AC93" s="179">
        <f t="shared" si="104"/>
        <v>0</v>
      </c>
      <c r="AD93" s="47">
        <v>0</v>
      </c>
      <c r="AE93" s="179">
        <f t="shared" si="105"/>
        <v>0</v>
      </c>
      <c r="AF93" s="47">
        <v>0</v>
      </c>
      <c r="AG93" s="179">
        <f t="shared" si="106"/>
        <v>0</v>
      </c>
      <c r="AH93" s="47">
        <v>0</v>
      </c>
      <c r="AI93" s="179">
        <f t="shared" si="107"/>
        <v>0</v>
      </c>
      <c r="AJ93" s="47">
        <v>0</v>
      </c>
      <c r="AK93" s="179">
        <f t="shared" si="108"/>
        <v>0</v>
      </c>
      <c r="AL93" s="47">
        <v>0</v>
      </c>
      <c r="AM93" s="179">
        <f t="shared" si="109"/>
        <v>0</v>
      </c>
      <c r="AN93" s="47">
        <v>0</v>
      </c>
      <c r="AO93" s="179">
        <f t="shared" si="110"/>
        <v>0</v>
      </c>
      <c r="AP93" s="47">
        <v>0</v>
      </c>
      <c r="AQ93" s="179">
        <f t="shared" si="111"/>
        <v>0</v>
      </c>
      <c r="AR93" s="47">
        <v>0</v>
      </c>
      <c r="AS93" s="179">
        <f t="shared" si="112"/>
        <v>0</v>
      </c>
      <c r="AT93" s="47">
        <v>0</v>
      </c>
      <c r="AU93" s="179">
        <f t="shared" si="113"/>
        <v>0</v>
      </c>
      <c r="AV93" s="47">
        <v>0</v>
      </c>
      <c r="AW93" s="179">
        <f t="shared" si="114"/>
        <v>0</v>
      </c>
      <c r="AX93" s="47">
        <v>0</v>
      </c>
      <c r="AY93" s="179">
        <f t="shared" si="115"/>
        <v>0</v>
      </c>
      <c r="AZ93" s="47">
        <v>0</v>
      </c>
      <c r="BA93" s="179">
        <f t="shared" si="116"/>
        <v>0</v>
      </c>
      <c r="BB93" s="47">
        <v>0</v>
      </c>
      <c r="BC93" s="179">
        <f t="shared" si="117"/>
        <v>0</v>
      </c>
      <c r="BD93" s="47">
        <v>0</v>
      </c>
      <c r="BE93" s="179">
        <f t="shared" si="118"/>
        <v>0</v>
      </c>
      <c r="BF93" s="47">
        <v>0</v>
      </c>
      <c r="BG93" s="179">
        <f t="shared" si="119"/>
        <v>0</v>
      </c>
      <c r="BH93" s="47">
        <v>0</v>
      </c>
      <c r="BI93" s="179">
        <f t="shared" si="120"/>
        <v>0</v>
      </c>
      <c r="BJ93" s="47">
        <f t="shared" si="157"/>
        <v>0</v>
      </c>
      <c r="BK93" s="117">
        <f t="shared" si="157"/>
        <v>0</v>
      </c>
      <c r="BL93" s="293" t="s">
        <v>470</v>
      </c>
      <c r="BN93" s="113"/>
      <c r="BO93" s="113"/>
      <c r="BP93" s="113"/>
      <c r="BQ93" s="113"/>
      <c r="BR93" s="113">
        <f t="shared" si="172"/>
        <v>0</v>
      </c>
      <c r="BS93" s="113"/>
      <c r="BT93" s="113">
        <f t="shared" si="173"/>
        <v>0</v>
      </c>
      <c r="BU93" s="124">
        <f t="shared" si="174"/>
        <v>0</v>
      </c>
      <c r="BV93" s="179">
        <f t="shared" si="121"/>
        <v>0</v>
      </c>
    </row>
    <row r="94" spans="1:74" s="163" customFormat="1" ht="31.5" x14ac:dyDescent="0.25">
      <c r="A94" s="1023"/>
      <c r="B94" s="169">
        <v>41505</v>
      </c>
      <c r="C94" s="169" t="s">
        <v>323</v>
      </c>
      <c r="D94" s="169" t="s">
        <v>73</v>
      </c>
      <c r="E94" s="178">
        <v>500</v>
      </c>
      <c r="F94" s="47">
        <f t="shared" si="155"/>
        <v>204</v>
      </c>
      <c r="G94" s="133">
        <f t="shared" si="156"/>
        <v>102000</v>
      </c>
      <c r="H94" s="133">
        <f t="shared" si="158"/>
        <v>51000</v>
      </c>
      <c r="I94" s="133">
        <f t="shared" si="159"/>
        <v>51000</v>
      </c>
      <c r="J94" s="133">
        <f t="shared" si="160"/>
        <v>0</v>
      </c>
      <c r="K94" s="133">
        <f t="shared" si="161"/>
        <v>0</v>
      </c>
      <c r="L94" s="133">
        <f t="shared" si="162"/>
        <v>0</v>
      </c>
      <c r="M94" s="133">
        <f t="shared" si="163"/>
        <v>0</v>
      </c>
      <c r="N94" s="133">
        <f t="shared" si="164"/>
        <v>0</v>
      </c>
      <c r="O94" s="133">
        <f t="shared" si="165"/>
        <v>0</v>
      </c>
      <c r="P94" s="133">
        <f t="shared" si="166"/>
        <v>0</v>
      </c>
      <c r="Q94" s="133">
        <f t="shared" si="167"/>
        <v>0</v>
      </c>
      <c r="R94" s="135">
        <f t="shared" si="123"/>
        <v>51</v>
      </c>
      <c r="S94" s="135">
        <f t="shared" si="124"/>
        <v>51</v>
      </c>
      <c r="T94" s="135">
        <f t="shared" si="125"/>
        <v>51</v>
      </c>
      <c r="U94" s="135">
        <f t="shared" si="126"/>
        <v>51</v>
      </c>
      <c r="V94" s="366">
        <f t="shared" si="168"/>
        <v>25500</v>
      </c>
      <c r="W94" s="366">
        <f t="shared" si="169"/>
        <v>25500</v>
      </c>
      <c r="X94" s="366">
        <f t="shared" si="170"/>
        <v>25500</v>
      </c>
      <c r="Y94" s="366">
        <f t="shared" si="171"/>
        <v>25500</v>
      </c>
      <c r="Z94" s="135">
        <v>12</v>
      </c>
      <c r="AA94" s="179">
        <f t="shared" si="103"/>
        <v>6000</v>
      </c>
      <c r="AB94" s="135">
        <v>12</v>
      </c>
      <c r="AC94" s="179">
        <f t="shared" si="104"/>
        <v>6000</v>
      </c>
      <c r="AD94" s="135">
        <v>12</v>
      </c>
      <c r="AE94" s="179">
        <f t="shared" si="105"/>
        <v>6000</v>
      </c>
      <c r="AF94" s="135">
        <v>12</v>
      </c>
      <c r="AG94" s="179">
        <f t="shared" si="106"/>
        <v>6000</v>
      </c>
      <c r="AH94" s="135">
        <v>12</v>
      </c>
      <c r="AI94" s="179">
        <f t="shared" si="107"/>
        <v>6000</v>
      </c>
      <c r="AJ94" s="135">
        <v>12</v>
      </c>
      <c r="AK94" s="179">
        <f t="shared" si="108"/>
        <v>6000</v>
      </c>
      <c r="AL94" s="135">
        <v>12</v>
      </c>
      <c r="AM94" s="179">
        <f t="shared" si="109"/>
        <v>6000</v>
      </c>
      <c r="AN94" s="135">
        <v>12</v>
      </c>
      <c r="AO94" s="179">
        <f t="shared" si="110"/>
        <v>6000</v>
      </c>
      <c r="AP94" s="135">
        <v>12</v>
      </c>
      <c r="AQ94" s="179">
        <f t="shared" si="111"/>
        <v>6000</v>
      </c>
      <c r="AR94" s="135">
        <v>12</v>
      </c>
      <c r="AS94" s="179">
        <f t="shared" si="112"/>
        <v>6000</v>
      </c>
      <c r="AT94" s="135">
        <v>12</v>
      </c>
      <c r="AU94" s="179">
        <f t="shared" si="113"/>
        <v>6000</v>
      </c>
      <c r="AV94" s="135">
        <v>12</v>
      </c>
      <c r="AW94" s="179">
        <f t="shared" si="114"/>
        <v>6000</v>
      </c>
      <c r="AX94" s="135">
        <v>12</v>
      </c>
      <c r="AY94" s="179">
        <f t="shared" si="115"/>
        <v>6000</v>
      </c>
      <c r="AZ94" s="135">
        <v>12</v>
      </c>
      <c r="BA94" s="179">
        <f t="shared" si="116"/>
        <v>6000</v>
      </c>
      <c r="BB94" s="135">
        <v>12</v>
      </c>
      <c r="BC94" s="179">
        <f t="shared" si="117"/>
        <v>6000</v>
      </c>
      <c r="BD94" s="135">
        <v>12</v>
      </c>
      <c r="BE94" s="179">
        <f t="shared" si="118"/>
        <v>6000</v>
      </c>
      <c r="BF94" s="135">
        <v>12</v>
      </c>
      <c r="BG94" s="179">
        <f t="shared" si="119"/>
        <v>6000</v>
      </c>
      <c r="BH94" s="135">
        <v>0</v>
      </c>
      <c r="BI94" s="179">
        <f t="shared" si="120"/>
        <v>0</v>
      </c>
      <c r="BJ94" s="135">
        <f t="shared" si="157"/>
        <v>204</v>
      </c>
      <c r="BK94" s="322">
        <f t="shared" si="157"/>
        <v>102000</v>
      </c>
      <c r="BL94" s="298" t="s">
        <v>470</v>
      </c>
      <c r="BN94" s="176"/>
      <c r="BO94" s="176"/>
      <c r="BP94" s="176"/>
      <c r="BQ94" s="176"/>
      <c r="BR94" s="176">
        <f t="shared" si="172"/>
        <v>0</v>
      </c>
      <c r="BS94" s="176"/>
      <c r="BT94" s="176">
        <f t="shared" si="173"/>
        <v>102000</v>
      </c>
      <c r="BU94" s="164">
        <f t="shared" si="174"/>
        <v>102000</v>
      </c>
      <c r="BV94" s="189">
        <f t="shared" si="121"/>
        <v>102000</v>
      </c>
    </row>
    <row r="95" spans="1:74" ht="31.5" x14ac:dyDescent="0.25">
      <c r="A95" s="1023"/>
      <c r="B95" s="38">
        <v>41506</v>
      </c>
      <c r="C95" s="38" t="s">
        <v>324</v>
      </c>
      <c r="D95" s="38" t="s">
        <v>73</v>
      </c>
      <c r="E95" s="365">
        <f>0.005*100000</f>
        <v>500</v>
      </c>
      <c r="F95" s="47">
        <f t="shared" si="155"/>
        <v>204</v>
      </c>
      <c r="G95" s="85">
        <f t="shared" si="156"/>
        <v>102000</v>
      </c>
      <c r="H95" s="85">
        <f t="shared" si="158"/>
        <v>51000</v>
      </c>
      <c r="I95" s="85">
        <f t="shared" si="159"/>
        <v>51000</v>
      </c>
      <c r="J95" s="85">
        <f t="shared" si="160"/>
        <v>0</v>
      </c>
      <c r="K95" s="85">
        <f t="shared" si="161"/>
        <v>0</v>
      </c>
      <c r="L95" s="85">
        <f t="shared" si="162"/>
        <v>0</v>
      </c>
      <c r="M95" s="85">
        <f t="shared" si="163"/>
        <v>0</v>
      </c>
      <c r="N95" s="85">
        <f t="shared" si="164"/>
        <v>0</v>
      </c>
      <c r="O95" s="85">
        <f t="shared" si="165"/>
        <v>0</v>
      </c>
      <c r="P95" s="85">
        <f t="shared" si="166"/>
        <v>0</v>
      </c>
      <c r="Q95" s="85">
        <f t="shared" si="167"/>
        <v>0</v>
      </c>
      <c r="R95" s="47">
        <f t="shared" si="123"/>
        <v>51</v>
      </c>
      <c r="S95" s="47">
        <f t="shared" si="124"/>
        <v>51</v>
      </c>
      <c r="T95" s="47">
        <f t="shared" si="125"/>
        <v>51</v>
      </c>
      <c r="U95" s="47">
        <f t="shared" si="126"/>
        <v>51</v>
      </c>
      <c r="V95" s="366">
        <f t="shared" si="168"/>
        <v>25500</v>
      </c>
      <c r="W95" s="366">
        <f t="shared" si="169"/>
        <v>25500</v>
      </c>
      <c r="X95" s="366">
        <f t="shared" si="170"/>
        <v>25500</v>
      </c>
      <c r="Y95" s="366">
        <f t="shared" si="171"/>
        <v>25500</v>
      </c>
      <c r="Z95" s="47">
        <v>12</v>
      </c>
      <c r="AA95" s="179">
        <f t="shared" si="103"/>
        <v>6000</v>
      </c>
      <c r="AB95" s="47">
        <v>12</v>
      </c>
      <c r="AC95" s="179">
        <f t="shared" si="104"/>
        <v>6000</v>
      </c>
      <c r="AD95" s="47">
        <v>12</v>
      </c>
      <c r="AE95" s="179">
        <f t="shared" si="105"/>
        <v>6000</v>
      </c>
      <c r="AF95" s="47">
        <v>12</v>
      </c>
      <c r="AG95" s="179">
        <f t="shared" si="106"/>
        <v>6000</v>
      </c>
      <c r="AH95" s="47">
        <v>12</v>
      </c>
      <c r="AI95" s="179">
        <f t="shared" si="107"/>
        <v>6000</v>
      </c>
      <c r="AJ95" s="47">
        <v>12</v>
      </c>
      <c r="AK95" s="179">
        <f t="shared" si="108"/>
        <v>6000</v>
      </c>
      <c r="AL95" s="47">
        <v>12</v>
      </c>
      <c r="AM95" s="179">
        <f t="shared" si="109"/>
        <v>6000</v>
      </c>
      <c r="AN95" s="47">
        <v>12</v>
      </c>
      <c r="AO95" s="179">
        <f t="shared" si="110"/>
        <v>6000</v>
      </c>
      <c r="AP95" s="47">
        <v>12</v>
      </c>
      <c r="AQ95" s="179">
        <f t="shared" si="111"/>
        <v>6000</v>
      </c>
      <c r="AR95" s="47">
        <v>12</v>
      </c>
      <c r="AS95" s="179">
        <f t="shared" si="112"/>
        <v>6000</v>
      </c>
      <c r="AT95" s="47">
        <v>12</v>
      </c>
      <c r="AU95" s="179">
        <f t="shared" si="113"/>
        <v>6000</v>
      </c>
      <c r="AV95" s="47">
        <v>12</v>
      </c>
      <c r="AW95" s="179">
        <f t="shared" si="114"/>
        <v>6000</v>
      </c>
      <c r="AX95" s="47">
        <v>12</v>
      </c>
      <c r="AY95" s="179">
        <f t="shared" si="115"/>
        <v>6000</v>
      </c>
      <c r="AZ95" s="47">
        <v>12</v>
      </c>
      <c r="BA95" s="179">
        <f t="shared" si="116"/>
        <v>6000</v>
      </c>
      <c r="BB95" s="47">
        <v>12</v>
      </c>
      <c r="BC95" s="179">
        <f t="shared" si="117"/>
        <v>6000</v>
      </c>
      <c r="BD95" s="47">
        <v>12</v>
      </c>
      <c r="BE95" s="179">
        <f t="shared" si="118"/>
        <v>6000</v>
      </c>
      <c r="BF95" s="47">
        <v>12</v>
      </c>
      <c r="BG95" s="179">
        <f t="shared" si="119"/>
        <v>6000</v>
      </c>
      <c r="BH95" s="47">
        <v>0</v>
      </c>
      <c r="BI95" s="179">
        <f t="shared" si="120"/>
        <v>0</v>
      </c>
      <c r="BJ95" s="47">
        <f t="shared" si="157"/>
        <v>204</v>
      </c>
      <c r="BK95" s="117">
        <f t="shared" si="157"/>
        <v>102000</v>
      </c>
      <c r="BL95" s="293" t="s">
        <v>470</v>
      </c>
      <c r="BN95" s="113"/>
      <c r="BO95" s="113"/>
      <c r="BP95" s="113"/>
      <c r="BQ95" s="113"/>
      <c r="BR95" s="113">
        <f t="shared" si="172"/>
        <v>0</v>
      </c>
      <c r="BS95" s="113"/>
      <c r="BT95" s="113">
        <f t="shared" si="173"/>
        <v>102000</v>
      </c>
      <c r="BU95" s="124">
        <f t="shared" si="174"/>
        <v>102000</v>
      </c>
      <c r="BV95" s="179">
        <f t="shared" si="121"/>
        <v>102000</v>
      </c>
    </row>
    <row r="96" spans="1:74" s="163" customFormat="1" ht="31.5" x14ac:dyDescent="0.25">
      <c r="B96" s="169">
        <v>41507</v>
      </c>
      <c r="C96" s="169" t="s">
        <v>325</v>
      </c>
      <c r="D96" s="169" t="s">
        <v>73</v>
      </c>
      <c r="E96" s="178">
        <v>5000</v>
      </c>
      <c r="F96" s="47">
        <f t="shared" si="155"/>
        <v>204</v>
      </c>
      <c r="G96" s="133">
        <f t="shared" si="156"/>
        <v>1020000</v>
      </c>
      <c r="H96" s="133">
        <f t="shared" si="158"/>
        <v>510000</v>
      </c>
      <c r="I96" s="133">
        <f t="shared" si="159"/>
        <v>510000</v>
      </c>
      <c r="J96" s="133">
        <f t="shared" si="160"/>
        <v>0</v>
      </c>
      <c r="K96" s="133">
        <f t="shared" si="161"/>
        <v>0</v>
      </c>
      <c r="L96" s="133">
        <f t="shared" si="162"/>
        <v>0</v>
      </c>
      <c r="M96" s="133">
        <f t="shared" si="163"/>
        <v>0</v>
      </c>
      <c r="N96" s="133">
        <f t="shared" si="164"/>
        <v>0</v>
      </c>
      <c r="O96" s="133">
        <f t="shared" si="165"/>
        <v>0</v>
      </c>
      <c r="P96" s="133">
        <f t="shared" si="166"/>
        <v>0</v>
      </c>
      <c r="Q96" s="133">
        <f t="shared" si="167"/>
        <v>0</v>
      </c>
      <c r="R96" s="135">
        <f t="shared" si="123"/>
        <v>51</v>
      </c>
      <c r="S96" s="135">
        <f t="shared" si="124"/>
        <v>51</v>
      </c>
      <c r="T96" s="135">
        <f t="shared" si="125"/>
        <v>51</v>
      </c>
      <c r="U96" s="135">
        <f t="shared" si="126"/>
        <v>51</v>
      </c>
      <c r="V96" s="366">
        <f t="shared" si="168"/>
        <v>255000</v>
      </c>
      <c r="W96" s="366">
        <f t="shared" si="169"/>
        <v>255000</v>
      </c>
      <c r="X96" s="366">
        <f t="shared" si="170"/>
        <v>255000</v>
      </c>
      <c r="Y96" s="366">
        <f t="shared" si="171"/>
        <v>255000</v>
      </c>
      <c r="Z96" s="135">
        <v>12</v>
      </c>
      <c r="AA96" s="179">
        <f t="shared" si="103"/>
        <v>60000</v>
      </c>
      <c r="AB96" s="135">
        <v>12</v>
      </c>
      <c r="AC96" s="179">
        <f t="shared" si="104"/>
        <v>60000</v>
      </c>
      <c r="AD96" s="135">
        <v>12</v>
      </c>
      <c r="AE96" s="179">
        <f t="shared" si="105"/>
        <v>60000</v>
      </c>
      <c r="AF96" s="135">
        <v>12</v>
      </c>
      <c r="AG96" s="179">
        <f t="shared" si="106"/>
        <v>60000</v>
      </c>
      <c r="AH96" s="135">
        <v>12</v>
      </c>
      <c r="AI96" s="179">
        <f t="shared" si="107"/>
        <v>60000</v>
      </c>
      <c r="AJ96" s="135">
        <v>12</v>
      </c>
      <c r="AK96" s="179">
        <f t="shared" si="108"/>
        <v>60000</v>
      </c>
      <c r="AL96" s="135">
        <v>12</v>
      </c>
      <c r="AM96" s="179">
        <f t="shared" si="109"/>
        <v>60000</v>
      </c>
      <c r="AN96" s="135">
        <v>12</v>
      </c>
      <c r="AO96" s="179">
        <f t="shared" si="110"/>
        <v>60000</v>
      </c>
      <c r="AP96" s="135">
        <v>12</v>
      </c>
      <c r="AQ96" s="179">
        <f t="shared" si="111"/>
        <v>60000</v>
      </c>
      <c r="AR96" s="135">
        <v>12</v>
      </c>
      <c r="AS96" s="179">
        <f t="shared" si="112"/>
        <v>60000</v>
      </c>
      <c r="AT96" s="135">
        <v>12</v>
      </c>
      <c r="AU96" s="179">
        <f t="shared" si="113"/>
        <v>60000</v>
      </c>
      <c r="AV96" s="135">
        <v>12</v>
      </c>
      <c r="AW96" s="179">
        <f t="shared" si="114"/>
        <v>60000</v>
      </c>
      <c r="AX96" s="135">
        <v>12</v>
      </c>
      <c r="AY96" s="179">
        <f t="shared" si="115"/>
        <v>60000</v>
      </c>
      <c r="AZ96" s="135">
        <v>12</v>
      </c>
      <c r="BA96" s="179">
        <f t="shared" si="116"/>
        <v>60000</v>
      </c>
      <c r="BB96" s="135">
        <v>12</v>
      </c>
      <c r="BC96" s="179">
        <f t="shared" si="117"/>
        <v>60000</v>
      </c>
      <c r="BD96" s="135">
        <v>12</v>
      </c>
      <c r="BE96" s="179">
        <f t="shared" si="118"/>
        <v>60000</v>
      </c>
      <c r="BF96" s="135">
        <v>12</v>
      </c>
      <c r="BG96" s="179">
        <f t="shared" si="119"/>
        <v>60000</v>
      </c>
      <c r="BH96" s="135">
        <v>0</v>
      </c>
      <c r="BI96" s="179">
        <f t="shared" si="120"/>
        <v>0</v>
      </c>
      <c r="BJ96" s="135">
        <f t="shared" si="157"/>
        <v>204</v>
      </c>
      <c r="BK96" s="322">
        <f t="shared" si="157"/>
        <v>1020000</v>
      </c>
      <c r="BL96" s="298" t="s">
        <v>470</v>
      </c>
      <c r="BN96" s="176"/>
      <c r="BO96" s="176"/>
      <c r="BP96" s="176"/>
      <c r="BQ96" s="176"/>
      <c r="BR96" s="176">
        <f t="shared" si="172"/>
        <v>0</v>
      </c>
      <c r="BS96" s="176"/>
      <c r="BT96" s="176">
        <f t="shared" si="173"/>
        <v>1020000</v>
      </c>
      <c r="BU96" s="164">
        <f t="shared" si="174"/>
        <v>1020000</v>
      </c>
      <c r="BV96" s="189">
        <f t="shared" si="121"/>
        <v>1020000</v>
      </c>
    </row>
    <row r="97" spans="2:74" ht="31.5" x14ac:dyDescent="0.25">
      <c r="B97" s="38">
        <v>41508</v>
      </c>
      <c r="C97" s="38" t="s">
        <v>326</v>
      </c>
      <c r="D97" s="38" t="s">
        <v>73</v>
      </c>
      <c r="E97" s="365">
        <f>0.005*100000</f>
        <v>500</v>
      </c>
      <c r="F97" s="47">
        <f t="shared" si="155"/>
        <v>204</v>
      </c>
      <c r="G97" s="85">
        <f t="shared" si="156"/>
        <v>102000</v>
      </c>
      <c r="H97" s="85">
        <f t="shared" si="158"/>
        <v>51000</v>
      </c>
      <c r="I97" s="85">
        <f t="shared" si="159"/>
        <v>51000</v>
      </c>
      <c r="J97" s="85">
        <f t="shared" si="160"/>
        <v>0</v>
      </c>
      <c r="K97" s="85">
        <f t="shared" si="161"/>
        <v>0</v>
      </c>
      <c r="L97" s="85">
        <f t="shared" si="162"/>
        <v>0</v>
      </c>
      <c r="M97" s="85">
        <f t="shared" si="163"/>
        <v>0</v>
      </c>
      <c r="N97" s="85">
        <f t="shared" si="164"/>
        <v>0</v>
      </c>
      <c r="O97" s="85">
        <f t="shared" si="165"/>
        <v>0</v>
      </c>
      <c r="P97" s="85">
        <f t="shared" si="166"/>
        <v>0</v>
      </c>
      <c r="Q97" s="85">
        <f t="shared" si="167"/>
        <v>0</v>
      </c>
      <c r="R97" s="47">
        <f t="shared" si="123"/>
        <v>51</v>
      </c>
      <c r="S97" s="47">
        <f t="shared" si="124"/>
        <v>51</v>
      </c>
      <c r="T97" s="47">
        <f t="shared" si="125"/>
        <v>51</v>
      </c>
      <c r="U97" s="47">
        <f t="shared" si="126"/>
        <v>51</v>
      </c>
      <c r="V97" s="366">
        <f t="shared" si="168"/>
        <v>25500</v>
      </c>
      <c r="W97" s="366">
        <f t="shared" si="169"/>
        <v>25500</v>
      </c>
      <c r="X97" s="366">
        <f t="shared" si="170"/>
        <v>25500</v>
      </c>
      <c r="Y97" s="366">
        <f t="shared" si="171"/>
        <v>25500</v>
      </c>
      <c r="Z97" s="47">
        <v>12</v>
      </c>
      <c r="AA97" s="179">
        <f t="shared" si="103"/>
        <v>6000</v>
      </c>
      <c r="AB97" s="47">
        <v>12</v>
      </c>
      <c r="AC97" s="179">
        <f t="shared" si="104"/>
        <v>6000</v>
      </c>
      <c r="AD97" s="47">
        <v>12</v>
      </c>
      <c r="AE97" s="179">
        <f t="shared" si="105"/>
        <v>6000</v>
      </c>
      <c r="AF97" s="47">
        <v>12</v>
      </c>
      <c r="AG97" s="179">
        <f t="shared" si="106"/>
        <v>6000</v>
      </c>
      <c r="AH97" s="47">
        <v>12</v>
      </c>
      <c r="AI97" s="179">
        <f t="shared" si="107"/>
        <v>6000</v>
      </c>
      <c r="AJ97" s="47">
        <v>12</v>
      </c>
      <c r="AK97" s="179">
        <f t="shared" si="108"/>
        <v>6000</v>
      </c>
      <c r="AL97" s="47">
        <v>12</v>
      </c>
      <c r="AM97" s="179">
        <f t="shared" si="109"/>
        <v>6000</v>
      </c>
      <c r="AN97" s="47">
        <v>12</v>
      </c>
      <c r="AO97" s="179">
        <f t="shared" si="110"/>
        <v>6000</v>
      </c>
      <c r="AP97" s="47">
        <v>12</v>
      </c>
      <c r="AQ97" s="179">
        <f t="shared" si="111"/>
        <v>6000</v>
      </c>
      <c r="AR97" s="47">
        <v>12</v>
      </c>
      <c r="AS97" s="179">
        <f t="shared" si="112"/>
        <v>6000</v>
      </c>
      <c r="AT97" s="47">
        <v>12</v>
      </c>
      <c r="AU97" s="179">
        <f t="shared" si="113"/>
        <v>6000</v>
      </c>
      <c r="AV97" s="47">
        <v>12</v>
      </c>
      <c r="AW97" s="179">
        <f t="shared" si="114"/>
        <v>6000</v>
      </c>
      <c r="AX97" s="47">
        <v>12</v>
      </c>
      <c r="AY97" s="179">
        <f t="shared" si="115"/>
        <v>6000</v>
      </c>
      <c r="AZ97" s="47">
        <v>12</v>
      </c>
      <c r="BA97" s="179">
        <f t="shared" si="116"/>
        <v>6000</v>
      </c>
      <c r="BB97" s="47">
        <v>12</v>
      </c>
      <c r="BC97" s="179">
        <f t="shared" si="117"/>
        <v>6000</v>
      </c>
      <c r="BD97" s="47">
        <v>12</v>
      </c>
      <c r="BE97" s="179">
        <f t="shared" si="118"/>
        <v>6000</v>
      </c>
      <c r="BF97" s="47">
        <v>12</v>
      </c>
      <c r="BG97" s="179">
        <f t="shared" si="119"/>
        <v>6000</v>
      </c>
      <c r="BH97" s="47">
        <v>0</v>
      </c>
      <c r="BI97" s="179">
        <f t="shared" si="120"/>
        <v>0</v>
      </c>
      <c r="BJ97" s="47">
        <f t="shared" si="157"/>
        <v>204</v>
      </c>
      <c r="BK97" s="117">
        <f t="shared" si="157"/>
        <v>102000</v>
      </c>
      <c r="BL97" s="293" t="s">
        <v>470</v>
      </c>
      <c r="BN97" s="113"/>
      <c r="BO97" s="113"/>
      <c r="BP97" s="113"/>
      <c r="BQ97" s="113"/>
      <c r="BR97" s="113">
        <f t="shared" si="172"/>
        <v>0</v>
      </c>
      <c r="BS97" s="113"/>
      <c r="BT97" s="113">
        <f t="shared" si="173"/>
        <v>102000</v>
      </c>
      <c r="BU97" s="124">
        <f t="shared" si="174"/>
        <v>102000</v>
      </c>
      <c r="BV97" s="179">
        <f t="shared" si="121"/>
        <v>102000</v>
      </c>
    </row>
    <row r="98" spans="2:74" s="163" customFormat="1" x14ac:dyDescent="0.25">
      <c r="B98" s="169">
        <v>41509</v>
      </c>
      <c r="C98" s="169" t="s">
        <v>327</v>
      </c>
      <c r="D98" s="169" t="s">
        <v>17</v>
      </c>
      <c r="E98" s="178">
        <v>3000</v>
      </c>
      <c r="F98" s="47">
        <f t="shared" si="155"/>
        <v>17</v>
      </c>
      <c r="G98" s="133">
        <f t="shared" si="156"/>
        <v>51000</v>
      </c>
      <c r="H98" s="133">
        <f t="shared" si="158"/>
        <v>25500</v>
      </c>
      <c r="I98" s="133">
        <f t="shared" si="159"/>
        <v>25500</v>
      </c>
      <c r="J98" s="133">
        <f t="shared" si="160"/>
        <v>0</v>
      </c>
      <c r="K98" s="133">
        <f t="shared" si="161"/>
        <v>0</v>
      </c>
      <c r="L98" s="133">
        <f t="shared" si="162"/>
        <v>0</v>
      </c>
      <c r="M98" s="133">
        <f t="shared" si="163"/>
        <v>0</v>
      </c>
      <c r="N98" s="133">
        <f t="shared" si="164"/>
        <v>0</v>
      </c>
      <c r="O98" s="133">
        <f t="shared" si="165"/>
        <v>0</v>
      </c>
      <c r="P98" s="133">
        <f t="shared" si="166"/>
        <v>0</v>
      </c>
      <c r="Q98" s="133">
        <f t="shared" si="167"/>
        <v>0</v>
      </c>
      <c r="R98" s="135">
        <f t="shared" si="123"/>
        <v>4.25</v>
      </c>
      <c r="S98" s="135">
        <f t="shared" si="124"/>
        <v>4.25</v>
      </c>
      <c r="T98" s="135">
        <f t="shared" si="125"/>
        <v>4.25</v>
      </c>
      <c r="U98" s="135">
        <f t="shared" si="126"/>
        <v>4.25</v>
      </c>
      <c r="V98" s="366">
        <f t="shared" si="168"/>
        <v>12750</v>
      </c>
      <c r="W98" s="366">
        <f t="shared" si="169"/>
        <v>12750</v>
      </c>
      <c r="X98" s="366">
        <f t="shared" si="170"/>
        <v>12750</v>
      </c>
      <c r="Y98" s="366">
        <f t="shared" si="171"/>
        <v>12750</v>
      </c>
      <c r="Z98" s="135">
        <v>1</v>
      </c>
      <c r="AA98" s="179">
        <f t="shared" si="103"/>
        <v>3000</v>
      </c>
      <c r="AB98" s="135">
        <v>1</v>
      </c>
      <c r="AC98" s="179">
        <f t="shared" si="104"/>
        <v>3000</v>
      </c>
      <c r="AD98" s="135">
        <v>1</v>
      </c>
      <c r="AE98" s="179">
        <f t="shared" si="105"/>
        <v>3000</v>
      </c>
      <c r="AF98" s="135">
        <v>1</v>
      </c>
      <c r="AG98" s="179">
        <f t="shared" si="106"/>
        <v>3000</v>
      </c>
      <c r="AH98" s="135">
        <v>1</v>
      </c>
      <c r="AI98" s="179">
        <f t="shared" si="107"/>
        <v>3000</v>
      </c>
      <c r="AJ98" s="135">
        <v>1</v>
      </c>
      <c r="AK98" s="179">
        <f t="shared" si="108"/>
        <v>3000</v>
      </c>
      <c r="AL98" s="135">
        <v>1</v>
      </c>
      <c r="AM98" s="179">
        <f t="shared" si="109"/>
        <v>3000</v>
      </c>
      <c r="AN98" s="135">
        <v>1</v>
      </c>
      <c r="AO98" s="179">
        <f t="shared" si="110"/>
        <v>3000</v>
      </c>
      <c r="AP98" s="135">
        <v>1</v>
      </c>
      <c r="AQ98" s="179">
        <f t="shared" si="111"/>
        <v>3000</v>
      </c>
      <c r="AR98" s="135">
        <v>1</v>
      </c>
      <c r="AS98" s="179">
        <f t="shared" si="112"/>
        <v>3000</v>
      </c>
      <c r="AT98" s="135">
        <v>1</v>
      </c>
      <c r="AU98" s="179">
        <f t="shared" si="113"/>
        <v>3000</v>
      </c>
      <c r="AV98" s="135">
        <v>1</v>
      </c>
      <c r="AW98" s="179">
        <f t="shared" si="114"/>
        <v>3000</v>
      </c>
      <c r="AX98" s="135">
        <v>1</v>
      </c>
      <c r="AY98" s="179">
        <f t="shared" si="115"/>
        <v>3000</v>
      </c>
      <c r="AZ98" s="135">
        <v>1</v>
      </c>
      <c r="BA98" s="179">
        <f t="shared" si="116"/>
        <v>3000</v>
      </c>
      <c r="BB98" s="135">
        <v>1</v>
      </c>
      <c r="BC98" s="179">
        <f t="shared" si="117"/>
        <v>3000</v>
      </c>
      <c r="BD98" s="135">
        <v>1</v>
      </c>
      <c r="BE98" s="179">
        <f t="shared" si="118"/>
        <v>3000</v>
      </c>
      <c r="BF98" s="135">
        <v>1</v>
      </c>
      <c r="BG98" s="179">
        <f t="shared" si="119"/>
        <v>3000</v>
      </c>
      <c r="BH98" s="135">
        <v>0</v>
      </c>
      <c r="BI98" s="179">
        <f t="shared" si="120"/>
        <v>0</v>
      </c>
      <c r="BJ98" s="135">
        <f t="shared" si="157"/>
        <v>17</v>
      </c>
      <c r="BK98" s="322">
        <f t="shared" si="157"/>
        <v>51000</v>
      </c>
      <c r="BL98" s="298" t="s">
        <v>470</v>
      </c>
      <c r="BN98" s="176"/>
      <c r="BO98" s="176"/>
      <c r="BP98" s="176"/>
      <c r="BQ98" s="176"/>
      <c r="BR98" s="176">
        <f t="shared" si="172"/>
        <v>0</v>
      </c>
      <c r="BS98" s="176"/>
      <c r="BT98" s="176">
        <f t="shared" si="173"/>
        <v>51000</v>
      </c>
      <c r="BU98" s="164">
        <f t="shared" si="174"/>
        <v>51000</v>
      </c>
      <c r="BV98" s="189">
        <f t="shared" si="121"/>
        <v>51000</v>
      </c>
    </row>
    <row r="99" spans="2:74" x14ac:dyDescent="0.25">
      <c r="B99" s="38">
        <v>41510</v>
      </c>
      <c r="C99" s="38" t="s">
        <v>328</v>
      </c>
      <c r="D99" s="38" t="s">
        <v>17</v>
      </c>
      <c r="E99" s="365"/>
      <c r="F99" s="47">
        <f t="shared" si="155"/>
        <v>0</v>
      </c>
      <c r="G99" s="85">
        <f t="shared" si="156"/>
        <v>0</v>
      </c>
      <c r="H99" s="85">
        <f t="shared" si="158"/>
        <v>0</v>
      </c>
      <c r="I99" s="85">
        <f t="shared" si="159"/>
        <v>0</v>
      </c>
      <c r="J99" s="85">
        <f t="shared" si="160"/>
        <v>0</v>
      </c>
      <c r="K99" s="85">
        <f t="shared" si="161"/>
        <v>0</v>
      </c>
      <c r="L99" s="85">
        <f t="shared" si="162"/>
        <v>0</v>
      </c>
      <c r="M99" s="85">
        <f t="shared" si="163"/>
        <v>0</v>
      </c>
      <c r="N99" s="85">
        <f t="shared" si="164"/>
        <v>0</v>
      </c>
      <c r="O99" s="85">
        <f t="shared" si="165"/>
        <v>0</v>
      </c>
      <c r="P99" s="85">
        <f t="shared" si="166"/>
        <v>0</v>
      </c>
      <c r="Q99" s="85">
        <f t="shared" si="167"/>
        <v>0</v>
      </c>
      <c r="R99" s="47">
        <f t="shared" si="123"/>
        <v>0</v>
      </c>
      <c r="S99" s="47">
        <f t="shared" si="124"/>
        <v>0</v>
      </c>
      <c r="T99" s="47">
        <f t="shared" si="125"/>
        <v>0</v>
      </c>
      <c r="U99" s="47">
        <f t="shared" si="126"/>
        <v>0</v>
      </c>
      <c r="V99" s="366">
        <f t="shared" si="168"/>
        <v>0</v>
      </c>
      <c r="W99" s="366">
        <f t="shared" si="169"/>
        <v>0</v>
      </c>
      <c r="X99" s="366">
        <f t="shared" si="170"/>
        <v>0</v>
      </c>
      <c r="Y99" s="366">
        <f t="shared" si="171"/>
        <v>0</v>
      </c>
      <c r="Z99" s="47">
        <v>0</v>
      </c>
      <c r="AA99" s="179">
        <f t="shared" si="103"/>
        <v>0</v>
      </c>
      <c r="AB99" s="47">
        <v>0</v>
      </c>
      <c r="AC99" s="179">
        <f t="shared" si="104"/>
        <v>0</v>
      </c>
      <c r="AD99" s="47">
        <v>0</v>
      </c>
      <c r="AE99" s="179">
        <f t="shared" si="105"/>
        <v>0</v>
      </c>
      <c r="AF99" s="47">
        <v>0</v>
      </c>
      <c r="AG99" s="179">
        <f t="shared" si="106"/>
        <v>0</v>
      </c>
      <c r="AH99" s="47">
        <v>0</v>
      </c>
      <c r="AI99" s="179">
        <f t="shared" si="107"/>
        <v>0</v>
      </c>
      <c r="AJ99" s="47">
        <v>0</v>
      </c>
      <c r="AK99" s="179">
        <f t="shared" si="108"/>
        <v>0</v>
      </c>
      <c r="AL99" s="47">
        <v>0</v>
      </c>
      <c r="AM99" s="179">
        <f t="shared" si="109"/>
        <v>0</v>
      </c>
      <c r="AN99" s="47">
        <v>0</v>
      </c>
      <c r="AO99" s="179">
        <f t="shared" si="110"/>
        <v>0</v>
      </c>
      <c r="AP99" s="47">
        <v>0</v>
      </c>
      <c r="AQ99" s="179">
        <f t="shared" si="111"/>
        <v>0</v>
      </c>
      <c r="AR99" s="47">
        <v>0</v>
      </c>
      <c r="AS99" s="179">
        <f t="shared" si="112"/>
        <v>0</v>
      </c>
      <c r="AT99" s="47">
        <v>0</v>
      </c>
      <c r="AU99" s="179">
        <f t="shared" si="113"/>
        <v>0</v>
      </c>
      <c r="AV99" s="47">
        <v>0</v>
      </c>
      <c r="AW99" s="179">
        <f t="shared" si="114"/>
        <v>0</v>
      </c>
      <c r="AX99" s="47">
        <v>0</v>
      </c>
      <c r="AY99" s="179">
        <f t="shared" si="115"/>
        <v>0</v>
      </c>
      <c r="AZ99" s="47">
        <v>0</v>
      </c>
      <c r="BA99" s="179">
        <f t="shared" si="116"/>
        <v>0</v>
      </c>
      <c r="BB99" s="47">
        <v>0</v>
      </c>
      <c r="BC99" s="179">
        <f t="shared" si="117"/>
        <v>0</v>
      </c>
      <c r="BD99" s="47">
        <v>0</v>
      </c>
      <c r="BE99" s="179">
        <f t="shared" si="118"/>
        <v>0</v>
      </c>
      <c r="BF99" s="47">
        <v>0</v>
      </c>
      <c r="BG99" s="179">
        <f t="shared" si="119"/>
        <v>0</v>
      </c>
      <c r="BH99" s="47">
        <v>0</v>
      </c>
      <c r="BI99" s="179">
        <f t="shared" si="120"/>
        <v>0</v>
      </c>
      <c r="BJ99" s="47">
        <f t="shared" si="157"/>
        <v>0</v>
      </c>
      <c r="BK99" s="117">
        <f t="shared" si="157"/>
        <v>0</v>
      </c>
      <c r="BL99" s="293" t="s">
        <v>470</v>
      </c>
      <c r="BN99" s="113"/>
      <c r="BO99" s="113"/>
      <c r="BP99" s="113"/>
      <c r="BQ99" s="113"/>
      <c r="BR99" s="113">
        <f t="shared" si="172"/>
        <v>0</v>
      </c>
      <c r="BS99" s="113"/>
      <c r="BT99" s="113">
        <f t="shared" si="173"/>
        <v>0</v>
      </c>
      <c r="BU99" s="124">
        <f t="shared" si="174"/>
        <v>0</v>
      </c>
      <c r="BV99" s="179">
        <f t="shared" si="121"/>
        <v>0</v>
      </c>
    </row>
    <row r="100" spans="2:74" s="163" customFormat="1" ht="31.5" x14ac:dyDescent="0.25">
      <c r="B100" s="169">
        <v>41511</v>
      </c>
      <c r="C100" s="38" t="s">
        <v>329</v>
      </c>
      <c r="D100" s="169" t="s">
        <v>73</v>
      </c>
      <c r="E100" s="762">
        <v>5000</v>
      </c>
      <c r="F100" s="47">
        <f t="shared" si="155"/>
        <v>63</v>
      </c>
      <c r="G100" s="133">
        <f t="shared" si="156"/>
        <v>315000</v>
      </c>
      <c r="H100" s="133">
        <f t="shared" si="158"/>
        <v>157500</v>
      </c>
      <c r="I100" s="133">
        <f t="shared" si="159"/>
        <v>157500</v>
      </c>
      <c r="J100" s="133">
        <f t="shared" si="160"/>
        <v>0</v>
      </c>
      <c r="K100" s="133">
        <f t="shared" si="161"/>
        <v>0</v>
      </c>
      <c r="L100" s="133">
        <f t="shared" si="162"/>
        <v>0</v>
      </c>
      <c r="M100" s="133">
        <f t="shared" si="163"/>
        <v>0</v>
      </c>
      <c r="N100" s="133">
        <f t="shared" si="164"/>
        <v>0</v>
      </c>
      <c r="O100" s="133">
        <f t="shared" si="165"/>
        <v>0</v>
      </c>
      <c r="P100" s="133">
        <f t="shared" si="166"/>
        <v>0</v>
      </c>
      <c r="Q100" s="133">
        <f t="shared" si="167"/>
        <v>0</v>
      </c>
      <c r="R100" s="135">
        <f t="shared" si="123"/>
        <v>15.75</v>
      </c>
      <c r="S100" s="135">
        <f t="shared" si="124"/>
        <v>15.75</v>
      </c>
      <c r="T100" s="135">
        <f t="shared" si="125"/>
        <v>15.75</v>
      </c>
      <c r="U100" s="135">
        <f t="shared" si="126"/>
        <v>15.75</v>
      </c>
      <c r="V100" s="366">
        <f t="shared" si="168"/>
        <v>78750</v>
      </c>
      <c r="W100" s="366">
        <f t="shared" si="169"/>
        <v>78750</v>
      </c>
      <c r="X100" s="366">
        <f t="shared" si="170"/>
        <v>78750</v>
      </c>
      <c r="Y100" s="366">
        <f t="shared" si="171"/>
        <v>78750</v>
      </c>
      <c r="Z100" s="135">
        <v>0</v>
      </c>
      <c r="AA100" s="179">
        <f t="shared" si="103"/>
        <v>0</v>
      </c>
      <c r="AB100" s="135">
        <v>0</v>
      </c>
      <c r="AC100" s="179">
        <f t="shared" si="104"/>
        <v>0</v>
      </c>
      <c r="AD100" s="135">
        <v>0</v>
      </c>
      <c r="AE100" s="179">
        <f t="shared" si="105"/>
        <v>0</v>
      </c>
      <c r="AF100" s="629">
        <v>4</v>
      </c>
      <c r="AG100" s="179">
        <f t="shared" si="106"/>
        <v>20000</v>
      </c>
      <c r="AH100" s="629">
        <v>7</v>
      </c>
      <c r="AI100" s="687">
        <f t="shared" si="107"/>
        <v>35000</v>
      </c>
      <c r="AJ100" s="629">
        <v>3</v>
      </c>
      <c r="AK100" s="179">
        <f t="shared" si="108"/>
        <v>15000</v>
      </c>
      <c r="AL100" s="629">
        <v>3</v>
      </c>
      <c r="AM100" s="179">
        <f t="shared" si="109"/>
        <v>15000</v>
      </c>
      <c r="AN100" s="135">
        <v>6</v>
      </c>
      <c r="AO100" s="179">
        <f t="shared" si="110"/>
        <v>30000</v>
      </c>
      <c r="AP100" s="135">
        <v>6</v>
      </c>
      <c r="AQ100" s="179">
        <f t="shared" si="111"/>
        <v>30000</v>
      </c>
      <c r="AR100" s="135">
        <v>6</v>
      </c>
      <c r="AS100" s="179">
        <f t="shared" si="112"/>
        <v>30000</v>
      </c>
      <c r="AT100" s="629">
        <v>0</v>
      </c>
      <c r="AU100" s="179">
        <f t="shared" si="113"/>
        <v>0</v>
      </c>
      <c r="AV100" s="629">
        <v>3</v>
      </c>
      <c r="AW100" s="179">
        <f t="shared" si="114"/>
        <v>15000</v>
      </c>
      <c r="AX100" s="629">
        <v>0</v>
      </c>
      <c r="AY100" s="179">
        <f t="shared" si="115"/>
        <v>0</v>
      </c>
      <c r="AZ100" s="629">
        <v>3</v>
      </c>
      <c r="BA100" s="179">
        <f t="shared" si="116"/>
        <v>15000</v>
      </c>
      <c r="BB100" s="467">
        <v>12</v>
      </c>
      <c r="BC100" s="179">
        <f t="shared" si="117"/>
        <v>60000</v>
      </c>
      <c r="BD100" s="629">
        <v>7</v>
      </c>
      <c r="BE100" s="179">
        <f t="shared" si="118"/>
        <v>35000</v>
      </c>
      <c r="BF100" s="629">
        <v>3</v>
      </c>
      <c r="BG100" s="179">
        <f t="shared" si="119"/>
        <v>15000</v>
      </c>
      <c r="BH100" s="135">
        <v>0</v>
      </c>
      <c r="BI100" s="179">
        <f t="shared" si="120"/>
        <v>0</v>
      </c>
      <c r="BJ100" s="135">
        <f t="shared" si="157"/>
        <v>63</v>
      </c>
      <c r="BK100" s="322">
        <f t="shared" si="157"/>
        <v>315000</v>
      </c>
      <c r="BL100" s="298" t="s">
        <v>470</v>
      </c>
      <c r="BN100" s="176"/>
      <c r="BO100" s="176"/>
      <c r="BP100" s="176"/>
      <c r="BQ100" s="176"/>
      <c r="BR100" s="176">
        <f t="shared" si="172"/>
        <v>0</v>
      </c>
      <c r="BS100" s="176"/>
      <c r="BT100" s="176">
        <f t="shared" si="173"/>
        <v>315000</v>
      </c>
      <c r="BU100" s="164">
        <f t="shared" si="174"/>
        <v>315000</v>
      </c>
      <c r="BV100" s="189">
        <f t="shared" si="121"/>
        <v>315000</v>
      </c>
    </row>
    <row r="101" spans="2:74" ht="31.5" x14ac:dyDescent="0.25">
      <c r="B101" s="38">
        <v>41512</v>
      </c>
      <c r="C101" s="38" t="s">
        <v>330</v>
      </c>
      <c r="D101" s="38" t="s">
        <v>17</v>
      </c>
      <c r="E101" s="365"/>
      <c r="F101" s="47">
        <f t="shared" si="155"/>
        <v>0</v>
      </c>
      <c r="G101" s="85">
        <f t="shared" si="156"/>
        <v>0</v>
      </c>
      <c r="H101" s="85">
        <f t="shared" si="158"/>
        <v>0</v>
      </c>
      <c r="I101" s="85">
        <f t="shared" si="159"/>
        <v>0</v>
      </c>
      <c r="J101" s="85">
        <f t="shared" si="160"/>
        <v>0</v>
      </c>
      <c r="K101" s="85">
        <f t="shared" si="161"/>
        <v>0</v>
      </c>
      <c r="L101" s="85">
        <f t="shared" si="162"/>
        <v>0</v>
      </c>
      <c r="M101" s="85">
        <f t="shared" si="163"/>
        <v>0</v>
      </c>
      <c r="N101" s="85">
        <f t="shared" si="164"/>
        <v>0</v>
      </c>
      <c r="O101" s="85">
        <f t="shared" si="165"/>
        <v>0</v>
      </c>
      <c r="P101" s="85">
        <f t="shared" si="166"/>
        <v>0</v>
      </c>
      <c r="Q101" s="85">
        <f t="shared" si="167"/>
        <v>0</v>
      </c>
      <c r="R101" s="47">
        <f t="shared" si="123"/>
        <v>0</v>
      </c>
      <c r="S101" s="47">
        <f t="shared" si="124"/>
        <v>0</v>
      </c>
      <c r="T101" s="47">
        <f t="shared" si="125"/>
        <v>0</v>
      </c>
      <c r="U101" s="47">
        <f t="shared" si="126"/>
        <v>0</v>
      </c>
      <c r="V101" s="366">
        <f t="shared" si="168"/>
        <v>0</v>
      </c>
      <c r="W101" s="366">
        <f t="shared" si="169"/>
        <v>0</v>
      </c>
      <c r="X101" s="366">
        <f t="shared" si="170"/>
        <v>0</v>
      </c>
      <c r="Y101" s="366">
        <f t="shared" si="171"/>
        <v>0</v>
      </c>
      <c r="Z101" s="47">
        <v>0</v>
      </c>
      <c r="AA101" s="179">
        <f t="shared" si="103"/>
        <v>0</v>
      </c>
      <c r="AB101" s="47">
        <v>0</v>
      </c>
      <c r="AC101" s="179">
        <f t="shared" si="104"/>
        <v>0</v>
      </c>
      <c r="AD101" s="47">
        <v>0</v>
      </c>
      <c r="AE101" s="179">
        <f t="shared" si="105"/>
        <v>0</v>
      </c>
      <c r="AF101" s="47">
        <v>0</v>
      </c>
      <c r="AG101" s="179">
        <f t="shared" si="106"/>
        <v>0</v>
      </c>
      <c r="AH101" s="47">
        <v>0</v>
      </c>
      <c r="AI101" s="179">
        <f t="shared" si="107"/>
        <v>0</v>
      </c>
      <c r="AJ101" s="47">
        <v>0</v>
      </c>
      <c r="AK101" s="179">
        <f t="shared" si="108"/>
        <v>0</v>
      </c>
      <c r="AL101" s="47">
        <v>0</v>
      </c>
      <c r="AM101" s="179">
        <f t="shared" si="109"/>
        <v>0</v>
      </c>
      <c r="AN101" s="47">
        <v>0</v>
      </c>
      <c r="AO101" s="179">
        <f t="shared" si="110"/>
        <v>0</v>
      </c>
      <c r="AP101" s="47">
        <v>0</v>
      </c>
      <c r="AQ101" s="179">
        <f t="shared" si="111"/>
        <v>0</v>
      </c>
      <c r="AR101" s="47">
        <v>0</v>
      </c>
      <c r="AS101" s="179">
        <f t="shared" si="112"/>
        <v>0</v>
      </c>
      <c r="AT101" s="47">
        <v>0</v>
      </c>
      <c r="AU101" s="179">
        <f t="shared" si="113"/>
        <v>0</v>
      </c>
      <c r="AV101" s="47">
        <v>0</v>
      </c>
      <c r="AW101" s="179">
        <f t="shared" si="114"/>
        <v>0</v>
      </c>
      <c r="AX101" s="47">
        <v>0</v>
      </c>
      <c r="AY101" s="179">
        <f t="shared" si="115"/>
        <v>0</v>
      </c>
      <c r="AZ101" s="47">
        <v>0</v>
      </c>
      <c r="BA101" s="179">
        <f t="shared" si="116"/>
        <v>0</v>
      </c>
      <c r="BB101" s="47">
        <v>0</v>
      </c>
      <c r="BC101" s="179">
        <f t="shared" si="117"/>
        <v>0</v>
      </c>
      <c r="BD101" s="47">
        <v>0</v>
      </c>
      <c r="BE101" s="179">
        <f t="shared" si="118"/>
        <v>0</v>
      </c>
      <c r="BF101" s="47">
        <v>0</v>
      </c>
      <c r="BG101" s="179">
        <f t="shared" si="119"/>
        <v>0</v>
      </c>
      <c r="BH101" s="47">
        <v>0</v>
      </c>
      <c r="BI101" s="179">
        <f t="shared" si="120"/>
        <v>0</v>
      </c>
      <c r="BJ101" s="47">
        <f t="shared" si="157"/>
        <v>0</v>
      </c>
      <c r="BK101" s="117">
        <f t="shared" si="157"/>
        <v>0</v>
      </c>
      <c r="BL101" s="293" t="s">
        <v>470</v>
      </c>
      <c r="BN101" s="113"/>
      <c r="BO101" s="113"/>
      <c r="BP101" s="113"/>
      <c r="BQ101" s="113"/>
      <c r="BR101" s="113">
        <f t="shared" si="172"/>
        <v>0</v>
      </c>
      <c r="BS101" s="113"/>
      <c r="BT101" s="113">
        <f t="shared" si="173"/>
        <v>0</v>
      </c>
      <c r="BU101" s="124">
        <f t="shared" si="174"/>
        <v>0</v>
      </c>
      <c r="BV101" s="179">
        <f t="shared" si="121"/>
        <v>0</v>
      </c>
    </row>
    <row r="102" spans="2:74" ht="63" x14ac:dyDescent="0.25">
      <c r="B102" s="38">
        <v>41513</v>
      </c>
      <c r="C102" s="38" t="s">
        <v>824</v>
      </c>
      <c r="D102" s="38" t="s">
        <v>17</v>
      </c>
      <c r="E102" s="365">
        <v>2500</v>
      </c>
      <c r="F102" s="47">
        <f t="shared" si="155"/>
        <v>396</v>
      </c>
      <c r="G102" s="85">
        <f t="shared" si="156"/>
        <v>990000</v>
      </c>
      <c r="H102" s="85">
        <f t="shared" si="158"/>
        <v>495000</v>
      </c>
      <c r="I102" s="85">
        <f t="shared" si="159"/>
        <v>495000</v>
      </c>
      <c r="J102" s="85">
        <f t="shared" si="160"/>
        <v>0</v>
      </c>
      <c r="K102" s="85">
        <f t="shared" si="161"/>
        <v>0</v>
      </c>
      <c r="L102" s="85">
        <f t="shared" si="162"/>
        <v>0</v>
      </c>
      <c r="M102" s="85">
        <f t="shared" si="163"/>
        <v>0</v>
      </c>
      <c r="N102" s="85">
        <f t="shared" si="164"/>
        <v>0</v>
      </c>
      <c r="O102" s="85">
        <f t="shared" si="165"/>
        <v>0</v>
      </c>
      <c r="P102" s="85">
        <f t="shared" si="166"/>
        <v>0</v>
      </c>
      <c r="Q102" s="85">
        <f t="shared" si="167"/>
        <v>0</v>
      </c>
      <c r="R102" s="47">
        <f t="shared" si="123"/>
        <v>99</v>
      </c>
      <c r="S102" s="47">
        <f t="shared" si="124"/>
        <v>99</v>
      </c>
      <c r="T102" s="47">
        <f t="shared" si="125"/>
        <v>99</v>
      </c>
      <c r="U102" s="47">
        <f t="shared" si="126"/>
        <v>99</v>
      </c>
      <c r="V102" s="366">
        <f t="shared" si="168"/>
        <v>247500</v>
      </c>
      <c r="W102" s="366">
        <f t="shared" si="169"/>
        <v>247500</v>
      </c>
      <c r="X102" s="366">
        <f t="shared" si="170"/>
        <v>247500</v>
      </c>
      <c r="Y102" s="366">
        <f t="shared" si="171"/>
        <v>247500</v>
      </c>
      <c r="Z102" s="47">
        <v>24</v>
      </c>
      <c r="AA102" s="179">
        <f t="shared" si="103"/>
        <v>60000</v>
      </c>
      <c r="AB102" s="47">
        <v>24</v>
      </c>
      <c r="AC102" s="179">
        <f t="shared" si="104"/>
        <v>60000</v>
      </c>
      <c r="AD102" s="47">
        <v>12</v>
      </c>
      <c r="AE102" s="179">
        <f t="shared" si="105"/>
        <v>30000</v>
      </c>
      <c r="AF102" s="47">
        <v>24</v>
      </c>
      <c r="AG102" s="179">
        <f t="shared" si="106"/>
        <v>60000</v>
      </c>
      <c r="AH102" s="47">
        <v>24</v>
      </c>
      <c r="AI102" s="179">
        <f t="shared" si="107"/>
        <v>60000</v>
      </c>
      <c r="AJ102" s="47">
        <v>24</v>
      </c>
      <c r="AK102" s="179">
        <f t="shared" si="108"/>
        <v>60000</v>
      </c>
      <c r="AL102" s="47">
        <v>24</v>
      </c>
      <c r="AM102" s="179">
        <f t="shared" si="109"/>
        <v>60000</v>
      </c>
      <c r="AN102" s="47">
        <v>24</v>
      </c>
      <c r="AO102" s="179">
        <f t="shared" si="110"/>
        <v>60000</v>
      </c>
      <c r="AP102" s="47">
        <v>24</v>
      </c>
      <c r="AQ102" s="179">
        <f t="shared" si="111"/>
        <v>60000</v>
      </c>
      <c r="AR102" s="47">
        <v>24</v>
      </c>
      <c r="AS102" s="179">
        <f t="shared" si="112"/>
        <v>60000</v>
      </c>
      <c r="AT102" s="47">
        <v>24</v>
      </c>
      <c r="AU102" s="179">
        <f t="shared" si="113"/>
        <v>60000</v>
      </c>
      <c r="AV102" s="47">
        <v>24</v>
      </c>
      <c r="AW102" s="179">
        <f t="shared" si="114"/>
        <v>60000</v>
      </c>
      <c r="AX102" s="47">
        <v>24</v>
      </c>
      <c r="AY102" s="179">
        <f t="shared" si="115"/>
        <v>60000</v>
      </c>
      <c r="AZ102" s="47">
        <v>24</v>
      </c>
      <c r="BA102" s="179">
        <f t="shared" si="116"/>
        <v>60000</v>
      </c>
      <c r="BB102" s="47">
        <v>24</v>
      </c>
      <c r="BC102" s="179">
        <f t="shared" si="117"/>
        <v>60000</v>
      </c>
      <c r="BD102" s="47">
        <v>24</v>
      </c>
      <c r="BE102" s="179">
        <f t="shared" si="118"/>
        <v>60000</v>
      </c>
      <c r="BF102" s="47">
        <v>24</v>
      </c>
      <c r="BG102" s="179">
        <f t="shared" si="119"/>
        <v>60000</v>
      </c>
      <c r="BH102" s="47">
        <v>0</v>
      </c>
      <c r="BI102" s="179">
        <f t="shared" si="120"/>
        <v>0</v>
      </c>
      <c r="BJ102" s="47">
        <f t="shared" si="157"/>
        <v>396</v>
      </c>
      <c r="BK102" s="117">
        <f t="shared" si="157"/>
        <v>990000</v>
      </c>
      <c r="BL102" s="293" t="s">
        <v>470</v>
      </c>
      <c r="BN102" s="113"/>
      <c r="BO102" s="113"/>
      <c r="BP102" s="113"/>
      <c r="BQ102" s="113"/>
      <c r="BR102" s="113">
        <f t="shared" si="172"/>
        <v>0</v>
      </c>
      <c r="BS102" s="113"/>
      <c r="BT102" s="113">
        <f t="shared" si="173"/>
        <v>990000</v>
      </c>
      <c r="BU102" s="124">
        <f t="shared" si="174"/>
        <v>990000</v>
      </c>
      <c r="BV102" s="179">
        <f t="shared" si="121"/>
        <v>990000</v>
      </c>
    </row>
    <row r="103" spans="2:74" s="163" customFormat="1" ht="31.5" x14ac:dyDescent="0.25">
      <c r="B103" s="169">
        <v>41514</v>
      </c>
      <c r="C103" s="169" t="s">
        <v>331</v>
      </c>
      <c r="D103" s="169" t="s">
        <v>27</v>
      </c>
      <c r="E103" s="657">
        <v>20000</v>
      </c>
      <c r="F103" s="47">
        <f t="shared" si="155"/>
        <v>204</v>
      </c>
      <c r="G103" s="133">
        <f t="shared" si="156"/>
        <v>4080000</v>
      </c>
      <c r="H103" s="133">
        <f t="shared" si="158"/>
        <v>2040000</v>
      </c>
      <c r="I103" s="133">
        <f t="shared" si="159"/>
        <v>2040000</v>
      </c>
      <c r="J103" s="133">
        <f t="shared" si="160"/>
        <v>0</v>
      </c>
      <c r="K103" s="133">
        <f t="shared" si="161"/>
        <v>0</v>
      </c>
      <c r="L103" s="133">
        <f t="shared" si="162"/>
        <v>0</v>
      </c>
      <c r="M103" s="133">
        <f t="shared" si="163"/>
        <v>0</v>
      </c>
      <c r="N103" s="133">
        <f t="shared" si="164"/>
        <v>0</v>
      </c>
      <c r="O103" s="133">
        <f t="shared" si="165"/>
        <v>0</v>
      </c>
      <c r="P103" s="133">
        <f t="shared" si="166"/>
        <v>0</v>
      </c>
      <c r="Q103" s="133">
        <f t="shared" si="167"/>
        <v>0</v>
      </c>
      <c r="R103" s="135">
        <f t="shared" si="123"/>
        <v>51</v>
      </c>
      <c r="S103" s="135">
        <f t="shared" si="124"/>
        <v>51</v>
      </c>
      <c r="T103" s="135">
        <f t="shared" si="125"/>
        <v>51</v>
      </c>
      <c r="U103" s="135">
        <f t="shared" si="126"/>
        <v>51</v>
      </c>
      <c r="V103" s="366">
        <f t="shared" si="168"/>
        <v>1020000</v>
      </c>
      <c r="W103" s="366">
        <f t="shared" si="169"/>
        <v>1020000</v>
      </c>
      <c r="X103" s="366">
        <f t="shared" si="170"/>
        <v>1020000</v>
      </c>
      <c r="Y103" s="366">
        <f t="shared" si="171"/>
        <v>1020000</v>
      </c>
      <c r="Z103" s="135">
        <v>12</v>
      </c>
      <c r="AA103" s="179">
        <f t="shared" si="103"/>
        <v>240000</v>
      </c>
      <c r="AB103" s="135">
        <v>12</v>
      </c>
      <c r="AC103" s="179">
        <f t="shared" si="104"/>
        <v>240000</v>
      </c>
      <c r="AD103" s="135">
        <v>12</v>
      </c>
      <c r="AE103" s="179">
        <f t="shared" si="105"/>
        <v>240000</v>
      </c>
      <c r="AF103" s="135">
        <v>12</v>
      </c>
      <c r="AG103" s="179">
        <f t="shared" si="106"/>
        <v>240000</v>
      </c>
      <c r="AH103" s="135">
        <v>12</v>
      </c>
      <c r="AI103" s="179">
        <f t="shared" si="107"/>
        <v>240000</v>
      </c>
      <c r="AJ103" s="135">
        <v>12</v>
      </c>
      <c r="AK103" s="179">
        <f t="shared" si="108"/>
        <v>240000</v>
      </c>
      <c r="AL103" s="135">
        <v>12</v>
      </c>
      <c r="AM103" s="179">
        <f t="shared" si="109"/>
        <v>240000</v>
      </c>
      <c r="AN103" s="135">
        <v>12</v>
      </c>
      <c r="AO103" s="179">
        <f t="shared" si="110"/>
        <v>240000</v>
      </c>
      <c r="AP103" s="135">
        <v>12</v>
      </c>
      <c r="AQ103" s="179">
        <f t="shared" si="111"/>
        <v>240000</v>
      </c>
      <c r="AR103" s="135">
        <v>12</v>
      </c>
      <c r="AS103" s="179">
        <f t="shared" si="112"/>
        <v>240000</v>
      </c>
      <c r="AT103" s="135">
        <v>12</v>
      </c>
      <c r="AU103" s="179">
        <f t="shared" si="113"/>
        <v>240000</v>
      </c>
      <c r="AV103" s="135">
        <v>12</v>
      </c>
      <c r="AW103" s="179">
        <f t="shared" si="114"/>
        <v>240000</v>
      </c>
      <c r="AX103" s="135">
        <v>12</v>
      </c>
      <c r="AY103" s="179">
        <f t="shared" si="115"/>
        <v>240000</v>
      </c>
      <c r="AZ103" s="135">
        <v>12</v>
      </c>
      <c r="BA103" s="179">
        <f t="shared" si="116"/>
        <v>240000</v>
      </c>
      <c r="BB103" s="135">
        <v>12</v>
      </c>
      <c r="BC103" s="179">
        <f t="shared" si="117"/>
        <v>240000</v>
      </c>
      <c r="BD103" s="135">
        <v>12</v>
      </c>
      <c r="BE103" s="179">
        <f t="shared" si="118"/>
        <v>240000</v>
      </c>
      <c r="BF103" s="135">
        <v>12</v>
      </c>
      <c r="BG103" s="179">
        <f t="shared" si="119"/>
        <v>240000</v>
      </c>
      <c r="BH103" s="135">
        <v>0</v>
      </c>
      <c r="BI103" s="179">
        <f t="shared" si="120"/>
        <v>0</v>
      </c>
      <c r="BJ103" s="135">
        <f t="shared" si="157"/>
        <v>204</v>
      </c>
      <c r="BK103" s="322">
        <f t="shared" si="157"/>
        <v>4080000</v>
      </c>
      <c r="BL103" s="298" t="s">
        <v>470</v>
      </c>
      <c r="BN103" s="176"/>
      <c r="BO103" s="176"/>
      <c r="BP103" s="176"/>
      <c r="BQ103" s="176"/>
      <c r="BR103" s="176">
        <f t="shared" si="172"/>
        <v>0</v>
      </c>
      <c r="BS103" s="176"/>
      <c r="BT103" s="176">
        <f t="shared" si="173"/>
        <v>4080000</v>
      </c>
      <c r="BU103" s="164">
        <f t="shared" si="174"/>
        <v>4080000</v>
      </c>
      <c r="BV103" s="189">
        <f t="shared" si="121"/>
        <v>4080000</v>
      </c>
    </row>
    <row r="104" spans="2:74" s="163" customFormat="1" ht="31.5" x14ac:dyDescent="0.25">
      <c r="B104" s="169">
        <v>41515</v>
      </c>
      <c r="C104" s="169" t="s">
        <v>28</v>
      </c>
      <c r="D104" s="169" t="s">
        <v>27</v>
      </c>
      <c r="E104" s="178">
        <v>0</v>
      </c>
      <c r="F104" s="47">
        <f t="shared" si="155"/>
        <v>0</v>
      </c>
      <c r="G104" s="133">
        <f t="shared" si="156"/>
        <v>0</v>
      </c>
      <c r="H104" s="133">
        <f t="shared" si="158"/>
        <v>0</v>
      </c>
      <c r="I104" s="133">
        <f t="shared" si="159"/>
        <v>0</v>
      </c>
      <c r="J104" s="133">
        <f t="shared" si="160"/>
        <v>0</v>
      </c>
      <c r="K104" s="133">
        <f t="shared" si="161"/>
        <v>0</v>
      </c>
      <c r="L104" s="133">
        <f t="shared" si="162"/>
        <v>0</v>
      </c>
      <c r="M104" s="133">
        <f t="shared" si="163"/>
        <v>0</v>
      </c>
      <c r="N104" s="133">
        <f t="shared" si="164"/>
        <v>0</v>
      </c>
      <c r="O104" s="133">
        <f t="shared" si="165"/>
        <v>0</v>
      </c>
      <c r="P104" s="133">
        <f t="shared" si="166"/>
        <v>0</v>
      </c>
      <c r="Q104" s="133">
        <f t="shared" si="167"/>
        <v>0</v>
      </c>
      <c r="R104" s="135">
        <f t="shared" si="123"/>
        <v>0</v>
      </c>
      <c r="S104" s="135">
        <f t="shared" si="124"/>
        <v>0</v>
      </c>
      <c r="T104" s="135">
        <f t="shared" si="125"/>
        <v>0</v>
      </c>
      <c r="U104" s="135">
        <f t="shared" si="126"/>
        <v>0</v>
      </c>
      <c r="V104" s="366">
        <f t="shared" si="168"/>
        <v>0</v>
      </c>
      <c r="W104" s="366">
        <f t="shared" si="169"/>
        <v>0</v>
      </c>
      <c r="X104" s="366">
        <f t="shared" si="170"/>
        <v>0</v>
      </c>
      <c r="Y104" s="366">
        <f t="shared" si="171"/>
        <v>0</v>
      </c>
      <c r="Z104" s="135">
        <v>0</v>
      </c>
      <c r="AA104" s="179">
        <f t="shared" si="103"/>
        <v>0</v>
      </c>
      <c r="AB104" s="135">
        <v>0</v>
      </c>
      <c r="AC104" s="179">
        <f t="shared" si="104"/>
        <v>0</v>
      </c>
      <c r="AD104" s="135">
        <v>0</v>
      </c>
      <c r="AE104" s="179">
        <f t="shared" si="105"/>
        <v>0</v>
      </c>
      <c r="AF104" s="135">
        <v>0</v>
      </c>
      <c r="AG104" s="179">
        <f t="shared" si="106"/>
        <v>0</v>
      </c>
      <c r="AH104" s="135">
        <v>0</v>
      </c>
      <c r="AI104" s="179">
        <f t="shared" si="107"/>
        <v>0</v>
      </c>
      <c r="AJ104" s="135">
        <v>0</v>
      </c>
      <c r="AK104" s="179">
        <f t="shared" si="108"/>
        <v>0</v>
      </c>
      <c r="AL104" s="135">
        <v>0</v>
      </c>
      <c r="AM104" s="179">
        <f t="shared" si="109"/>
        <v>0</v>
      </c>
      <c r="AN104" s="135">
        <v>0</v>
      </c>
      <c r="AO104" s="179">
        <f t="shared" si="110"/>
        <v>0</v>
      </c>
      <c r="AP104" s="135">
        <v>0</v>
      </c>
      <c r="AQ104" s="179">
        <f t="shared" si="111"/>
        <v>0</v>
      </c>
      <c r="AR104" s="135">
        <v>0</v>
      </c>
      <c r="AS104" s="179">
        <f t="shared" si="112"/>
        <v>0</v>
      </c>
      <c r="AT104" s="135">
        <v>0</v>
      </c>
      <c r="AU104" s="179">
        <f t="shared" si="113"/>
        <v>0</v>
      </c>
      <c r="AV104" s="135">
        <v>0</v>
      </c>
      <c r="AW104" s="179">
        <f t="shared" si="114"/>
        <v>0</v>
      </c>
      <c r="AX104" s="135">
        <v>0</v>
      </c>
      <c r="AY104" s="179">
        <f t="shared" si="115"/>
        <v>0</v>
      </c>
      <c r="AZ104" s="135">
        <v>0</v>
      </c>
      <c r="BA104" s="179">
        <f t="shared" si="116"/>
        <v>0</v>
      </c>
      <c r="BB104" s="135">
        <v>0</v>
      </c>
      <c r="BC104" s="179">
        <f t="shared" si="117"/>
        <v>0</v>
      </c>
      <c r="BD104" s="135">
        <v>0</v>
      </c>
      <c r="BE104" s="179">
        <f t="shared" si="118"/>
        <v>0</v>
      </c>
      <c r="BF104" s="135">
        <v>0</v>
      </c>
      <c r="BG104" s="179">
        <f t="shared" si="119"/>
        <v>0</v>
      </c>
      <c r="BH104" s="135">
        <v>0</v>
      </c>
      <c r="BI104" s="179">
        <f t="shared" si="120"/>
        <v>0</v>
      </c>
      <c r="BJ104" s="135">
        <v>0</v>
      </c>
      <c r="BK104" s="322">
        <f t="shared" si="157"/>
        <v>0</v>
      </c>
      <c r="BL104" s="298" t="s">
        <v>470</v>
      </c>
      <c r="BN104" s="176"/>
      <c r="BO104" s="176"/>
      <c r="BP104" s="176"/>
      <c r="BQ104" s="176"/>
      <c r="BR104" s="176">
        <f t="shared" si="172"/>
        <v>0</v>
      </c>
      <c r="BS104" s="176"/>
      <c r="BT104" s="176">
        <f t="shared" si="173"/>
        <v>0</v>
      </c>
      <c r="BU104" s="164">
        <f t="shared" si="174"/>
        <v>0</v>
      </c>
      <c r="BV104" s="189">
        <f t="shared" si="121"/>
        <v>0</v>
      </c>
    </row>
    <row r="105" spans="2:74" ht="31.5" x14ac:dyDescent="0.25">
      <c r="B105" s="38">
        <v>41516</v>
      </c>
      <c r="C105" s="38" t="s">
        <v>332</v>
      </c>
      <c r="D105" s="38" t="s">
        <v>27</v>
      </c>
      <c r="E105" s="365">
        <f>0.25*100000</f>
        <v>25000</v>
      </c>
      <c r="F105" s="47">
        <f t="shared" si="155"/>
        <v>0</v>
      </c>
      <c r="G105" s="85">
        <f t="shared" si="156"/>
        <v>0</v>
      </c>
      <c r="H105" s="85">
        <f t="shared" si="158"/>
        <v>0</v>
      </c>
      <c r="I105" s="85">
        <f t="shared" si="159"/>
        <v>0</v>
      </c>
      <c r="J105" s="85">
        <f t="shared" si="160"/>
        <v>0</v>
      </c>
      <c r="K105" s="85">
        <f t="shared" si="161"/>
        <v>0</v>
      </c>
      <c r="L105" s="85">
        <f t="shared" si="162"/>
        <v>0</v>
      </c>
      <c r="M105" s="85">
        <f t="shared" si="163"/>
        <v>0</v>
      </c>
      <c r="N105" s="85">
        <f t="shared" si="164"/>
        <v>0</v>
      </c>
      <c r="O105" s="85">
        <f t="shared" si="165"/>
        <v>0</v>
      </c>
      <c r="P105" s="85">
        <f t="shared" si="166"/>
        <v>0</v>
      </c>
      <c r="Q105" s="85">
        <f t="shared" si="167"/>
        <v>0</v>
      </c>
      <c r="R105" s="47">
        <f t="shared" si="123"/>
        <v>0</v>
      </c>
      <c r="S105" s="47">
        <f t="shared" si="124"/>
        <v>0</v>
      </c>
      <c r="T105" s="47">
        <f t="shared" si="125"/>
        <v>0</v>
      </c>
      <c r="U105" s="47">
        <f t="shared" si="126"/>
        <v>0</v>
      </c>
      <c r="V105" s="366">
        <f t="shared" si="168"/>
        <v>0</v>
      </c>
      <c r="W105" s="366">
        <f t="shared" si="169"/>
        <v>0</v>
      </c>
      <c r="X105" s="366">
        <f t="shared" si="170"/>
        <v>0</v>
      </c>
      <c r="Y105" s="366">
        <f t="shared" si="171"/>
        <v>0</v>
      </c>
      <c r="Z105" s="47">
        <v>0</v>
      </c>
      <c r="AA105" s="179">
        <f t="shared" si="103"/>
        <v>0</v>
      </c>
      <c r="AB105" s="47">
        <v>0</v>
      </c>
      <c r="AC105" s="179">
        <f t="shared" si="104"/>
        <v>0</v>
      </c>
      <c r="AD105" s="47">
        <v>0</v>
      </c>
      <c r="AE105" s="179">
        <f t="shared" si="105"/>
        <v>0</v>
      </c>
      <c r="AF105" s="47">
        <v>0</v>
      </c>
      <c r="AG105" s="179">
        <f t="shared" si="106"/>
        <v>0</v>
      </c>
      <c r="AH105" s="47">
        <v>0</v>
      </c>
      <c r="AI105" s="179">
        <f t="shared" si="107"/>
        <v>0</v>
      </c>
      <c r="AJ105" s="47">
        <v>0</v>
      </c>
      <c r="AK105" s="179">
        <f t="shared" si="108"/>
        <v>0</v>
      </c>
      <c r="AL105" s="47">
        <v>0</v>
      </c>
      <c r="AM105" s="179">
        <f t="shared" si="109"/>
        <v>0</v>
      </c>
      <c r="AN105" s="47">
        <v>0</v>
      </c>
      <c r="AO105" s="179">
        <f t="shared" si="110"/>
        <v>0</v>
      </c>
      <c r="AP105" s="47">
        <v>0</v>
      </c>
      <c r="AQ105" s="179">
        <f t="shared" si="111"/>
        <v>0</v>
      </c>
      <c r="AR105" s="47">
        <v>0</v>
      </c>
      <c r="AS105" s="179">
        <f t="shared" si="112"/>
        <v>0</v>
      </c>
      <c r="AT105" s="47">
        <v>0</v>
      </c>
      <c r="AU105" s="179">
        <f t="shared" si="113"/>
        <v>0</v>
      </c>
      <c r="AV105" s="47">
        <v>0</v>
      </c>
      <c r="AW105" s="179">
        <f t="shared" si="114"/>
        <v>0</v>
      </c>
      <c r="AX105" s="47">
        <v>0</v>
      </c>
      <c r="AY105" s="179">
        <f t="shared" si="115"/>
        <v>0</v>
      </c>
      <c r="AZ105" s="47">
        <v>0</v>
      </c>
      <c r="BA105" s="179">
        <f t="shared" si="116"/>
        <v>0</v>
      </c>
      <c r="BB105" s="47">
        <v>0</v>
      </c>
      <c r="BC105" s="179">
        <f t="shared" si="117"/>
        <v>0</v>
      </c>
      <c r="BD105" s="47">
        <v>0</v>
      </c>
      <c r="BE105" s="179">
        <f t="shared" si="118"/>
        <v>0</v>
      </c>
      <c r="BF105" s="47">
        <v>0</v>
      </c>
      <c r="BG105" s="179">
        <f t="shared" si="119"/>
        <v>0</v>
      </c>
      <c r="BH105" s="47">
        <v>0</v>
      </c>
      <c r="BI105" s="179">
        <f t="shared" si="120"/>
        <v>0</v>
      </c>
      <c r="BJ105" s="47">
        <f t="shared" si="157"/>
        <v>0</v>
      </c>
      <c r="BK105" s="117">
        <f t="shared" si="157"/>
        <v>0</v>
      </c>
      <c r="BL105" s="293" t="s">
        <v>470</v>
      </c>
      <c r="BN105" s="113"/>
      <c r="BO105" s="113"/>
      <c r="BP105" s="113"/>
      <c r="BQ105" s="113"/>
      <c r="BR105" s="113">
        <f t="shared" si="172"/>
        <v>0</v>
      </c>
      <c r="BS105" s="113"/>
      <c r="BT105" s="113">
        <f t="shared" si="173"/>
        <v>0</v>
      </c>
      <c r="BU105" s="124">
        <f t="shared" si="174"/>
        <v>0</v>
      </c>
      <c r="BV105" s="179">
        <f t="shared" si="121"/>
        <v>0</v>
      </c>
    </row>
    <row r="106" spans="2:74" s="67" customFormat="1" x14ac:dyDescent="0.25">
      <c r="B106" s="367"/>
      <c r="C106" s="368" t="s">
        <v>333</v>
      </c>
      <c r="D106" s="369"/>
      <c r="E106" s="369"/>
      <c r="F106" s="369">
        <f>SUM(F90:F105)</f>
        <v>1530</v>
      </c>
      <c r="G106" s="370">
        <f>SUM(G90:G105)</f>
        <v>8547000</v>
      </c>
      <c r="H106" s="370">
        <f t="shared" ref="H106:Q106" si="175">SUM(H90:H105)</f>
        <v>4273500</v>
      </c>
      <c r="I106" s="370">
        <f t="shared" si="175"/>
        <v>4273500</v>
      </c>
      <c r="J106" s="370">
        <f t="shared" si="175"/>
        <v>0</v>
      </c>
      <c r="K106" s="370">
        <f t="shared" si="175"/>
        <v>0</v>
      </c>
      <c r="L106" s="370">
        <f t="shared" si="175"/>
        <v>0</v>
      </c>
      <c r="M106" s="370">
        <f t="shared" si="175"/>
        <v>0</v>
      </c>
      <c r="N106" s="370">
        <f t="shared" si="175"/>
        <v>0</v>
      </c>
      <c r="O106" s="370">
        <f t="shared" si="175"/>
        <v>0</v>
      </c>
      <c r="P106" s="370">
        <f t="shared" si="175"/>
        <v>0</v>
      </c>
      <c r="Q106" s="370">
        <f t="shared" si="175"/>
        <v>0</v>
      </c>
      <c r="R106" s="369">
        <f t="shared" ref="R106:BK106" si="176">SUM(R90:R105)</f>
        <v>382.5</v>
      </c>
      <c r="S106" s="369">
        <f t="shared" si="176"/>
        <v>382.5</v>
      </c>
      <c r="T106" s="369">
        <f t="shared" si="176"/>
        <v>382.5</v>
      </c>
      <c r="U106" s="369">
        <f t="shared" si="176"/>
        <v>382.5</v>
      </c>
      <c r="V106" s="369">
        <f t="shared" si="176"/>
        <v>2136750</v>
      </c>
      <c r="W106" s="369">
        <f t="shared" si="176"/>
        <v>2136750</v>
      </c>
      <c r="X106" s="369">
        <f t="shared" si="176"/>
        <v>2136750</v>
      </c>
      <c r="Y106" s="369">
        <f t="shared" si="176"/>
        <v>2136750</v>
      </c>
      <c r="Z106" s="369">
        <f t="shared" si="176"/>
        <v>87</v>
      </c>
      <c r="AA106" s="369">
        <f t="shared" si="176"/>
        <v>486000</v>
      </c>
      <c r="AB106" s="369">
        <f t="shared" si="176"/>
        <v>87</v>
      </c>
      <c r="AC106" s="369">
        <f t="shared" si="176"/>
        <v>486000</v>
      </c>
      <c r="AD106" s="369">
        <f t="shared" si="176"/>
        <v>75</v>
      </c>
      <c r="AE106" s="369">
        <f t="shared" si="176"/>
        <v>456000</v>
      </c>
      <c r="AF106" s="369">
        <f t="shared" si="176"/>
        <v>91</v>
      </c>
      <c r="AG106" s="369">
        <f t="shared" si="176"/>
        <v>506000</v>
      </c>
      <c r="AH106" s="369">
        <f t="shared" si="176"/>
        <v>94</v>
      </c>
      <c r="AI106" s="369">
        <f t="shared" si="176"/>
        <v>521000</v>
      </c>
      <c r="AJ106" s="369">
        <f t="shared" si="176"/>
        <v>90</v>
      </c>
      <c r="AK106" s="369">
        <f t="shared" si="176"/>
        <v>501000</v>
      </c>
      <c r="AL106" s="369">
        <f t="shared" si="176"/>
        <v>90</v>
      </c>
      <c r="AM106" s="369">
        <f t="shared" si="176"/>
        <v>501000</v>
      </c>
      <c r="AN106" s="369">
        <f t="shared" si="176"/>
        <v>93</v>
      </c>
      <c r="AO106" s="369">
        <f t="shared" si="176"/>
        <v>516000</v>
      </c>
      <c r="AP106" s="369">
        <f t="shared" si="176"/>
        <v>93</v>
      </c>
      <c r="AQ106" s="369">
        <f t="shared" si="176"/>
        <v>516000</v>
      </c>
      <c r="AR106" s="369">
        <f t="shared" si="176"/>
        <v>93</v>
      </c>
      <c r="AS106" s="369">
        <f t="shared" si="176"/>
        <v>516000</v>
      </c>
      <c r="AT106" s="369">
        <f t="shared" si="176"/>
        <v>87</v>
      </c>
      <c r="AU106" s="369">
        <f t="shared" si="176"/>
        <v>486000</v>
      </c>
      <c r="AV106" s="369">
        <f t="shared" si="176"/>
        <v>90</v>
      </c>
      <c r="AW106" s="369">
        <f t="shared" si="176"/>
        <v>501000</v>
      </c>
      <c r="AX106" s="369">
        <f t="shared" si="176"/>
        <v>87</v>
      </c>
      <c r="AY106" s="369">
        <f t="shared" si="176"/>
        <v>486000</v>
      </c>
      <c r="AZ106" s="369">
        <f t="shared" si="176"/>
        <v>90</v>
      </c>
      <c r="BA106" s="369">
        <f t="shared" si="176"/>
        <v>501000</v>
      </c>
      <c r="BB106" s="369">
        <f t="shared" si="176"/>
        <v>99</v>
      </c>
      <c r="BC106" s="369">
        <f t="shared" si="176"/>
        <v>546000</v>
      </c>
      <c r="BD106" s="369">
        <f t="shared" si="176"/>
        <v>94</v>
      </c>
      <c r="BE106" s="369">
        <f t="shared" si="176"/>
        <v>521000</v>
      </c>
      <c r="BF106" s="369">
        <f t="shared" si="176"/>
        <v>90</v>
      </c>
      <c r="BG106" s="369">
        <f t="shared" si="176"/>
        <v>501000</v>
      </c>
      <c r="BH106" s="369">
        <f t="shared" si="176"/>
        <v>0</v>
      </c>
      <c r="BI106" s="369">
        <f t="shared" si="176"/>
        <v>0</v>
      </c>
      <c r="BJ106" s="369">
        <f t="shared" si="176"/>
        <v>1530</v>
      </c>
      <c r="BK106" s="371">
        <f t="shared" si="176"/>
        <v>8547000</v>
      </c>
      <c r="BL106" s="118"/>
      <c r="BN106" s="371">
        <f t="shared" ref="BN106:BU106" si="177">SUM(BN90:BN105)</f>
        <v>0</v>
      </c>
      <c r="BO106" s="371">
        <f t="shared" si="177"/>
        <v>0</v>
      </c>
      <c r="BP106" s="371">
        <f t="shared" si="177"/>
        <v>0</v>
      </c>
      <c r="BQ106" s="371">
        <f t="shared" si="177"/>
        <v>0</v>
      </c>
      <c r="BR106" s="371">
        <f t="shared" si="177"/>
        <v>0</v>
      </c>
      <c r="BS106" s="371">
        <f t="shared" si="177"/>
        <v>0</v>
      </c>
      <c r="BT106" s="371">
        <f t="shared" si="177"/>
        <v>8547000</v>
      </c>
      <c r="BU106" s="371">
        <f t="shared" si="177"/>
        <v>8547000</v>
      </c>
      <c r="BV106" s="380">
        <f t="shared" si="121"/>
        <v>8547000</v>
      </c>
    </row>
    <row r="107" spans="2:74" ht="31.5" x14ac:dyDescent="0.25">
      <c r="B107" s="38">
        <v>41600</v>
      </c>
      <c r="C107" s="38" t="s">
        <v>364</v>
      </c>
      <c r="D107" s="38"/>
      <c r="E107" s="365"/>
      <c r="F107" s="38"/>
      <c r="G107" s="85"/>
      <c r="H107" s="85"/>
      <c r="I107" s="85"/>
      <c r="J107" s="85"/>
      <c r="K107" s="85"/>
      <c r="L107" s="85"/>
      <c r="M107" s="85"/>
      <c r="N107" s="85"/>
      <c r="O107" s="47"/>
      <c r="P107" s="47"/>
      <c r="Q107" s="47"/>
      <c r="R107" s="47"/>
      <c r="S107" s="47"/>
      <c r="T107" s="47"/>
      <c r="U107" s="47"/>
      <c r="V107" s="366">
        <f t="shared" si="168"/>
        <v>0</v>
      </c>
      <c r="W107" s="366">
        <f t="shared" si="169"/>
        <v>0</v>
      </c>
      <c r="X107" s="366">
        <f t="shared" si="170"/>
        <v>0</v>
      </c>
      <c r="Y107" s="366">
        <f t="shared" si="171"/>
        <v>0</v>
      </c>
      <c r="Z107" s="47"/>
      <c r="AA107" s="179">
        <f t="shared" si="103"/>
        <v>0</v>
      </c>
      <c r="AB107" s="47"/>
      <c r="AC107" s="179">
        <f t="shared" si="104"/>
        <v>0</v>
      </c>
      <c r="AD107" s="47"/>
      <c r="AE107" s="179">
        <f t="shared" si="105"/>
        <v>0</v>
      </c>
      <c r="AF107" s="47"/>
      <c r="AG107" s="179">
        <f t="shared" si="106"/>
        <v>0</v>
      </c>
      <c r="AH107" s="47"/>
      <c r="AI107" s="179">
        <f t="shared" si="107"/>
        <v>0</v>
      </c>
      <c r="AJ107" s="47"/>
      <c r="AK107" s="179">
        <f t="shared" si="108"/>
        <v>0</v>
      </c>
      <c r="AL107" s="47"/>
      <c r="AM107" s="179">
        <f t="shared" si="109"/>
        <v>0</v>
      </c>
      <c r="AN107" s="47"/>
      <c r="AO107" s="179">
        <f t="shared" si="110"/>
        <v>0</v>
      </c>
      <c r="AP107" s="47"/>
      <c r="AQ107" s="179">
        <f t="shared" si="111"/>
        <v>0</v>
      </c>
      <c r="AR107" s="47"/>
      <c r="AS107" s="179">
        <f t="shared" si="112"/>
        <v>0</v>
      </c>
      <c r="AT107" s="47"/>
      <c r="AU107" s="179">
        <f t="shared" si="113"/>
        <v>0</v>
      </c>
      <c r="AV107" s="47"/>
      <c r="AW107" s="179">
        <f t="shared" si="114"/>
        <v>0</v>
      </c>
      <c r="AX107" s="47"/>
      <c r="AY107" s="179">
        <f t="shared" si="115"/>
        <v>0</v>
      </c>
      <c r="AZ107" s="47"/>
      <c r="BA107" s="179">
        <f t="shared" si="116"/>
        <v>0</v>
      </c>
      <c r="BB107" s="47"/>
      <c r="BC107" s="179">
        <f t="shared" si="117"/>
        <v>0</v>
      </c>
      <c r="BD107" s="47"/>
      <c r="BE107" s="179">
        <f t="shared" si="118"/>
        <v>0</v>
      </c>
      <c r="BF107" s="47"/>
      <c r="BG107" s="179">
        <f t="shared" si="119"/>
        <v>0</v>
      </c>
      <c r="BH107" s="47"/>
      <c r="BI107" s="179">
        <f t="shared" si="120"/>
        <v>0</v>
      </c>
      <c r="BJ107" s="47"/>
      <c r="BK107" s="123"/>
      <c r="BL107" s="47"/>
      <c r="BN107" s="113"/>
      <c r="BO107" s="113"/>
      <c r="BP107" s="113"/>
      <c r="BQ107" s="113"/>
      <c r="BR107" s="113"/>
      <c r="BS107" s="113"/>
      <c r="BT107" s="113"/>
      <c r="BU107" s="124"/>
      <c r="BV107" s="179">
        <f t="shared" si="121"/>
        <v>0</v>
      </c>
    </row>
    <row r="108" spans="2:74" x14ac:dyDescent="0.25">
      <c r="B108" s="38"/>
      <c r="C108" s="38" t="s">
        <v>365</v>
      </c>
      <c r="D108" s="38" t="s">
        <v>240</v>
      </c>
      <c r="E108" s="365">
        <f>40*100000</f>
        <v>4000000</v>
      </c>
      <c r="F108" s="47">
        <f>BJ108</f>
        <v>4</v>
      </c>
      <c r="G108" s="85">
        <f>BK108</f>
        <v>16675000</v>
      </c>
      <c r="H108" s="85">
        <f>G108*0.2</f>
        <v>3335000</v>
      </c>
      <c r="I108" s="85">
        <f>G108*0.8</f>
        <v>13340000</v>
      </c>
      <c r="J108" s="85">
        <f>G108*0</f>
        <v>0</v>
      </c>
      <c r="K108" s="85">
        <f>G108*0</f>
        <v>0</v>
      </c>
      <c r="L108" s="85">
        <f>G108*0</f>
        <v>0</v>
      </c>
      <c r="M108" s="85">
        <f>G108*0</f>
        <v>0</v>
      </c>
      <c r="N108" s="85">
        <f>G108*0</f>
        <v>0</v>
      </c>
      <c r="O108" s="85">
        <f>G108*0</f>
        <v>0</v>
      </c>
      <c r="P108" s="85">
        <f>G108*0</f>
        <v>0</v>
      </c>
      <c r="Q108" s="85">
        <f>G108*0</f>
        <v>0</v>
      </c>
      <c r="R108" s="47">
        <v>0</v>
      </c>
      <c r="S108" s="47"/>
      <c r="T108" s="47">
        <v>2</v>
      </c>
      <c r="U108" s="47">
        <v>2</v>
      </c>
      <c r="V108" s="366">
        <f t="shared" si="168"/>
        <v>0</v>
      </c>
      <c r="W108" s="366">
        <f t="shared" si="169"/>
        <v>0</v>
      </c>
      <c r="X108" s="366">
        <f>G108*0.5</f>
        <v>8337500</v>
      </c>
      <c r="Y108" s="366">
        <f>G108*0.5</f>
        <v>8337500</v>
      </c>
      <c r="Z108" s="47">
        <v>1</v>
      </c>
      <c r="AA108" s="189">
        <v>3000000</v>
      </c>
      <c r="AB108" s="47">
        <v>0</v>
      </c>
      <c r="AC108" s="179">
        <v>1600000</v>
      </c>
      <c r="AD108" s="47">
        <v>0</v>
      </c>
      <c r="AE108" s="179"/>
      <c r="AF108" s="47">
        <v>0</v>
      </c>
      <c r="AG108" s="179">
        <v>500000</v>
      </c>
      <c r="AH108" s="47">
        <v>0</v>
      </c>
      <c r="AI108" s="179">
        <v>600000</v>
      </c>
      <c r="AJ108" s="47">
        <v>1</v>
      </c>
      <c r="AK108" s="179">
        <v>2000000</v>
      </c>
      <c r="AL108" s="47">
        <v>0</v>
      </c>
      <c r="AM108" s="179">
        <v>1100000</v>
      </c>
      <c r="AN108" s="47">
        <v>0</v>
      </c>
      <c r="AO108" s="179">
        <v>2125000</v>
      </c>
      <c r="AP108" s="47">
        <v>0</v>
      </c>
      <c r="AQ108" s="179">
        <f t="shared" si="111"/>
        <v>0</v>
      </c>
      <c r="AR108" s="47">
        <v>0</v>
      </c>
      <c r="AS108" s="179">
        <f t="shared" si="112"/>
        <v>0</v>
      </c>
      <c r="AT108" s="47"/>
      <c r="AU108" s="179"/>
      <c r="AV108" s="47">
        <v>1</v>
      </c>
      <c r="AW108" s="179">
        <v>1750000</v>
      </c>
      <c r="AX108" s="47"/>
      <c r="AY108" s="179"/>
      <c r="AZ108" s="47"/>
      <c r="BA108" s="179"/>
      <c r="BB108" s="47">
        <v>0</v>
      </c>
      <c r="BC108" s="179">
        <f t="shared" si="117"/>
        <v>0</v>
      </c>
      <c r="BD108" s="47">
        <v>1</v>
      </c>
      <c r="BE108" s="179">
        <v>2200000</v>
      </c>
      <c r="BF108" s="47">
        <v>0</v>
      </c>
      <c r="BG108" s="179">
        <v>1800000</v>
      </c>
      <c r="BH108" s="47">
        <v>0</v>
      </c>
      <c r="BI108" s="179">
        <f t="shared" si="120"/>
        <v>0</v>
      </c>
      <c r="BJ108" s="47">
        <f t="shared" ref="BJ108:BK112" si="178">Z108+AB108+AD108+AF108+AH108+AJ108+AL108+AN108+AP108+AR108+AT108+AV108+AX108+AZ108+BB108+BD108+BF108+BH108</f>
        <v>4</v>
      </c>
      <c r="BK108" s="394">
        <f t="shared" si="178"/>
        <v>16675000</v>
      </c>
      <c r="BL108" s="293" t="s">
        <v>467</v>
      </c>
      <c r="BN108" s="113">
        <f>G108</f>
        <v>16675000</v>
      </c>
      <c r="BO108" s="113"/>
      <c r="BP108" s="113"/>
      <c r="BQ108" s="113"/>
      <c r="BR108" s="113">
        <f>BN108+BO108+BP108+BQ108</f>
        <v>16675000</v>
      </c>
      <c r="BS108" s="113"/>
      <c r="BT108" s="113"/>
      <c r="BU108" s="124">
        <f>BS108+BT108</f>
        <v>0</v>
      </c>
      <c r="BV108" s="179">
        <f t="shared" si="121"/>
        <v>16675000</v>
      </c>
    </row>
    <row r="109" spans="2:74" ht="31.5" x14ac:dyDescent="0.25">
      <c r="B109" s="38"/>
      <c r="C109" s="38" t="s">
        <v>366</v>
      </c>
      <c r="D109" s="38" t="s">
        <v>240</v>
      </c>
      <c r="E109" s="365">
        <f>10*100000</f>
        <v>1000000</v>
      </c>
      <c r="F109" s="47">
        <f>BJ109</f>
        <v>3</v>
      </c>
      <c r="G109" s="85">
        <f>BK109</f>
        <v>1700000</v>
      </c>
      <c r="H109" s="85">
        <f>G109*0.2</f>
        <v>340000</v>
      </c>
      <c r="I109" s="85">
        <f>G109*0.8</f>
        <v>1360000</v>
      </c>
      <c r="J109" s="85">
        <f>G109*0</f>
        <v>0</v>
      </c>
      <c r="K109" s="85">
        <f>G109*0</f>
        <v>0</v>
      </c>
      <c r="L109" s="85">
        <f>G109*0</f>
        <v>0</v>
      </c>
      <c r="M109" s="85">
        <f>G109*0</f>
        <v>0</v>
      </c>
      <c r="N109" s="85">
        <f>G109*0</f>
        <v>0</v>
      </c>
      <c r="O109" s="85">
        <f>G109*0</f>
        <v>0</v>
      </c>
      <c r="P109" s="85">
        <f>G109*0</f>
        <v>0</v>
      </c>
      <c r="Q109" s="85">
        <f>G109*0</f>
        <v>0</v>
      </c>
      <c r="R109" s="47">
        <v>0</v>
      </c>
      <c r="S109" s="47"/>
      <c r="T109" s="47"/>
      <c r="U109" s="47">
        <v>3</v>
      </c>
      <c r="V109" s="366">
        <f t="shared" si="168"/>
        <v>0</v>
      </c>
      <c r="W109" s="366">
        <f t="shared" si="169"/>
        <v>0</v>
      </c>
      <c r="X109" s="366">
        <f t="shared" si="170"/>
        <v>0</v>
      </c>
      <c r="Y109" s="366">
        <f>G109*1</f>
        <v>1700000</v>
      </c>
      <c r="Z109" s="47">
        <v>0</v>
      </c>
      <c r="AA109" s="179">
        <f t="shared" si="103"/>
        <v>0</v>
      </c>
      <c r="AB109" s="47">
        <v>0</v>
      </c>
      <c r="AC109" s="179">
        <f t="shared" si="104"/>
        <v>0</v>
      </c>
      <c r="AD109" s="624">
        <v>0</v>
      </c>
      <c r="AE109" s="179">
        <f t="shared" si="105"/>
        <v>0</v>
      </c>
      <c r="AF109" s="47">
        <v>0</v>
      </c>
      <c r="AG109" s="179">
        <f t="shared" si="106"/>
        <v>0</v>
      </c>
      <c r="AH109" s="47">
        <v>0</v>
      </c>
      <c r="AI109" s="179">
        <f t="shared" si="107"/>
        <v>0</v>
      </c>
      <c r="AJ109" s="47">
        <v>0</v>
      </c>
      <c r="AK109" s="179">
        <f t="shared" si="108"/>
        <v>0</v>
      </c>
      <c r="AL109" s="47">
        <v>0</v>
      </c>
      <c r="AM109" s="179">
        <f t="shared" si="109"/>
        <v>0</v>
      </c>
      <c r="AN109" s="47">
        <v>0</v>
      </c>
      <c r="AO109" s="179">
        <f t="shared" si="110"/>
        <v>0</v>
      </c>
      <c r="AP109" s="47">
        <v>0</v>
      </c>
      <c r="AQ109" s="179">
        <v>50000</v>
      </c>
      <c r="AR109" s="47">
        <v>0</v>
      </c>
      <c r="AS109" s="179">
        <v>250000</v>
      </c>
      <c r="AT109" s="47">
        <v>1</v>
      </c>
      <c r="AU109" s="179">
        <v>450000</v>
      </c>
      <c r="AV109" s="47">
        <v>0</v>
      </c>
      <c r="AW109" s="179">
        <f t="shared" si="114"/>
        <v>0</v>
      </c>
      <c r="AX109" s="47">
        <v>1</v>
      </c>
      <c r="AY109" s="179">
        <v>500000</v>
      </c>
      <c r="AZ109" s="47">
        <v>1</v>
      </c>
      <c r="BA109" s="179">
        <v>400000</v>
      </c>
      <c r="BB109" s="47">
        <v>0</v>
      </c>
      <c r="BC109" s="179">
        <v>50000</v>
      </c>
      <c r="BD109" s="47">
        <v>0</v>
      </c>
      <c r="BE109" s="179">
        <f t="shared" si="118"/>
        <v>0</v>
      </c>
      <c r="BF109" s="47">
        <v>0</v>
      </c>
      <c r="BG109" s="179">
        <f t="shared" si="119"/>
        <v>0</v>
      </c>
      <c r="BH109" s="47">
        <v>0</v>
      </c>
      <c r="BI109" s="179">
        <f t="shared" si="120"/>
        <v>0</v>
      </c>
      <c r="BJ109" s="47">
        <f t="shared" si="178"/>
        <v>3</v>
      </c>
      <c r="BK109" s="394">
        <f t="shared" si="178"/>
        <v>1700000</v>
      </c>
      <c r="BL109" s="293" t="s">
        <v>467</v>
      </c>
      <c r="BN109" s="113">
        <f>G109</f>
        <v>1700000</v>
      </c>
      <c r="BO109" s="113"/>
      <c r="BP109" s="113"/>
      <c r="BQ109" s="113"/>
      <c r="BR109" s="113">
        <f>BN109+BO109+BP109+BQ109</f>
        <v>1700000</v>
      </c>
      <c r="BS109" s="113"/>
      <c r="BT109" s="113"/>
      <c r="BU109" s="124">
        <f>BS109+BT109</f>
        <v>0</v>
      </c>
      <c r="BV109" s="179">
        <f t="shared" si="121"/>
        <v>1700000</v>
      </c>
    </row>
    <row r="110" spans="2:74" x14ac:dyDescent="0.25">
      <c r="B110" s="38"/>
      <c r="C110" s="38" t="s">
        <v>367</v>
      </c>
      <c r="D110" s="38" t="s">
        <v>240</v>
      </c>
      <c r="E110" s="365">
        <f>16.2*100000</f>
        <v>1620000</v>
      </c>
      <c r="F110" s="47">
        <f>BJ110</f>
        <v>0</v>
      </c>
      <c r="G110" s="85">
        <f>E110*F110</f>
        <v>0</v>
      </c>
      <c r="H110" s="85">
        <f>G110*0.1</f>
        <v>0</v>
      </c>
      <c r="I110" s="85">
        <f>G110*0.8</f>
        <v>0</v>
      </c>
      <c r="J110" s="85">
        <f>G110*0</f>
        <v>0</v>
      </c>
      <c r="K110" s="85">
        <f>G110*0</f>
        <v>0</v>
      </c>
      <c r="L110" s="85">
        <f>G110*0</f>
        <v>0</v>
      </c>
      <c r="M110" s="85">
        <f>G110*0</f>
        <v>0</v>
      </c>
      <c r="N110" s="85">
        <f>G110*0</f>
        <v>0</v>
      </c>
      <c r="O110" s="85">
        <f>G110*0</f>
        <v>0</v>
      </c>
      <c r="P110" s="85">
        <f>G110*0</f>
        <v>0</v>
      </c>
      <c r="Q110" s="85">
        <f>G110*0.1</f>
        <v>0</v>
      </c>
      <c r="R110" s="47"/>
      <c r="S110" s="47"/>
      <c r="T110" s="47"/>
      <c r="U110" s="47"/>
      <c r="V110" s="366">
        <f t="shared" si="168"/>
        <v>0</v>
      </c>
      <c r="W110" s="366">
        <f t="shared" si="169"/>
        <v>0</v>
      </c>
      <c r="X110" s="366">
        <f t="shared" si="170"/>
        <v>0</v>
      </c>
      <c r="Y110" s="366">
        <f t="shared" si="171"/>
        <v>0</v>
      </c>
      <c r="Z110" s="47">
        <v>0</v>
      </c>
      <c r="AA110" s="179">
        <f t="shared" si="103"/>
        <v>0</v>
      </c>
      <c r="AB110" s="47">
        <v>0</v>
      </c>
      <c r="AC110" s="179">
        <f t="shared" si="104"/>
        <v>0</v>
      </c>
      <c r="AD110" s="47">
        <v>0</v>
      </c>
      <c r="AE110" s="179">
        <f t="shared" si="105"/>
        <v>0</v>
      </c>
      <c r="AF110" s="47">
        <v>0</v>
      </c>
      <c r="AG110" s="179">
        <f t="shared" si="106"/>
        <v>0</v>
      </c>
      <c r="AH110" s="47">
        <v>0</v>
      </c>
      <c r="AI110" s="179">
        <f t="shared" si="107"/>
        <v>0</v>
      </c>
      <c r="AJ110" s="47">
        <v>0</v>
      </c>
      <c r="AK110" s="179">
        <f t="shared" si="108"/>
        <v>0</v>
      </c>
      <c r="AL110" s="47">
        <v>0</v>
      </c>
      <c r="AM110" s="179">
        <f t="shared" si="109"/>
        <v>0</v>
      </c>
      <c r="AN110" s="47">
        <v>0</v>
      </c>
      <c r="AO110" s="179">
        <f t="shared" si="110"/>
        <v>0</v>
      </c>
      <c r="AP110" s="47">
        <v>0</v>
      </c>
      <c r="AQ110" s="179">
        <f t="shared" si="111"/>
        <v>0</v>
      </c>
      <c r="AR110" s="47">
        <v>0</v>
      </c>
      <c r="AS110" s="179">
        <f t="shared" si="112"/>
        <v>0</v>
      </c>
      <c r="AT110" s="47">
        <v>0</v>
      </c>
      <c r="AU110" s="179">
        <f t="shared" si="113"/>
        <v>0</v>
      </c>
      <c r="AV110" s="47">
        <v>0</v>
      </c>
      <c r="AW110" s="179">
        <f t="shared" si="114"/>
        <v>0</v>
      </c>
      <c r="AX110" s="47">
        <v>0</v>
      </c>
      <c r="AY110" s="179">
        <f t="shared" si="115"/>
        <v>0</v>
      </c>
      <c r="AZ110" s="47">
        <v>0</v>
      </c>
      <c r="BA110" s="179">
        <f t="shared" si="116"/>
        <v>0</v>
      </c>
      <c r="BB110" s="47">
        <v>0</v>
      </c>
      <c r="BC110" s="179">
        <f t="shared" si="117"/>
        <v>0</v>
      </c>
      <c r="BD110" s="47">
        <v>0</v>
      </c>
      <c r="BE110" s="179">
        <f t="shared" si="118"/>
        <v>0</v>
      </c>
      <c r="BF110" s="47">
        <v>0</v>
      </c>
      <c r="BG110" s="179">
        <f t="shared" si="119"/>
        <v>0</v>
      </c>
      <c r="BH110" s="47">
        <v>0</v>
      </c>
      <c r="BI110" s="179">
        <f t="shared" si="120"/>
        <v>0</v>
      </c>
      <c r="BJ110" s="47">
        <f t="shared" si="178"/>
        <v>0</v>
      </c>
      <c r="BK110" s="117">
        <f t="shared" si="178"/>
        <v>0</v>
      </c>
      <c r="BL110" s="293" t="s">
        <v>467</v>
      </c>
      <c r="BN110" s="113">
        <f>G110</f>
        <v>0</v>
      </c>
      <c r="BO110" s="113"/>
      <c r="BP110" s="113"/>
      <c r="BQ110" s="113"/>
      <c r="BR110" s="113">
        <f>BN110+BO110+BP110+BQ110</f>
        <v>0</v>
      </c>
      <c r="BS110" s="113"/>
      <c r="BT110" s="113"/>
      <c r="BU110" s="124">
        <f>BS110+BT110</f>
        <v>0</v>
      </c>
      <c r="BV110" s="179">
        <f t="shared" si="121"/>
        <v>0</v>
      </c>
    </row>
    <row r="111" spans="2:74" s="67" customFormat="1" x14ac:dyDescent="0.25">
      <c r="B111" s="367"/>
      <c r="C111" s="368" t="s">
        <v>364</v>
      </c>
      <c r="D111" s="369" t="s">
        <v>280</v>
      </c>
      <c r="E111" s="369" t="s">
        <v>280</v>
      </c>
      <c r="F111" s="369">
        <f>SUM(F108:F110)</f>
        <v>7</v>
      </c>
      <c r="G111" s="370">
        <f>SUM(G108:G110)</f>
        <v>18375000</v>
      </c>
      <c r="H111" s="370">
        <f t="shared" ref="H111:Q111" si="179">SUM(H108:H110)</f>
        <v>3675000</v>
      </c>
      <c r="I111" s="370">
        <f t="shared" si="179"/>
        <v>14700000</v>
      </c>
      <c r="J111" s="370">
        <f t="shared" si="179"/>
        <v>0</v>
      </c>
      <c r="K111" s="370">
        <f t="shared" si="179"/>
        <v>0</v>
      </c>
      <c r="L111" s="370">
        <f t="shared" si="179"/>
        <v>0</v>
      </c>
      <c r="M111" s="370">
        <f t="shared" si="179"/>
        <v>0</v>
      </c>
      <c r="N111" s="370">
        <f t="shared" si="179"/>
        <v>0</v>
      </c>
      <c r="O111" s="370">
        <f t="shared" si="179"/>
        <v>0</v>
      </c>
      <c r="P111" s="370">
        <f t="shared" si="179"/>
        <v>0</v>
      </c>
      <c r="Q111" s="370">
        <f t="shared" si="179"/>
        <v>0</v>
      </c>
      <c r="R111" s="369">
        <f t="shared" ref="R111:BK111" si="180">SUM(R108:R110)</f>
        <v>0</v>
      </c>
      <c r="S111" s="369">
        <f t="shared" si="180"/>
        <v>0</v>
      </c>
      <c r="T111" s="369">
        <f t="shared" si="180"/>
        <v>2</v>
      </c>
      <c r="U111" s="369">
        <f t="shared" si="180"/>
        <v>5</v>
      </c>
      <c r="V111" s="370">
        <f t="shared" si="180"/>
        <v>0</v>
      </c>
      <c r="W111" s="370">
        <f t="shared" si="180"/>
        <v>0</v>
      </c>
      <c r="X111" s="370">
        <f t="shared" si="180"/>
        <v>8337500</v>
      </c>
      <c r="Y111" s="370">
        <f t="shared" si="180"/>
        <v>10037500</v>
      </c>
      <c r="Z111" s="369">
        <f t="shared" si="180"/>
        <v>1</v>
      </c>
      <c r="AA111" s="369">
        <f t="shared" si="180"/>
        <v>3000000</v>
      </c>
      <c r="AB111" s="369">
        <f t="shared" si="180"/>
        <v>0</v>
      </c>
      <c r="AC111" s="369">
        <f t="shared" si="180"/>
        <v>1600000</v>
      </c>
      <c r="AD111" s="369">
        <f t="shared" si="180"/>
        <v>0</v>
      </c>
      <c r="AE111" s="369">
        <f t="shared" si="180"/>
        <v>0</v>
      </c>
      <c r="AF111" s="369">
        <f t="shared" si="180"/>
        <v>0</v>
      </c>
      <c r="AG111" s="369">
        <f t="shared" si="180"/>
        <v>500000</v>
      </c>
      <c r="AH111" s="369">
        <f t="shared" si="180"/>
        <v>0</v>
      </c>
      <c r="AI111" s="369">
        <f t="shared" si="180"/>
        <v>600000</v>
      </c>
      <c r="AJ111" s="369">
        <f t="shared" si="180"/>
        <v>1</v>
      </c>
      <c r="AK111" s="369">
        <f t="shared" si="180"/>
        <v>2000000</v>
      </c>
      <c r="AL111" s="369">
        <f t="shared" si="180"/>
        <v>0</v>
      </c>
      <c r="AM111" s="369">
        <f t="shared" si="180"/>
        <v>1100000</v>
      </c>
      <c r="AN111" s="369">
        <f t="shared" si="180"/>
        <v>0</v>
      </c>
      <c r="AO111" s="369">
        <f t="shared" si="180"/>
        <v>2125000</v>
      </c>
      <c r="AP111" s="369">
        <f t="shared" si="180"/>
        <v>0</v>
      </c>
      <c r="AQ111" s="369">
        <f t="shared" si="180"/>
        <v>50000</v>
      </c>
      <c r="AR111" s="369">
        <f t="shared" si="180"/>
        <v>0</v>
      </c>
      <c r="AS111" s="369">
        <f t="shared" si="180"/>
        <v>250000</v>
      </c>
      <c r="AT111" s="369">
        <f t="shared" si="180"/>
        <v>1</v>
      </c>
      <c r="AU111" s="369">
        <f t="shared" si="180"/>
        <v>450000</v>
      </c>
      <c r="AV111" s="369">
        <f t="shared" si="180"/>
        <v>1</v>
      </c>
      <c r="AW111" s="369">
        <f t="shared" si="180"/>
        <v>1750000</v>
      </c>
      <c r="AX111" s="369">
        <f t="shared" si="180"/>
        <v>1</v>
      </c>
      <c r="AY111" s="369">
        <f t="shared" si="180"/>
        <v>500000</v>
      </c>
      <c r="AZ111" s="369">
        <f t="shared" si="180"/>
        <v>1</v>
      </c>
      <c r="BA111" s="369">
        <f t="shared" si="180"/>
        <v>400000</v>
      </c>
      <c r="BB111" s="369">
        <f t="shared" si="180"/>
        <v>0</v>
      </c>
      <c r="BC111" s="369">
        <f t="shared" si="180"/>
        <v>50000</v>
      </c>
      <c r="BD111" s="369">
        <f t="shared" si="180"/>
        <v>1</v>
      </c>
      <c r="BE111" s="369">
        <f t="shared" si="180"/>
        <v>2200000</v>
      </c>
      <c r="BF111" s="369">
        <f t="shared" si="180"/>
        <v>0</v>
      </c>
      <c r="BG111" s="369">
        <f t="shared" si="180"/>
        <v>1800000</v>
      </c>
      <c r="BH111" s="369">
        <f t="shared" si="180"/>
        <v>0</v>
      </c>
      <c r="BI111" s="369">
        <f t="shared" si="180"/>
        <v>0</v>
      </c>
      <c r="BJ111" s="369">
        <f t="shared" si="180"/>
        <v>7</v>
      </c>
      <c r="BK111" s="371">
        <f t="shared" si="180"/>
        <v>18375000</v>
      </c>
      <c r="BL111" s="118"/>
      <c r="BN111" s="371">
        <f t="shared" ref="BN111:BU111" si="181">SUM(BN108:BN110)</f>
        <v>18375000</v>
      </c>
      <c r="BO111" s="371">
        <f t="shared" si="181"/>
        <v>0</v>
      </c>
      <c r="BP111" s="371">
        <f t="shared" si="181"/>
        <v>0</v>
      </c>
      <c r="BQ111" s="371">
        <f t="shared" si="181"/>
        <v>0</v>
      </c>
      <c r="BR111" s="371">
        <f t="shared" si="181"/>
        <v>18375000</v>
      </c>
      <c r="BS111" s="371">
        <f t="shared" si="181"/>
        <v>0</v>
      </c>
      <c r="BT111" s="371">
        <f t="shared" si="181"/>
        <v>0</v>
      </c>
      <c r="BU111" s="371">
        <f t="shared" si="181"/>
        <v>0</v>
      </c>
      <c r="BV111" s="179">
        <f t="shared" si="121"/>
        <v>18375000</v>
      </c>
    </row>
    <row r="112" spans="2:74" s="67" customFormat="1" x14ac:dyDescent="0.25">
      <c r="B112" s="395"/>
      <c r="C112" s="395"/>
      <c r="D112" s="395"/>
      <c r="E112" s="396"/>
      <c r="F112" s="395">
        <f>F111+F106+F88+F55+F46+F18</f>
        <v>4223</v>
      </c>
      <c r="G112" s="397">
        <f>G111+G106+G88+G55+G46+G18</f>
        <v>83958900</v>
      </c>
      <c r="H112" s="397">
        <f t="shared" ref="H112:Q112" si="182">H111+H106+H88+H55+H46+H18</f>
        <v>33577200</v>
      </c>
      <c r="I112" s="397">
        <f t="shared" si="182"/>
        <v>50381700</v>
      </c>
      <c r="J112" s="397">
        <f t="shared" si="182"/>
        <v>0</v>
      </c>
      <c r="K112" s="397">
        <f t="shared" si="182"/>
        <v>0</v>
      </c>
      <c r="L112" s="397">
        <f t="shared" si="182"/>
        <v>0</v>
      </c>
      <c r="M112" s="397">
        <f t="shared" si="182"/>
        <v>0</v>
      </c>
      <c r="N112" s="397">
        <f t="shared" si="182"/>
        <v>0</v>
      </c>
      <c r="O112" s="397">
        <f t="shared" si="182"/>
        <v>0</v>
      </c>
      <c r="P112" s="397">
        <f t="shared" si="182"/>
        <v>0</v>
      </c>
      <c r="Q112" s="397">
        <f t="shared" si="182"/>
        <v>0</v>
      </c>
      <c r="R112" s="395">
        <f t="shared" ref="R112:BJ112" si="183">R111+R106+R88+R55+R46+R18</f>
        <v>994.25</v>
      </c>
      <c r="S112" s="395">
        <f t="shared" si="183"/>
        <v>1233.25</v>
      </c>
      <c r="T112" s="395">
        <f t="shared" si="183"/>
        <v>996.25</v>
      </c>
      <c r="U112" s="395">
        <f t="shared" si="183"/>
        <v>999.25</v>
      </c>
      <c r="V112" s="397">
        <f t="shared" si="183"/>
        <v>13987850</v>
      </c>
      <c r="W112" s="397">
        <f t="shared" si="183"/>
        <v>23620350</v>
      </c>
      <c r="X112" s="397">
        <f t="shared" si="183"/>
        <v>22325350</v>
      </c>
      <c r="Y112" s="397">
        <f t="shared" si="183"/>
        <v>24025350</v>
      </c>
      <c r="Z112" s="395">
        <f t="shared" si="183"/>
        <v>231</v>
      </c>
      <c r="AA112" s="395">
        <f t="shared" si="183"/>
        <v>6665200</v>
      </c>
      <c r="AB112" s="395">
        <f t="shared" si="183"/>
        <v>223</v>
      </c>
      <c r="AC112" s="395">
        <f t="shared" si="183"/>
        <v>4895200</v>
      </c>
      <c r="AD112" s="395">
        <f t="shared" si="183"/>
        <v>199</v>
      </c>
      <c r="AE112" s="395">
        <f t="shared" si="183"/>
        <v>2995200</v>
      </c>
      <c r="AF112" s="395">
        <f t="shared" si="183"/>
        <v>214</v>
      </c>
      <c r="AG112" s="395">
        <f t="shared" si="183"/>
        <v>3475200</v>
      </c>
      <c r="AH112" s="395">
        <f t="shared" si="183"/>
        <v>215</v>
      </c>
      <c r="AI112" s="395">
        <f t="shared" si="183"/>
        <v>3530200</v>
      </c>
      <c r="AJ112" s="395">
        <f t="shared" si="183"/>
        <v>234</v>
      </c>
      <c r="AK112" s="395">
        <f t="shared" si="183"/>
        <v>5680200</v>
      </c>
      <c r="AL112" s="395">
        <f t="shared" si="183"/>
        <v>233</v>
      </c>
      <c r="AM112" s="395">
        <f t="shared" si="183"/>
        <v>4780200</v>
      </c>
      <c r="AN112" s="395">
        <f t="shared" si="183"/>
        <v>237</v>
      </c>
      <c r="AO112" s="395">
        <f t="shared" si="183"/>
        <v>5850200</v>
      </c>
      <c r="AP112" s="395">
        <f t="shared" si="183"/>
        <v>217</v>
      </c>
      <c r="AQ112" s="395">
        <f t="shared" si="183"/>
        <v>3285200</v>
      </c>
      <c r="AR112" s="395">
        <f t="shared" si="183"/>
        <v>226</v>
      </c>
      <c r="AS112" s="395">
        <f t="shared" si="183"/>
        <v>3805200</v>
      </c>
      <c r="AT112" s="395">
        <f t="shared" si="183"/>
        <v>223</v>
      </c>
      <c r="AU112" s="395">
        <f t="shared" si="183"/>
        <v>4095200</v>
      </c>
      <c r="AV112" s="395">
        <f t="shared" si="183"/>
        <v>231</v>
      </c>
      <c r="AW112" s="395">
        <f t="shared" si="183"/>
        <v>4810200</v>
      </c>
      <c r="AX112" s="395">
        <f t="shared" si="183"/>
        <v>209</v>
      </c>
      <c r="AY112" s="395">
        <f t="shared" si="183"/>
        <v>3395200</v>
      </c>
      <c r="AZ112" s="395">
        <f t="shared" si="183"/>
        <v>226</v>
      </c>
      <c r="BA112" s="395">
        <f t="shared" si="183"/>
        <v>4060200</v>
      </c>
      <c r="BB112" s="395">
        <f t="shared" si="183"/>
        <v>225</v>
      </c>
      <c r="BC112" s="395">
        <f t="shared" si="183"/>
        <v>3677700</v>
      </c>
      <c r="BD112" s="395">
        <f t="shared" si="183"/>
        <v>238</v>
      </c>
      <c r="BE112" s="395">
        <f t="shared" si="183"/>
        <v>5900200</v>
      </c>
      <c r="BF112" s="395">
        <f t="shared" si="183"/>
        <v>233</v>
      </c>
      <c r="BG112" s="395">
        <f t="shared" si="183"/>
        <v>5480200</v>
      </c>
      <c r="BH112" s="395">
        <f t="shared" si="183"/>
        <v>409</v>
      </c>
      <c r="BI112" s="395">
        <f t="shared" si="183"/>
        <v>7578000</v>
      </c>
      <c r="BJ112" s="395">
        <f t="shared" si="183"/>
        <v>4223</v>
      </c>
      <c r="BK112" s="394">
        <f t="shared" si="178"/>
        <v>83958900</v>
      </c>
      <c r="BL112" s="118"/>
      <c r="BN112" s="397">
        <f t="shared" ref="BN112:BU112" si="184">BN111+BN106+BN88+BN55+BN46+BN18</f>
        <v>18375000</v>
      </c>
      <c r="BO112" s="397">
        <f t="shared" si="184"/>
        <v>0</v>
      </c>
      <c r="BP112" s="397">
        <f t="shared" si="184"/>
        <v>9632500</v>
      </c>
      <c r="BQ112" s="397">
        <f t="shared" si="184"/>
        <v>0</v>
      </c>
      <c r="BR112" s="397">
        <f t="shared" si="184"/>
        <v>28007500</v>
      </c>
      <c r="BS112" s="397">
        <f t="shared" si="184"/>
        <v>36122400</v>
      </c>
      <c r="BT112" s="397">
        <f t="shared" si="184"/>
        <v>19829000</v>
      </c>
      <c r="BU112" s="397">
        <f t="shared" si="184"/>
        <v>55951400</v>
      </c>
      <c r="BV112" s="398">
        <f t="shared" si="121"/>
        <v>83958900</v>
      </c>
    </row>
    <row r="113" spans="3:71" x14ac:dyDescent="0.25">
      <c r="C113" s="39" t="s">
        <v>505</v>
      </c>
      <c r="X113" s="82"/>
      <c r="AA113" s="39">
        <f>AA112+AA107+AA89+AA56+AA47+AA19</f>
        <v>6665200</v>
      </c>
      <c r="AB113" s="39">
        <f t="shared" ref="AB113:BK113" si="185">AB112+AB107+AB89+AB56+AB47+AB19</f>
        <v>223</v>
      </c>
      <c r="AC113" s="39">
        <f t="shared" si="185"/>
        <v>4895200</v>
      </c>
      <c r="AD113" s="39">
        <f t="shared" si="185"/>
        <v>199</v>
      </c>
      <c r="AE113" s="39">
        <f t="shared" si="185"/>
        <v>2995200</v>
      </c>
      <c r="AF113" s="39">
        <f t="shared" si="185"/>
        <v>214</v>
      </c>
      <c r="AG113" s="39">
        <f t="shared" si="185"/>
        <v>3475200</v>
      </c>
      <c r="AH113" s="39">
        <f t="shared" si="185"/>
        <v>215</v>
      </c>
      <c r="AI113" s="39">
        <f t="shared" si="185"/>
        <v>3530200</v>
      </c>
      <c r="AJ113" s="39">
        <f t="shared" si="185"/>
        <v>234</v>
      </c>
      <c r="AK113" s="39">
        <f t="shared" si="185"/>
        <v>5680200</v>
      </c>
      <c r="AL113" s="39">
        <f t="shared" si="185"/>
        <v>233</v>
      </c>
      <c r="AM113" s="39">
        <f t="shared" si="185"/>
        <v>4780200</v>
      </c>
      <c r="AN113" s="39">
        <f t="shared" si="185"/>
        <v>237</v>
      </c>
      <c r="AO113" s="39">
        <f t="shared" si="185"/>
        <v>5850200</v>
      </c>
      <c r="AP113" s="39">
        <f t="shared" si="185"/>
        <v>217</v>
      </c>
      <c r="AQ113" s="39">
        <f t="shared" si="185"/>
        <v>3285200</v>
      </c>
      <c r="AR113" s="39">
        <f t="shared" si="185"/>
        <v>226</v>
      </c>
      <c r="AS113" s="39">
        <f t="shared" si="185"/>
        <v>3805200</v>
      </c>
      <c r="AT113" s="39">
        <f t="shared" si="185"/>
        <v>223</v>
      </c>
      <c r="AU113" s="39">
        <f t="shared" si="185"/>
        <v>4095200</v>
      </c>
      <c r="AV113" s="39">
        <f t="shared" si="185"/>
        <v>231</v>
      </c>
      <c r="AW113" s="39">
        <f t="shared" si="185"/>
        <v>4810200</v>
      </c>
      <c r="AX113" s="39">
        <f t="shared" si="185"/>
        <v>209</v>
      </c>
      <c r="AY113" s="39">
        <f t="shared" si="185"/>
        <v>3395200</v>
      </c>
      <c r="AZ113" s="39">
        <f t="shared" si="185"/>
        <v>226</v>
      </c>
      <c r="BA113" s="39">
        <f t="shared" si="185"/>
        <v>4060200</v>
      </c>
      <c r="BB113" s="39">
        <f t="shared" si="185"/>
        <v>225</v>
      </c>
      <c r="BC113" s="39">
        <f t="shared" si="185"/>
        <v>3677700</v>
      </c>
      <c r="BD113" s="39">
        <f t="shared" si="185"/>
        <v>238</v>
      </c>
      <c r="BE113" s="39">
        <f t="shared" si="185"/>
        <v>5900200</v>
      </c>
      <c r="BF113" s="39">
        <f t="shared" si="185"/>
        <v>233</v>
      </c>
      <c r="BG113" s="39">
        <f t="shared" si="185"/>
        <v>5480200</v>
      </c>
      <c r="BH113" s="39">
        <f t="shared" si="185"/>
        <v>409</v>
      </c>
      <c r="BI113" s="39">
        <f t="shared" si="185"/>
        <v>7578000</v>
      </c>
      <c r="BJ113" s="39">
        <f t="shared" si="185"/>
        <v>4223</v>
      </c>
      <c r="BK113" s="39">
        <f t="shared" si="185"/>
        <v>83958900</v>
      </c>
      <c r="BS113" s="82"/>
    </row>
    <row r="114" spans="3:71" x14ac:dyDescent="0.25">
      <c r="C114" s="39" t="s">
        <v>576</v>
      </c>
      <c r="X114" s="82"/>
      <c r="AA114" s="39">
        <f>+AA113+AC113+AE113+AG113+AI113+AK113+AM113+AO113+AQ113+AS113+AU113+AW113+AY113+BA113+BC113+BE113+BG113+BI113</f>
        <v>83958900</v>
      </c>
      <c r="BS114" s="82"/>
    </row>
    <row r="115" spans="3:71" x14ac:dyDescent="0.25">
      <c r="C115" s="39" t="s">
        <v>577</v>
      </c>
    </row>
    <row r="116" spans="3:71" x14ac:dyDescent="0.25">
      <c r="C116" s="39" t="s">
        <v>578</v>
      </c>
      <c r="AA116" s="39">
        <f>AA111+AA106+AA88+AA46+AA18</f>
        <v>6665200</v>
      </c>
    </row>
    <row r="117" spans="3:71" x14ac:dyDescent="0.25">
      <c r="C117" s="39" t="s">
        <v>579</v>
      </c>
    </row>
    <row r="118" spans="3:71" x14ac:dyDescent="0.25">
      <c r="C118" s="39" t="s">
        <v>856</v>
      </c>
    </row>
    <row r="119" spans="3:71" x14ac:dyDescent="0.25">
      <c r="C119" s="39" t="s">
        <v>580</v>
      </c>
    </row>
  </sheetData>
  <mergeCells count="43">
    <mergeCell ref="AF7:AG8"/>
    <mergeCell ref="AX7:AY8"/>
    <mergeCell ref="AZ7:BA8"/>
    <mergeCell ref="BB7:BC8"/>
    <mergeCell ref="BD7:BE8"/>
    <mergeCell ref="AH7:AI8"/>
    <mergeCell ref="AJ7:AK8"/>
    <mergeCell ref="AL7:AM8"/>
    <mergeCell ref="AN7:AO8"/>
    <mergeCell ref="AP7:AQ8"/>
    <mergeCell ref="AR7:AS8"/>
    <mergeCell ref="H7:Q7"/>
    <mergeCell ref="A10:A95"/>
    <mergeCell ref="BF7:BG8"/>
    <mergeCell ref="BH7:BI8"/>
    <mergeCell ref="BJ7:BK8"/>
    <mergeCell ref="C8:C9"/>
    <mergeCell ref="E8:E9"/>
    <mergeCell ref="F8:F9"/>
    <mergeCell ref="G8:G9"/>
    <mergeCell ref="AT7:AU8"/>
    <mergeCell ref="AV7:AW8"/>
    <mergeCell ref="R7:U8"/>
    <mergeCell ref="V7:Y8"/>
    <mergeCell ref="Z7:AA8"/>
    <mergeCell ref="AB7:AC8"/>
    <mergeCell ref="AD7:AE8"/>
    <mergeCell ref="BL7:BL9"/>
    <mergeCell ref="BN8:BR8"/>
    <mergeCell ref="BS8:BU8"/>
    <mergeCell ref="BV8:BV9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A7:D7"/>
    <mergeCell ref="E7:G7"/>
  </mergeCells>
  <pageMargins left="0.4" right="0.7" top="0.32" bottom="0.17" header="0.3" footer="0.17"/>
  <pageSetup paperSize="9" scale="28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V51"/>
  <sheetViews>
    <sheetView zoomScale="90" zoomScaleNormal="90" workbookViewId="0">
      <pane xSplit="7" ySplit="10" topLeftCell="R35" activePane="bottomRight" state="frozen"/>
      <selection activeCell="C8" sqref="C8"/>
      <selection pane="topRight" activeCell="H8" sqref="H8"/>
      <selection pane="bottomLeft" activeCell="C11" sqref="C11"/>
      <selection pane="bottomRight" activeCell="V42" sqref="V42:Y42"/>
    </sheetView>
  </sheetViews>
  <sheetFormatPr defaultColWidth="9.140625" defaultRowHeight="15.75" x14ac:dyDescent="0.25"/>
  <cols>
    <col min="1" max="1" width="11.7109375" style="106" hidden="1" customWidth="1"/>
    <col min="2" max="2" width="7.7109375" style="106" hidden="1" customWidth="1"/>
    <col min="3" max="3" width="27.85546875" style="106" customWidth="1"/>
    <col min="4" max="4" width="12.42578125" style="106" hidden="1" customWidth="1"/>
    <col min="5" max="5" width="19.85546875" style="106" customWidth="1"/>
    <col min="6" max="6" width="8.42578125" style="106" customWidth="1"/>
    <col min="7" max="7" width="16.28515625" style="402" bestFit="1" customWidth="1"/>
    <col min="8" max="8" width="13.140625" style="402" customWidth="1"/>
    <col min="9" max="9" width="17.28515625" style="402" customWidth="1"/>
    <col min="10" max="10" width="10.28515625" style="402" customWidth="1"/>
    <col min="11" max="11" width="13" style="402" customWidth="1"/>
    <col min="12" max="12" width="6.5703125" style="402" customWidth="1"/>
    <col min="13" max="13" width="12.140625" style="402" customWidth="1"/>
    <col min="14" max="14" width="5.5703125" style="402" customWidth="1"/>
    <col min="15" max="15" width="7.140625" style="402" customWidth="1"/>
    <col min="16" max="16" width="12" style="402" customWidth="1"/>
    <col min="17" max="17" width="8.28515625" style="106" customWidth="1"/>
    <col min="18" max="18" width="5.28515625" style="403" customWidth="1"/>
    <col min="19" max="19" width="5.140625" style="403" customWidth="1"/>
    <col min="20" max="20" width="6.28515625" style="403" customWidth="1"/>
    <col min="21" max="21" width="5.42578125" style="403" customWidth="1"/>
    <col min="22" max="22" width="13.140625" style="402" customWidth="1"/>
    <col min="23" max="23" width="11.85546875" style="402" customWidth="1"/>
    <col min="24" max="24" width="11.28515625" style="402" customWidth="1"/>
    <col min="25" max="25" width="13.140625" style="402" customWidth="1"/>
    <col min="26" max="26" width="5.140625" style="106" customWidth="1"/>
    <col min="27" max="27" width="11.7109375" style="106" customWidth="1"/>
    <col min="28" max="28" width="5.140625" style="106" customWidth="1"/>
    <col min="29" max="29" width="11.7109375" style="106" customWidth="1"/>
    <col min="30" max="30" width="5.140625" style="106" customWidth="1"/>
    <col min="31" max="31" width="11.7109375" style="106" customWidth="1"/>
    <col min="32" max="32" width="5.140625" style="106" customWidth="1"/>
    <col min="33" max="33" width="13.140625" style="106" customWidth="1"/>
    <col min="34" max="34" width="5.140625" style="106" customWidth="1"/>
    <col min="35" max="35" width="13.140625" style="106" customWidth="1"/>
    <col min="36" max="36" width="5.140625" style="106" customWidth="1"/>
    <col min="37" max="37" width="13.140625" style="106" customWidth="1"/>
    <col min="38" max="38" width="5.140625" style="106" customWidth="1"/>
    <col min="39" max="39" width="13.140625" style="106" customWidth="1"/>
    <col min="40" max="40" width="5.140625" style="106" customWidth="1"/>
    <col min="41" max="41" width="13.140625" style="106" customWidth="1"/>
    <col min="42" max="42" width="5.140625" style="106" customWidth="1"/>
    <col min="43" max="43" width="11.7109375" style="106" customWidth="1"/>
    <col min="44" max="44" width="5.140625" style="106" customWidth="1"/>
    <col min="45" max="45" width="13.140625" style="106" customWidth="1"/>
    <col min="46" max="46" width="5.140625" style="106" customWidth="1"/>
    <col min="47" max="47" width="13.140625" style="106" customWidth="1"/>
    <col min="48" max="48" width="5.140625" style="106" customWidth="1"/>
    <col min="49" max="49" width="13.140625" style="106" customWidth="1"/>
    <col min="50" max="50" width="5.140625" style="106" customWidth="1"/>
    <col min="51" max="51" width="13.140625" style="106" customWidth="1"/>
    <col min="52" max="52" width="5.140625" style="106" customWidth="1"/>
    <col min="53" max="53" width="13.140625" style="106" customWidth="1"/>
    <col min="54" max="54" width="5.140625" style="106" customWidth="1"/>
    <col min="55" max="55" width="13.140625" style="106" customWidth="1"/>
    <col min="56" max="56" width="5.140625" style="106" customWidth="1"/>
    <col min="57" max="57" width="13.140625" style="106" customWidth="1"/>
    <col min="58" max="58" width="5.140625" style="106" customWidth="1"/>
    <col min="59" max="59" width="13.140625" style="106" customWidth="1"/>
    <col min="60" max="60" width="5.140625" style="106" customWidth="1"/>
    <col min="61" max="61" width="17.28515625" style="106" customWidth="1"/>
    <col min="62" max="62" width="5.140625" style="106" customWidth="1"/>
    <col min="63" max="63" width="15.42578125" style="106" customWidth="1"/>
    <col min="64" max="64" width="22.28515625" style="106" customWidth="1"/>
    <col min="65" max="65" width="9.140625" style="106" customWidth="1"/>
    <col min="66" max="66" width="6.7109375" style="106" bestFit="1" customWidth="1"/>
    <col min="67" max="67" width="18.7109375" style="106" bestFit="1" customWidth="1"/>
    <col min="68" max="68" width="14.28515625" style="106" bestFit="1" customWidth="1"/>
    <col min="69" max="69" width="9.140625" style="106"/>
    <col min="70" max="70" width="15.5703125" style="106" bestFit="1" customWidth="1"/>
    <col min="71" max="73" width="9.140625" style="106"/>
    <col min="74" max="74" width="14.28515625" style="106" bestFit="1" customWidth="1"/>
    <col min="75" max="16384" width="9.140625" style="106"/>
  </cols>
  <sheetData>
    <row r="1" spans="1:74" ht="15.75" hidden="1" customHeight="1" x14ac:dyDescent="0.25"/>
    <row r="2" spans="1:74" ht="15.75" hidden="1" customHeight="1" x14ac:dyDescent="0.25">
      <c r="A2" s="929" t="s">
        <v>407</v>
      </c>
      <c r="B2" s="929"/>
      <c r="C2" s="929" t="s">
        <v>401</v>
      </c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404"/>
      <c r="S2" s="404"/>
      <c r="T2" s="404"/>
      <c r="U2" s="404"/>
      <c r="V2" s="291"/>
      <c r="W2" s="291"/>
      <c r="X2" s="291"/>
      <c r="Y2" s="291"/>
    </row>
    <row r="3" spans="1:74" ht="15.75" hidden="1" customHeight="1" x14ac:dyDescent="0.25">
      <c r="A3" s="929" t="s">
        <v>409</v>
      </c>
      <c r="B3" s="929"/>
      <c r="C3" s="929" t="s">
        <v>402</v>
      </c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404"/>
      <c r="S3" s="404"/>
      <c r="T3" s="404"/>
      <c r="U3" s="404"/>
      <c r="V3" s="291"/>
      <c r="W3" s="291"/>
      <c r="X3" s="291"/>
      <c r="Y3" s="291"/>
    </row>
    <row r="4" spans="1:74" ht="15.75" hidden="1" customHeight="1" x14ac:dyDescent="0.25">
      <c r="A4" s="929" t="s">
        <v>404</v>
      </c>
      <c r="B4" s="929"/>
      <c r="C4" s="929" t="s">
        <v>746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404"/>
      <c r="S4" s="404"/>
      <c r="T4" s="404"/>
      <c r="U4" s="404"/>
      <c r="V4" s="291"/>
      <c r="W4" s="291"/>
      <c r="X4" s="291"/>
      <c r="Y4" s="291"/>
    </row>
    <row r="5" spans="1:74" ht="15.75" hidden="1" customHeight="1" x14ac:dyDescent="0.25">
      <c r="A5" s="929" t="s">
        <v>410</v>
      </c>
      <c r="B5" s="929"/>
      <c r="C5" s="929" t="s">
        <v>408</v>
      </c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29"/>
      <c r="Q5" s="929"/>
      <c r="R5" s="404"/>
      <c r="S5" s="404"/>
      <c r="T5" s="404"/>
      <c r="U5" s="404"/>
      <c r="V5" s="291"/>
      <c r="W5" s="291"/>
      <c r="X5" s="291"/>
      <c r="Y5" s="291"/>
    </row>
    <row r="6" spans="1:74" ht="15.75" hidden="1" customHeight="1" x14ac:dyDescent="0.25">
      <c r="A6" s="929" t="s">
        <v>411</v>
      </c>
      <c r="B6" s="929"/>
      <c r="C6" s="929" t="s">
        <v>399</v>
      </c>
      <c r="D6" s="929"/>
      <c r="E6" s="929"/>
      <c r="F6" s="929"/>
      <c r="G6" s="929"/>
      <c r="H6" s="929"/>
      <c r="I6" s="929"/>
      <c r="J6" s="929"/>
      <c r="K6" s="929"/>
      <c r="L6" s="929"/>
      <c r="M6" s="929"/>
      <c r="N6" s="929"/>
      <c r="O6" s="929"/>
      <c r="P6" s="929"/>
      <c r="Q6" s="929"/>
      <c r="R6" s="404"/>
      <c r="S6" s="404"/>
      <c r="T6" s="404"/>
      <c r="U6" s="404"/>
      <c r="V6" s="291"/>
      <c r="W6" s="291"/>
      <c r="X6" s="291"/>
      <c r="Y6" s="291"/>
    </row>
    <row r="7" spans="1:74" ht="28.5" customHeight="1" x14ac:dyDescent="0.25">
      <c r="A7" s="950"/>
      <c r="B7" s="951"/>
      <c r="C7" s="951"/>
      <c r="D7" s="952"/>
      <c r="E7" s="950" t="s">
        <v>22</v>
      </c>
      <c r="F7" s="951"/>
      <c r="G7" s="952"/>
      <c r="H7" s="932" t="s">
        <v>400</v>
      </c>
      <c r="I7" s="933"/>
      <c r="J7" s="933"/>
      <c r="K7" s="933"/>
      <c r="L7" s="933"/>
      <c r="M7" s="933"/>
      <c r="N7" s="933"/>
      <c r="O7" s="933"/>
      <c r="P7" s="933"/>
      <c r="Q7" s="934"/>
      <c r="R7" s="1048" t="s">
        <v>66</v>
      </c>
      <c r="S7" s="1049"/>
      <c r="T7" s="1049"/>
      <c r="U7" s="1050"/>
      <c r="V7" s="1042" t="s">
        <v>6</v>
      </c>
      <c r="W7" s="1043"/>
      <c r="X7" s="1043"/>
      <c r="Y7" s="1044"/>
      <c r="Z7" s="956" t="s">
        <v>432</v>
      </c>
      <c r="AA7" s="956"/>
      <c r="AB7" s="956" t="s">
        <v>433</v>
      </c>
      <c r="AC7" s="956"/>
      <c r="AD7" s="956" t="s">
        <v>434</v>
      </c>
      <c r="AE7" s="956"/>
      <c r="AF7" s="956" t="s">
        <v>435</v>
      </c>
      <c r="AG7" s="956"/>
      <c r="AH7" s="956" t="s">
        <v>436</v>
      </c>
      <c r="AI7" s="956"/>
      <c r="AJ7" s="956" t="s">
        <v>437</v>
      </c>
      <c r="AK7" s="956"/>
      <c r="AL7" s="956" t="s">
        <v>438</v>
      </c>
      <c r="AM7" s="956"/>
      <c r="AN7" s="956" t="s">
        <v>439</v>
      </c>
      <c r="AO7" s="956"/>
      <c r="AP7" s="956" t="s">
        <v>440</v>
      </c>
      <c r="AQ7" s="956"/>
      <c r="AR7" s="956" t="s">
        <v>441</v>
      </c>
      <c r="AS7" s="956"/>
      <c r="AT7" s="956" t="s">
        <v>442</v>
      </c>
      <c r="AU7" s="956"/>
      <c r="AV7" s="956" t="s">
        <v>443</v>
      </c>
      <c r="AW7" s="956"/>
      <c r="AX7" s="956" t="s">
        <v>444</v>
      </c>
      <c r="AY7" s="956"/>
      <c r="AZ7" s="956" t="s">
        <v>445</v>
      </c>
      <c r="BA7" s="956"/>
      <c r="BB7" s="956" t="s">
        <v>446</v>
      </c>
      <c r="BC7" s="956"/>
      <c r="BD7" s="956" t="s">
        <v>447</v>
      </c>
      <c r="BE7" s="956"/>
      <c r="BF7" s="956" t="s">
        <v>448</v>
      </c>
      <c r="BG7" s="956"/>
      <c r="BH7" s="956" t="s">
        <v>449</v>
      </c>
      <c r="BI7" s="956"/>
      <c r="BJ7" s="956" t="s">
        <v>18</v>
      </c>
      <c r="BK7" s="956"/>
      <c r="BL7" s="864" t="s">
        <v>496</v>
      </c>
    </row>
    <row r="8" spans="1:74" ht="30.75" customHeight="1" x14ac:dyDescent="0.25">
      <c r="A8" s="953" t="s">
        <v>14</v>
      </c>
      <c r="B8" s="953" t="s">
        <v>62</v>
      </c>
      <c r="C8" s="969" t="s">
        <v>12</v>
      </c>
      <c r="D8" s="405" t="s">
        <v>15</v>
      </c>
      <c r="E8" s="953" t="s">
        <v>31</v>
      </c>
      <c r="F8" s="953" t="s">
        <v>33</v>
      </c>
      <c r="G8" s="900" t="s">
        <v>34</v>
      </c>
      <c r="H8" s="118" t="s">
        <v>455</v>
      </c>
      <c r="I8" s="118" t="s">
        <v>456</v>
      </c>
      <c r="J8" s="118" t="s">
        <v>457</v>
      </c>
      <c r="K8" s="118" t="s">
        <v>458</v>
      </c>
      <c r="L8" s="118" t="s">
        <v>459</v>
      </c>
      <c r="M8" s="118" t="s">
        <v>460</v>
      </c>
      <c r="N8" s="118" t="s">
        <v>461</v>
      </c>
      <c r="O8" s="118" t="s">
        <v>462</v>
      </c>
      <c r="P8" s="118" t="s">
        <v>463</v>
      </c>
      <c r="Q8" s="118" t="s">
        <v>464</v>
      </c>
      <c r="R8" s="1051"/>
      <c r="S8" s="1052"/>
      <c r="T8" s="1052"/>
      <c r="U8" s="1053"/>
      <c r="V8" s="1045"/>
      <c r="W8" s="1046"/>
      <c r="X8" s="1046"/>
      <c r="Y8" s="1047"/>
      <c r="Z8" s="956"/>
      <c r="AA8" s="956"/>
      <c r="AB8" s="956" t="s">
        <v>49</v>
      </c>
      <c r="AC8" s="956"/>
      <c r="AD8" s="956" t="s">
        <v>50</v>
      </c>
      <c r="AE8" s="956"/>
      <c r="AF8" s="956" t="s">
        <v>51</v>
      </c>
      <c r="AG8" s="956"/>
      <c r="AH8" s="956" t="s">
        <v>52</v>
      </c>
      <c r="AI8" s="956"/>
      <c r="AJ8" s="956" t="s">
        <v>53</v>
      </c>
      <c r="AK8" s="956"/>
      <c r="AL8" s="956" t="s">
        <v>54</v>
      </c>
      <c r="AM8" s="956"/>
      <c r="AN8" s="956" t="s">
        <v>55</v>
      </c>
      <c r="AO8" s="956"/>
      <c r="AP8" s="956" t="s">
        <v>56</v>
      </c>
      <c r="AQ8" s="956"/>
      <c r="AR8" s="956" t="s">
        <v>57</v>
      </c>
      <c r="AS8" s="956"/>
      <c r="AT8" s="956" t="s">
        <v>58</v>
      </c>
      <c r="AU8" s="956"/>
      <c r="AV8" s="956" t="s">
        <v>59</v>
      </c>
      <c r="AW8" s="956"/>
      <c r="AX8" s="956" t="s">
        <v>60</v>
      </c>
      <c r="AY8" s="956"/>
      <c r="AZ8" s="956" t="s">
        <v>61</v>
      </c>
      <c r="BA8" s="956"/>
      <c r="BB8" s="956" t="s">
        <v>45</v>
      </c>
      <c r="BC8" s="956"/>
      <c r="BD8" s="956" t="s">
        <v>42</v>
      </c>
      <c r="BE8" s="956"/>
      <c r="BF8" s="956"/>
      <c r="BG8" s="956"/>
      <c r="BH8" s="956"/>
      <c r="BI8" s="956"/>
      <c r="BJ8" s="956"/>
      <c r="BK8" s="956"/>
      <c r="BL8" s="864"/>
      <c r="BN8" s="863" t="s">
        <v>494</v>
      </c>
      <c r="BO8" s="863"/>
      <c r="BP8" s="863"/>
      <c r="BQ8" s="863"/>
      <c r="BR8" s="863"/>
      <c r="BS8" s="863" t="s">
        <v>495</v>
      </c>
      <c r="BT8" s="863"/>
      <c r="BU8" s="863"/>
      <c r="BV8" s="864" t="s">
        <v>18</v>
      </c>
    </row>
    <row r="9" spans="1:74" ht="33" customHeight="1" x14ac:dyDescent="0.25">
      <c r="A9" s="955"/>
      <c r="B9" s="955"/>
      <c r="C9" s="970"/>
      <c r="D9" s="406"/>
      <c r="E9" s="955"/>
      <c r="F9" s="955"/>
      <c r="G9" s="901"/>
      <c r="H9" s="152"/>
      <c r="I9" s="152"/>
      <c r="J9" s="152"/>
      <c r="K9" s="152"/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407" t="s">
        <v>7</v>
      </c>
      <c r="S9" s="407" t="s">
        <v>8</v>
      </c>
      <c r="T9" s="407" t="s">
        <v>9</v>
      </c>
      <c r="U9" s="407" t="s">
        <v>10</v>
      </c>
      <c r="V9" s="84" t="s">
        <v>7</v>
      </c>
      <c r="W9" s="84" t="s">
        <v>8</v>
      </c>
      <c r="X9" s="84" t="s">
        <v>9</v>
      </c>
      <c r="Y9" s="84" t="s">
        <v>10</v>
      </c>
      <c r="Z9" s="353" t="s">
        <v>15</v>
      </c>
      <c r="AA9" s="354" t="s">
        <v>16</v>
      </c>
      <c r="AB9" s="355" t="s">
        <v>15</v>
      </c>
      <c r="AC9" s="355" t="s">
        <v>16</v>
      </c>
      <c r="AD9" s="355" t="s">
        <v>15</v>
      </c>
      <c r="AE9" s="355" t="s">
        <v>16</v>
      </c>
      <c r="AF9" s="355" t="s">
        <v>15</v>
      </c>
      <c r="AG9" s="355" t="s">
        <v>16</v>
      </c>
      <c r="AH9" s="355" t="s">
        <v>15</v>
      </c>
      <c r="AI9" s="355" t="s">
        <v>16</v>
      </c>
      <c r="AJ9" s="355" t="s">
        <v>15</v>
      </c>
      <c r="AK9" s="355" t="s">
        <v>16</v>
      </c>
      <c r="AL9" s="355" t="s">
        <v>15</v>
      </c>
      <c r="AM9" s="355" t="s">
        <v>16</v>
      </c>
      <c r="AN9" s="355" t="s">
        <v>15</v>
      </c>
      <c r="AO9" s="355" t="s">
        <v>16</v>
      </c>
      <c r="AP9" s="355" t="s">
        <v>15</v>
      </c>
      <c r="AQ9" s="355" t="s">
        <v>16</v>
      </c>
      <c r="AR9" s="355" t="s">
        <v>15</v>
      </c>
      <c r="AS9" s="355" t="s">
        <v>16</v>
      </c>
      <c r="AT9" s="355" t="s">
        <v>15</v>
      </c>
      <c r="AU9" s="355" t="s">
        <v>16</v>
      </c>
      <c r="AV9" s="355" t="s">
        <v>15</v>
      </c>
      <c r="AW9" s="355" t="s">
        <v>16</v>
      </c>
      <c r="AX9" s="355" t="s">
        <v>15</v>
      </c>
      <c r="AY9" s="355" t="s">
        <v>16</v>
      </c>
      <c r="AZ9" s="355" t="s">
        <v>15</v>
      </c>
      <c r="BA9" s="355" t="s">
        <v>16</v>
      </c>
      <c r="BB9" s="355" t="s">
        <v>15</v>
      </c>
      <c r="BC9" s="355" t="s">
        <v>16</v>
      </c>
      <c r="BD9" s="355" t="s">
        <v>15</v>
      </c>
      <c r="BE9" s="355" t="s">
        <v>16</v>
      </c>
      <c r="BF9" s="355" t="s">
        <v>15</v>
      </c>
      <c r="BG9" s="355" t="s">
        <v>16</v>
      </c>
      <c r="BH9" s="355" t="s">
        <v>15</v>
      </c>
      <c r="BI9" s="355" t="s">
        <v>16</v>
      </c>
      <c r="BJ9" s="355" t="s">
        <v>15</v>
      </c>
      <c r="BK9" s="355" t="s">
        <v>16</v>
      </c>
      <c r="BL9" s="864"/>
      <c r="BN9" s="118" t="s">
        <v>485</v>
      </c>
      <c r="BO9" s="357" t="s">
        <v>486</v>
      </c>
      <c r="BP9" s="357" t="s">
        <v>487</v>
      </c>
      <c r="BQ9" s="358" t="s">
        <v>488</v>
      </c>
      <c r="BR9" s="359" t="s">
        <v>489</v>
      </c>
      <c r="BS9" s="357" t="s">
        <v>490</v>
      </c>
      <c r="BT9" s="357" t="s">
        <v>491</v>
      </c>
      <c r="BU9" s="359" t="s">
        <v>492</v>
      </c>
      <c r="BV9" s="864"/>
    </row>
    <row r="10" spans="1:74" ht="15.75" customHeight="1" x14ac:dyDescent="0.25">
      <c r="A10" s="1041" t="s">
        <v>32</v>
      </c>
      <c r="B10" s="373">
        <v>43000</v>
      </c>
      <c r="C10" s="373" t="s">
        <v>399</v>
      </c>
      <c r="D10" s="373"/>
      <c r="E10" s="373"/>
      <c r="F10" s="373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373"/>
      <c r="R10" s="216"/>
      <c r="S10" s="216"/>
      <c r="T10" s="216"/>
      <c r="U10" s="216"/>
      <c r="V10" s="156"/>
      <c r="W10" s="156"/>
      <c r="X10" s="156"/>
      <c r="Y10" s="156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N10" s="373"/>
      <c r="BO10" s="373"/>
      <c r="BP10" s="373"/>
      <c r="BQ10" s="373"/>
      <c r="BR10" s="156">
        <f t="shared" ref="BR10:BR15" si="0">BN10+BO10+BP10+BQ10</f>
        <v>0</v>
      </c>
      <c r="BS10" s="373"/>
      <c r="BT10" s="373"/>
      <c r="BU10" s="373">
        <f>BS10+BT10</f>
        <v>0</v>
      </c>
      <c r="BV10" s="156">
        <f>BR10+BU10</f>
        <v>0</v>
      </c>
    </row>
    <row r="11" spans="1:74" x14ac:dyDescent="0.25">
      <c r="A11" s="1041"/>
      <c r="B11" s="38">
        <v>43100</v>
      </c>
      <c r="C11" s="38" t="s">
        <v>370</v>
      </c>
      <c r="D11" s="38"/>
      <c r="E11" s="365"/>
      <c r="F11" s="38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373"/>
      <c r="R11" s="216"/>
      <c r="S11" s="216"/>
      <c r="T11" s="216"/>
      <c r="U11" s="216"/>
      <c r="V11" s="156"/>
      <c r="W11" s="156"/>
      <c r="X11" s="156"/>
      <c r="Y11" s="156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3"/>
      <c r="BL11" s="373"/>
      <c r="BN11" s="373"/>
      <c r="BO11" s="373"/>
      <c r="BP11" s="373"/>
      <c r="BQ11" s="373"/>
      <c r="BR11" s="156">
        <f t="shared" si="0"/>
        <v>0</v>
      </c>
      <c r="BS11" s="373"/>
      <c r="BT11" s="373"/>
      <c r="BU11" s="373">
        <f t="shared" ref="BU11:BU17" si="1">BS11+BT11</f>
        <v>0</v>
      </c>
      <c r="BV11" s="156">
        <f t="shared" ref="BV11:BV42" si="2">BR11+BU11</f>
        <v>0</v>
      </c>
    </row>
    <row r="12" spans="1:74" ht="31.5" x14ac:dyDescent="0.25">
      <c r="A12" s="1041"/>
      <c r="B12" s="38"/>
      <c r="C12" s="38" t="s">
        <v>371</v>
      </c>
      <c r="D12" s="38" t="s">
        <v>372</v>
      </c>
      <c r="E12" s="365">
        <f>25*100000</f>
        <v>2500000</v>
      </c>
      <c r="F12" s="38">
        <f>BJ12</f>
        <v>0</v>
      </c>
      <c r="G12" s="156">
        <f>E12*F12</f>
        <v>0</v>
      </c>
      <c r="H12" s="156">
        <f>G12*0.031</f>
        <v>0</v>
      </c>
      <c r="I12" s="156">
        <f>G12*0.8</f>
        <v>0</v>
      </c>
      <c r="J12" s="156">
        <f>G12*0</f>
        <v>0</v>
      </c>
      <c r="K12" s="156">
        <f>G12*0.169</f>
        <v>0</v>
      </c>
      <c r="L12" s="156">
        <f>G12*0</f>
        <v>0</v>
      </c>
      <c r="M12" s="156">
        <f>G12*0</f>
        <v>0</v>
      </c>
      <c r="N12" s="156">
        <f>G12*0</f>
        <v>0</v>
      </c>
      <c r="O12" s="156">
        <f>G12*0</f>
        <v>0</v>
      </c>
      <c r="P12" s="156">
        <f>G12*0</f>
        <v>0</v>
      </c>
      <c r="Q12" s="156">
        <f>G12*0</f>
        <v>0</v>
      </c>
      <c r="R12" s="216">
        <v>0</v>
      </c>
      <c r="S12" s="216">
        <v>0</v>
      </c>
      <c r="T12" s="216">
        <v>0</v>
      </c>
      <c r="U12" s="216">
        <v>0</v>
      </c>
      <c r="V12" s="156">
        <f>R12*E12</f>
        <v>0</v>
      </c>
      <c r="W12" s="156">
        <f>S12*E12</f>
        <v>0</v>
      </c>
      <c r="X12" s="156">
        <f>T12*E12</f>
        <v>0</v>
      </c>
      <c r="Y12" s="156">
        <f>U12*E12</f>
        <v>0</v>
      </c>
      <c r="Z12" s="373">
        <v>0</v>
      </c>
      <c r="AA12" s="377">
        <f>Z12*E12</f>
        <v>0</v>
      </c>
      <c r="AB12" s="373">
        <v>0</v>
      </c>
      <c r="AC12" s="377">
        <f>AB12*E12</f>
        <v>0</v>
      </c>
      <c r="AD12" s="373">
        <v>0</v>
      </c>
      <c r="AE12" s="377">
        <f>AD12*E12</f>
        <v>0</v>
      </c>
      <c r="AF12" s="373">
        <v>0</v>
      </c>
      <c r="AG12" s="377">
        <f>AF12*E12</f>
        <v>0</v>
      </c>
      <c r="AH12" s="373">
        <v>0</v>
      </c>
      <c r="AI12" s="377">
        <f>AH12*E12</f>
        <v>0</v>
      </c>
      <c r="AJ12" s="373">
        <v>0</v>
      </c>
      <c r="AK12" s="377">
        <f>AJ12*E12</f>
        <v>0</v>
      </c>
      <c r="AL12" s="373">
        <v>0</v>
      </c>
      <c r="AM12" s="377">
        <f>AL12*E12</f>
        <v>0</v>
      </c>
      <c r="AN12" s="373">
        <v>0</v>
      </c>
      <c r="AO12" s="377">
        <f>AN12*E12</f>
        <v>0</v>
      </c>
      <c r="AP12" s="373">
        <v>0</v>
      </c>
      <c r="AQ12" s="377">
        <f>AP12*E12</f>
        <v>0</v>
      </c>
      <c r="AR12" s="373">
        <v>0</v>
      </c>
      <c r="AS12" s="377">
        <f>AR12*E12</f>
        <v>0</v>
      </c>
      <c r="AT12" s="373">
        <v>0</v>
      </c>
      <c r="AU12" s="377">
        <f>AT12*E12</f>
        <v>0</v>
      </c>
      <c r="AV12" s="373">
        <v>0</v>
      </c>
      <c r="AW12" s="377">
        <f>AV12*E12</f>
        <v>0</v>
      </c>
      <c r="AX12" s="373">
        <v>0</v>
      </c>
      <c r="AY12" s="377">
        <f t="shared" ref="AY12:AY25" si="3">AX12*E12</f>
        <v>0</v>
      </c>
      <c r="AZ12" s="373">
        <v>0</v>
      </c>
      <c r="BA12" s="377">
        <f>AZ12*E12</f>
        <v>0</v>
      </c>
      <c r="BB12" s="373">
        <v>0</v>
      </c>
      <c r="BC12" s="377">
        <f>BB12*E12</f>
        <v>0</v>
      </c>
      <c r="BD12" s="373">
        <v>0</v>
      </c>
      <c r="BE12" s="377">
        <f>BD12*E12</f>
        <v>0</v>
      </c>
      <c r="BF12" s="373">
        <v>0</v>
      </c>
      <c r="BG12" s="377">
        <f>BF12*E12</f>
        <v>0</v>
      </c>
      <c r="BH12" s="373">
        <v>0</v>
      </c>
      <c r="BI12" s="377">
        <f>BH12*E12</f>
        <v>0</v>
      </c>
      <c r="BJ12" s="47">
        <f>Z12+AB12+AD12+AF12+AH12+AJ12+AL12+AN12+AP12+AR12+AT12+AV12+AX12+AZ12+BB12+BD12+BF12+BH12</f>
        <v>0</v>
      </c>
      <c r="BK12" s="85">
        <f>AA12+AC12+AE12+AG12+AI12+AK12+AM12+AO12+AQ12+AS12+AU12+AW12+AY12+BA12+BC12+BE12+BG12+BI12</f>
        <v>0</v>
      </c>
      <c r="BL12" s="295" t="s">
        <v>467</v>
      </c>
      <c r="BN12" s="373"/>
      <c r="BO12" s="373"/>
      <c r="BP12" s="373"/>
      <c r="BQ12" s="373"/>
      <c r="BR12" s="156">
        <f t="shared" si="0"/>
        <v>0</v>
      </c>
      <c r="BS12" s="373"/>
      <c r="BT12" s="373"/>
      <c r="BU12" s="373">
        <f t="shared" si="1"/>
        <v>0</v>
      </c>
      <c r="BV12" s="156">
        <f t="shared" si="2"/>
        <v>0</v>
      </c>
    </row>
    <row r="13" spans="1:74" x14ac:dyDescent="0.25">
      <c r="A13" s="1041"/>
      <c r="B13" s="38"/>
      <c r="C13" s="38" t="s">
        <v>373</v>
      </c>
      <c r="D13" s="38" t="s">
        <v>372</v>
      </c>
      <c r="E13" s="365">
        <f>1*100000</f>
        <v>100000</v>
      </c>
      <c r="F13" s="38">
        <f>BJ13</f>
        <v>0</v>
      </c>
      <c r="G13" s="156">
        <f>E13*F13</f>
        <v>0</v>
      </c>
      <c r="H13" s="156">
        <f>G13*0.031</f>
        <v>0</v>
      </c>
      <c r="I13" s="156">
        <f>G13*0.8</f>
        <v>0</v>
      </c>
      <c r="J13" s="156">
        <f>G13*0</f>
        <v>0</v>
      </c>
      <c r="K13" s="156">
        <f>G13*0.169</f>
        <v>0</v>
      </c>
      <c r="L13" s="156">
        <f>G13*0</f>
        <v>0</v>
      </c>
      <c r="M13" s="156">
        <f>G13*0</f>
        <v>0</v>
      </c>
      <c r="N13" s="156">
        <f>G13*0</f>
        <v>0</v>
      </c>
      <c r="O13" s="156">
        <f>G13*0</f>
        <v>0</v>
      </c>
      <c r="P13" s="156">
        <f>G13*0</f>
        <v>0</v>
      </c>
      <c r="Q13" s="156">
        <f>G13*0</f>
        <v>0</v>
      </c>
      <c r="R13" s="216">
        <v>0</v>
      </c>
      <c r="S13" s="216">
        <v>0</v>
      </c>
      <c r="T13" s="216">
        <v>0</v>
      </c>
      <c r="U13" s="216">
        <v>0</v>
      </c>
      <c r="V13" s="156">
        <f>R13*E13</f>
        <v>0</v>
      </c>
      <c r="W13" s="156">
        <f>S13*E13</f>
        <v>0</v>
      </c>
      <c r="X13" s="156">
        <f>T13*E13</f>
        <v>0</v>
      </c>
      <c r="Y13" s="156">
        <f>U13*E13</f>
        <v>0</v>
      </c>
      <c r="Z13" s="373">
        <v>0</v>
      </c>
      <c r="AA13" s="377">
        <f>Z13*E13</f>
        <v>0</v>
      </c>
      <c r="AB13" s="373">
        <v>0</v>
      </c>
      <c r="AC13" s="377">
        <f t="shared" ref="AC13:AC40" si="4">AB13*E13</f>
        <v>0</v>
      </c>
      <c r="AD13" s="373">
        <v>0</v>
      </c>
      <c r="AE13" s="377">
        <f t="shared" ref="AE13:AE40" si="5">AD13*E13</f>
        <v>0</v>
      </c>
      <c r="AF13" s="373">
        <v>0</v>
      </c>
      <c r="AG13" s="377">
        <f t="shared" ref="AG13:AG40" si="6">AF13*E13</f>
        <v>0</v>
      </c>
      <c r="AH13" s="373">
        <v>0</v>
      </c>
      <c r="AI13" s="377">
        <f t="shared" ref="AI13:AI40" si="7">AH13*E13</f>
        <v>0</v>
      </c>
      <c r="AJ13" s="373">
        <v>0</v>
      </c>
      <c r="AK13" s="377">
        <f t="shared" ref="AK13:AK40" si="8">AJ13*E13</f>
        <v>0</v>
      </c>
      <c r="AL13" s="373">
        <v>0</v>
      </c>
      <c r="AM13" s="377">
        <f t="shared" ref="AM13:AM40" si="9">AL13*E13</f>
        <v>0</v>
      </c>
      <c r="AN13" s="373">
        <v>0</v>
      </c>
      <c r="AO13" s="377">
        <f t="shared" ref="AO13:AO40" si="10">AN13*E13</f>
        <v>0</v>
      </c>
      <c r="AP13" s="373">
        <v>0</v>
      </c>
      <c r="AQ13" s="377">
        <f t="shared" ref="AQ13:AQ40" si="11">AP13*E13</f>
        <v>0</v>
      </c>
      <c r="AR13" s="373">
        <v>0</v>
      </c>
      <c r="AS13" s="377">
        <f t="shared" ref="AS13:AS40" si="12">AR13*E13</f>
        <v>0</v>
      </c>
      <c r="AT13" s="373">
        <v>0</v>
      </c>
      <c r="AU13" s="377">
        <f t="shared" ref="AU13:AU40" si="13">AT13*E13</f>
        <v>0</v>
      </c>
      <c r="AV13" s="373">
        <v>0</v>
      </c>
      <c r="AW13" s="377">
        <f t="shared" ref="AW13:AW40" si="14">AV13*E13</f>
        <v>0</v>
      </c>
      <c r="AX13" s="373">
        <v>0</v>
      </c>
      <c r="AY13" s="377">
        <f t="shared" si="3"/>
        <v>0</v>
      </c>
      <c r="AZ13" s="373">
        <v>0</v>
      </c>
      <c r="BA13" s="377">
        <f t="shared" ref="BA13:BA40" si="15">AZ13*E13</f>
        <v>0</v>
      </c>
      <c r="BB13" s="373">
        <v>0</v>
      </c>
      <c r="BC13" s="377">
        <f t="shared" ref="BC13:BC40" si="16">BB13*E13</f>
        <v>0</v>
      </c>
      <c r="BD13" s="373">
        <v>0</v>
      </c>
      <c r="BE13" s="377">
        <f t="shared" ref="BE13:BE40" si="17">BD13*E13</f>
        <v>0</v>
      </c>
      <c r="BF13" s="373">
        <v>0</v>
      </c>
      <c r="BG13" s="377">
        <f t="shared" ref="BG13:BG40" si="18">BF13*E13</f>
        <v>0</v>
      </c>
      <c r="BH13" s="373">
        <v>0</v>
      </c>
      <c r="BI13" s="377">
        <f t="shared" ref="BI13:BI40" si="19">BH13*E13</f>
        <v>0</v>
      </c>
      <c r="BJ13" s="47">
        <f>Z13+AB13+AD13+AF13+AH13+AJ13+AL13+AN13+AP13+AR13+AT13+AV13+AX13+AZ13+BB13+BD13+BF13+BH13</f>
        <v>0</v>
      </c>
      <c r="BK13" s="85">
        <f>AA13+AC13+AE13+AG13+AI13+AK13+AM13+AO13+AQ13+AS13+AU13+AW13+AY13+BA13+BC13+BE13+BG13+BI13</f>
        <v>0</v>
      </c>
      <c r="BL13" s="295" t="s">
        <v>467</v>
      </c>
      <c r="BN13" s="373"/>
      <c r="BO13" s="373"/>
      <c r="BP13" s="373"/>
      <c r="BQ13" s="373"/>
      <c r="BR13" s="156">
        <f t="shared" si="0"/>
        <v>0</v>
      </c>
      <c r="BS13" s="373"/>
      <c r="BT13" s="373"/>
      <c r="BU13" s="373">
        <f t="shared" si="1"/>
        <v>0</v>
      </c>
      <c r="BV13" s="156">
        <f t="shared" si="2"/>
        <v>0</v>
      </c>
    </row>
    <row r="14" spans="1:74" s="269" customFormat="1" x14ac:dyDescent="0.25">
      <c r="A14" s="1041"/>
      <c r="B14" s="367"/>
      <c r="C14" s="369" t="s">
        <v>374</v>
      </c>
      <c r="D14" s="369" t="s">
        <v>280</v>
      </c>
      <c r="E14" s="369" t="s">
        <v>280</v>
      </c>
      <c r="F14" s="369">
        <f>SUM(F12:F13)</f>
        <v>0</v>
      </c>
      <c r="G14" s="408">
        <f>SUM(G12:G13)</f>
        <v>0</v>
      </c>
      <c r="H14" s="408">
        <f t="shared" ref="H14:Q14" si="20">SUM(H12:H13)</f>
        <v>0</v>
      </c>
      <c r="I14" s="408">
        <f t="shared" si="20"/>
        <v>0</v>
      </c>
      <c r="J14" s="408">
        <f t="shared" si="20"/>
        <v>0</v>
      </c>
      <c r="K14" s="408">
        <f t="shared" si="20"/>
        <v>0</v>
      </c>
      <c r="L14" s="408">
        <f t="shared" si="20"/>
        <v>0</v>
      </c>
      <c r="M14" s="408">
        <f t="shared" si="20"/>
        <v>0</v>
      </c>
      <c r="N14" s="408">
        <f t="shared" si="20"/>
        <v>0</v>
      </c>
      <c r="O14" s="408">
        <f t="shared" si="20"/>
        <v>0</v>
      </c>
      <c r="P14" s="408">
        <f t="shared" si="20"/>
        <v>0</v>
      </c>
      <c r="Q14" s="408">
        <f t="shared" si="20"/>
        <v>0</v>
      </c>
      <c r="R14" s="409">
        <f t="shared" ref="R14:BK14" si="21">SUM(R12:R13)</f>
        <v>0</v>
      </c>
      <c r="S14" s="409">
        <f t="shared" si="21"/>
        <v>0</v>
      </c>
      <c r="T14" s="409">
        <f t="shared" si="21"/>
        <v>0</v>
      </c>
      <c r="U14" s="409">
        <f t="shared" si="21"/>
        <v>0</v>
      </c>
      <c r="V14" s="408">
        <f t="shared" si="21"/>
        <v>0</v>
      </c>
      <c r="W14" s="408">
        <f t="shared" si="21"/>
        <v>0</v>
      </c>
      <c r="X14" s="408">
        <f t="shared" si="21"/>
        <v>0</v>
      </c>
      <c r="Y14" s="408">
        <f t="shared" si="21"/>
        <v>0</v>
      </c>
      <c r="Z14" s="369">
        <f t="shared" si="21"/>
        <v>0</v>
      </c>
      <c r="AA14" s="408">
        <f t="shared" si="21"/>
        <v>0</v>
      </c>
      <c r="AB14" s="408">
        <f t="shared" si="21"/>
        <v>0</v>
      </c>
      <c r="AC14" s="408">
        <f t="shared" si="21"/>
        <v>0</v>
      </c>
      <c r="AD14" s="408">
        <f t="shared" si="21"/>
        <v>0</v>
      </c>
      <c r="AE14" s="408">
        <f t="shared" si="21"/>
        <v>0</v>
      </c>
      <c r="AF14" s="408">
        <f t="shared" si="21"/>
        <v>0</v>
      </c>
      <c r="AG14" s="408">
        <f t="shared" si="21"/>
        <v>0</v>
      </c>
      <c r="AH14" s="408">
        <f t="shared" si="21"/>
        <v>0</v>
      </c>
      <c r="AI14" s="408">
        <f t="shared" si="21"/>
        <v>0</v>
      </c>
      <c r="AJ14" s="408">
        <f t="shared" si="21"/>
        <v>0</v>
      </c>
      <c r="AK14" s="408">
        <f t="shared" si="21"/>
        <v>0</v>
      </c>
      <c r="AL14" s="408">
        <f t="shared" si="21"/>
        <v>0</v>
      </c>
      <c r="AM14" s="408">
        <f t="shared" si="21"/>
        <v>0</v>
      </c>
      <c r="AN14" s="408">
        <f t="shared" si="21"/>
        <v>0</v>
      </c>
      <c r="AO14" s="408">
        <f t="shared" si="21"/>
        <v>0</v>
      </c>
      <c r="AP14" s="408">
        <f t="shared" si="21"/>
        <v>0</v>
      </c>
      <c r="AQ14" s="408">
        <f t="shared" si="21"/>
        <v>0</v>
      </c>
      <c r="AR14" s="408">
        <f t="shared" si="21"/>
        <v>0</v>
      </c>
      <c r="AS14" s="408">
        <f t="shared" si="21"/>
        <v>0</v>
      </c>
      <c r="AT14" s="408">
        <f t="shared" si="21"/>
        <v>0</v>
      </c>
      <c r="AU14" s="408">
        <f t="shared" si="21"/>
        <v>0</v>
      </c>
      <c r="AV14" s="408">
        <f t="shared" si="21"/>
        <v>0</v>
      </c>
      <c r="AW14" s="408">
        <f t="shared" si="21"/>
        <v>0</v>
      </c>
      <c r="AX14" s="408">
        <f t="shared" si="21"/>
        <v>0</v>
      </c>
      <c r="AY14" s="408">
        <f t="shared" si="21"/>
        <v>0</v>
      </c>
      <c r="AZ14" s="408">
        <f t="shared" si="21"/>
        <v>0</v>
      </c>
      <c r="BA14" s="408">
        <f t="shared" si="21"/>
        <v>0</v>
      </c>
      <c r="BB14" s="408">
        <f t="shared" si="21"/>
        <v>0</v>
      </c>
      <c r="BC14" s="408">
        <f t="shared" si="21"/>
        <v>0</v>
      </c>
      <c r="BD14" s="408">
        <f t="shared" si="21"/>
        <v>0</v>
      </c>
      <c r="BE14" s="408">
        <f t="shared" si="21"/>
        <v>0</v>
      </c>
      <c r="BF14" s="408">
        <f t="shared" si="21"/>
        <v>0</v>
      </c>
      <c r="BG14" s="408">
        <f t="shared" si="21"/>
        <v>0</v>
      </c>
      <c r="BH14" s="408">
        <f t="shared" si="21"/>
        <v>0</v>
      </c>
      <c r="BI14" s="408">
        <f t="shared" si="21"/>
        <v>0</v>
      </c>
      <c r="BJ14" s="369">
        <f t="shared" si="21"/>
        <v>0</v>
      </c>
      <c r="BK14" s="408">
        <f t="shared" si="21"/>
        <v>0</v>
      </c>
      <c r="BL14" s="410"/>
      <c r="BN14" s="411"/>
      <c r="BO14" s="411"/>
      <c r="BP14" s="411"/>
      <c r="BQ14" s="411"/>
      <c r="BR14" s="412">
        <f t="shared" si="0"/>
        <v>0</v>
      </c>
      <c r="BS14" s="411"/>
      <c r="BT14" s="411"/>
      <c r="BU14" s="413">
        <f t="shared" si="1"/>
        <v>0</v>
      </c>
      <c r="BV14" s="412">
        <f t="shared" si="2"/>
        <v>0</v>
      </c>
    </row>
    <row r="15" spans="1:74" ht="31.5" x14ac:dyDescent="0.25">
      <c r="A15" s="1041"/>
      <c r="B15" s="38">
        <v>43200</v>
      </c>
      <c r="C15" s="38" t="s">
        <v>737</v>
      </c>
      <c r="D15" s="38"/>
      <c r="E15" s="365"/>
      <c r="F15" s="38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373"/>
      <c r="R15" s="216"/>
      <c r="S15" s="216"/>
      <c r="T15" s="216"/>
      <c r="U15" s="216"/>
      <c r="V15" s="156"/>
      <c r="W15" s="156"/>
      <c r="X15" s="156"/>
      <c r="Y15" s="156"/>
      <c r="Z15" s="373"/>
      <c r="AA15" s="373"/>
      <c r="AB15" s="373"/>
      <c r="AC15" s="377">
        <f t="shared" si="4"/>
        <v>0</v>
      </c>
      <c r="AD15" s="373"/>
      <c r="AE15" s="377">
        <f t="shared" si="5"/>
        <v>0</v>
      </c>
      <c r="AF15" s="373"/>
      <c r="AG15" s="377">
        <f t="shared" si="6"/>
        <v>0</v>
      </c>
      <c r="AH15" s="373"/>
      <c r="AI15" s="377">
        <f t="shared" si="7"/>
        <v>0</v>
      </c>
      <c r="AJ15" s="373"/>
      <c r="AK15" s="377">
        <f t="shared" si="8"/>
        <v>0</v>
      </c>
      <c r="AL15" s="373"/>
      <c r="AM15" s="377">
        <f t="shared" si="9"/>
        <v>0</v>
      </c>
      <c r="AN15" s="373"/>
      <c r="AO15" s="377">
        <f t="shared" si="10"/>
        <v>0</v>
      </c>
      <c r="AP15" s="373"/>
      <c r="AQ15" s="377">
        <f t="shared" si="11"/>
        <v>0</v>
      </c>
      <c r="AR15" s="373"/>
      <c r="AS15" s="377">
        <f t="shared" si="12"/>
        <v>0</v>
      </c>
      <c r="AT15" s="373"/>
      <c r="AU15" s="377">
        <f t="shared" si="13"/>
        <v>0</v>
      </c>
      <c r="AV15" s="373"/>
      <c r="AW15" s="377">
        <f t="shared" si="14"/>
        <v>0</v>
      </c>
      <c r="AX15" s="373"/>
      <c r="AY15" s="377">
        <f t="shared" si="3"/>
        <v>0</v>
      </c>
      <c r="AZ15" s="373"/>
      <c r="BA15" s="377">
        <f t="shared" si="15"/>
        <v>0</v>
      </c>
      <c r="BB15" s="373"/>
      <c r="BC15" s="377">
        <f t="shared" si="16"/>
        <v>0</v>
      </c>
      <c r="BD15" s="373"/>
      <c r="BE15" s="377">
        <f t="shared" si="17"/>
        <v>0</v>
      </c>
      <c r="BF15" s="373"/>
      <c r="BG15" s="377">
        <f t="shared" si="18"/>
        <v>0</v>
      </c>
      <c r="BH15" s="373"/>
      <c r="BI15" s="377">
        <f t="shared" si="19"/>
        <v>0</v>
      </c>
      <c r="BJ15" s="373"/>
      <c r="BK15" s="373"/>
      <c r="BL15" s="373"/>
      <c r="BN15" s="373"/>
      <c r="BO15" s="373"/>
      <c r="BP15" s="373"/>
      <c r="BQ15" s="373"/>
      <c r="BR15" s="156">
        <f t="shared" si="0"/>
        <v>0</v>
      </c>
      <c r="BS15" s="373"/>
      <c r="BT15" s="373"/>
      <c r="BU15" s="373">
        <f t="shared" si="1"/>
        <v>0</v>
      </c>
      <c r="BV15" s="156">
        <f t="shared" si="2"/>
        <v>0</v>
      </c>
    </row>
    <row r="16" spans="1:74" x14ac:dyDescent="0.25">
      <c r="A16" s="1041"/>
      <c r="B16" s="38"/>
      <c r="C16" s="38" t="s">
        <v>375</v>
      </c>
      <c r="D16" s="38" t="s">
        <v>376</v>
      </c>
      <c r="E16" s="365">
        <v>20000</v>
      </c>
      <c r="F16" s="38">
        <f>BJ16</f>
        <v>12</v>
      </c>
      <c r="G16" s="156">
        <f>E16*F16</f>
        <v>240000</v>
      </c>
      <c r="H16" s="156">
        <f>G16*0.2</f>
        <v>48000</v>
      </c>
      <c r="I16" s="156">
        <f>G16*0.8</f>
        <v>192000</v>
      </c>
      <c r="J16" s="156">
        <f>G16*0</f>
        <v>0</v>
      </c>
      <c r="K16" s="156">
        <f>G16*0</f>
        <v>0</v>
      </c>
      <c r="L16" s="156">
        <f>G16*0</f>
        <v>0</v>
      </c>
      <c r="M16" s="156">
        <f>G16*0</f>
        <v>0</v>
      </c>
      <c r="N16" s="156">
        <f>G16*0</f>
        <v>0</v>
      </c>
      <c r="O16" s="156">
        <f>G16*0</f>
        <v>0</v>
      </c>
      <c r="P16" s="156">
        <f>G16*0</f>
        <v>0</v>
      </c>
      <c r="Q16" s="156">
        <f>G16*0</f>
        <v>0</v>
      </c>
      <c r="R16" s="216">
        <v>3</v>
      </c>
      <c r="S16" s="216">
        <v>3</v>
      </c>
      <c r="T16" s="216">
        <v>3</v>
      </c>
      <c r="U16" s="216">
        <v>3</v>
      </c>
      <c r="V16" s="156">
        <f>R16*E16</f>
        <v>60000</v>
      </c>
      <c r="W16" s="156">
        <f>S16*E16</f>
        <v>60000</v>
      </c>
      <c r="X16" s="156">
        <f>T16*E16</f>
        <v>60000</v>
      </c>
      <c r="Y16" s="156">
        <f>U16*E16</f>
        <v>60000</v>
      </c>
      <c r="Z16" s="373">
        <v>0</v>
      </c>
      <c r="AA16" s="377">
        <f>Z16*E16</f>
        <v>0</v>
      </c>
      <c r="AB16" s="373">
        <v>0</v>
      </c>
      <c r="AC16" s="377">
        <f t="shared" si="4"/>
        <v>0</v>
      </c>
      <c r="AD16" s="373">
        <v>0</v>
      </c>
      <c r="AE16" s="377">
        <f t="shared" si="5"/>
        <v>0</v>
      </c>
      <c r="AF16" s="373">
        <v>0</v>
      </c>
      <c r="AG16" s="377">
        <f t="shared" si="6"/>
        <v>0</v>
      </c>
      <c r="AH16" s="373">
        <v>0</v>
      </c>
      <c r="AI16" s="377">
        <f t="shared" si="7"/>
        <v>0</v>
      </c>
      <c r="AJ16" s="373">
        <v>0</v>
      </c>
      <c r="AK16" s="377">
        <f t="shared" si="8"/>
        <v>0</v>
      </c>
      <c r="AL16" s="373">
        <v>0</v>
      </c>
      <c r="AM16" s="377">
        <f t="shared" si="9"/>
        <v>0</v>
      </c>
      <c r="AN16" s="373">
        <v>0</v>
      </c>
      <c r="AO16" s="377">
        <f t="shared" si="10"/>
        <v>0</v>
      </c>
      <c r="AP16" s="373">
        <v>0</v>
      </c>
      <c r="AQ16" s="377">
        <f t="shared" si="11"/>
        <v>0</v>
      </c>
      <c r="AR16" s="373">
        <v>0</v>
      </c>
      <c r="AS16" s="377">
        <f t="shared" si="12"/>
        <v>0</v>
      </c>
      <c r="AT16" s="373">
        <v>0</v>
      </c>
      <c r="AU16" s="377">
        <f t="shared" si="13"/>
        <v>0</v>
      </c>
      <c r="AV16" s="373">
        <v>0</v>
      </c>
      <c r="AW16" s="377">
        <f t="shared" si="14"/>
        <v>0</v>
      </c>
      <c r="AX16" s="373">
        <v>0</v>
      </c>
      <c r="AY16" s="377">
        <f t="shared" si="3"/>
        <v>0</v>
      </c>
      <c r="AZ16" s="373">
        <v>0</v>
      </c>
      <c r="BA16" s="377">
        <f t="shared" si="15"/>
        <v>0</v>
      </c>
      <c r="BB16" s="373">
        <v>0</v>
      </c>
      <c r="BC16" s="377">
        <f t="shared" si="16"/>
        <v>0</v>
      </c>
      <c r="BD16" s="373">
        <v>0</v>
      </c>
      <c r="BE16" s="377">
        <f t="shared" si="17"/>
        <v>0</v>
      </c>
      <c r="BF16" s="373">
        <v>0</v>
      </c>
      <c r="BG16" s="377">
        <f t="shared" si="18"/>
        <v>0</v>
      </c>
      <c r="BH16" s="373">
        <v>12</v>
      </c>
      <c r="BI16" s="377">
        <f t="shared" si="19"/>
        <v>240000</v>
      </c>
      <c r="BJ16" s="47">
        <f>Z16+AB16+AD16+AF16+AH16+AJ16+AL16+AN16+AP16+AR16+AT16+AV16+AX16+AZ16+BB16+BD16+BF16+BH16</f>
        <v>12</v>
      </c>
      <c r="BK16" s="85">
        <f>AA16+AC16+AE16+AG16+AI16+AK16+AM16+AO16+AQ16+AS16+AU16+AW16+AY16+BA16+BC16+BE16+BG16+BI16</f>
        <v>240000</v>
      </c>
      <c r="BL16" s="295" t="s">
        <v>467</v>
      </c>
      <c r="BN16" s="373"/>
      <c r="BO16" s="156">
        <f>G16</f>
        <v>240000</v>
      </c>
      <c r="BP16" s="373"/>
      <c r="BQ16" s="373"/>
      <c r="BR16" s="156">
        <f>BN16+BO16+BP16+BQ16</f>
        <v>240000</v>
      </c>
      <c r="BS16" s="373"/>
      <c r="BT16" s="373"/>
      <c r="BU16" s="373">
        <f t="shared" si="1"/>
        <v>0</v>
      </c>
      <c r="BV16" s="156">
        <f t="shared" si="2"/>
        <v>240000</v>
      </c>
    </row>
    <row r="17" spans="1:74" x14ac:dyDescent="0.25">
      <c r="A17" s="1041"/>
      <c r="B17" s="38"/>
      <c r="C17" s="38" t="s">
        <v>377</v>
      </c>
      <c r="D17" s="38" t="s">
        <v>376</v>
      </c>
      <c r="E17" s="365">
        <v>2500</v>
      </c>
      <c r="F17" s="38">
        <f>BJ17</f>
        <v>204</v>
      </c>
      <c r="G17" s="156">
        <f>E17*F17</f>
        <v>510000</v>
      </c>
      <c r="H17" s="156">
        <f>G17*0.2</f>
        <v>102000</v>
      </c>
      <c r="I17" s="156">
        <f>G17*0.8</f>
        <v>408000</v>
      </c>
      <c r="J17" s="156">
        <f>G17*0</f>
        <v>0</v>
      </c>
      <c r="K17" s="156">
        <f>G17*0</f>
        <v>0</v>
      </c>
      <c r="L17" s="156">
        <f>G17*0</f>
        <v>0</v>
      </c>
      <c r="M17" s="156">
        <f>G17*0</f>
        <v>0</v>
      </c>
      <c r="N17" s="156">
        <f>G17*0</f>
        <v>0</v>
      </c>
      <c r="O17" s="156">
        <f>G17*0</f>
        <v>0</v>
      </c>
      <c r="P17" s="156">
        <f>G17*0</f>
        <v>0</v>
      </c>
      <c r="Q17" s="156">
        <f>G17*0</f>
        <v>0</v>
      </c>
      <c r="R17" s="216">
        <f>17*3</f>
        <v>51</v>
      </c>
      <c r="S17" s="216">
        <f>17*3</f>
        <v>51</v>
      </c>
      <c r="T17" s="216">
        <f>17*3</f>
        <v>51</v>
      </c>
      <c r="U17" s="216">
        <f>17*3</f>
        <v>51</v>
      </c>
      <c r="V17" s="156">
        <f>R17*E17</f>
        <v>127500</v>
      </c>
      <c r="W17" s="156">
        <f>S17*E17</f>
        <v>127500</v>
      </c>
      <c r="X17" s="156">
        <f>T17*E17</f>
        <v>127500</v>
      </c>
      <c r="Y17" s="156">
        <f>U17*E17</f>
        <v>127500</v>
      </c>
      <c r="Z17" s="373">
        <v>12</v>
      </c>
      <c r="AA17" s="377">
        <f>Z17*E17</f>
        <v>30000</v>
      </c>
      <c r="AB17" s="373">
        <v>12</v>
      </c>
      <c r="AC17" s="377">
        <f t="shared" si="4"/>
        <v>30000</v>
      </c>
      <c r="AD17" s="373">
        <v>12</v>
      </c>
      <c r="AE17" s="377">
        <f t="shared" si="5"/>
        <v>30000</v>
      </c>
      <c r="AF17" s="373">
        <v>12</v>
      </c>
      <c r="AG17" s="377">
        <f t="shared" si="6"/>
        <v>30000</v>
      </c>
      <c r="AH17" s="373">
        <v>12</v>
      </c>
      <c r="AI17" s="377">
        <f t="shared" si="7"/>
        <v>30000</v>
      </c>
      <c r="AJ17" s="373">
        <v>12</v>
      </c>
      <c r="AK17" s="377">
        <f t="shared" si="8"/>
        <v>30000</v>
      </c>
      <c r="AL17" s="373">
        <v>12</v>
      </c>
      <c r="AM17" s="377">
        <f t="shared" si="9"/>
        <v>30000</v>
      </c>
      <c r="AN17" s="373">
        <v>12</v>
      </c>
      <c r="AO17" s="377">
        <f t="shared" si="10"/>
        <v>30000</v>
      </c>
      <c r="AP17" s="373">
        <v>12</v>
      </c>
      <c r="AQ17" s="377">
        <f t="shared" si="11"/>
        <v>30000</v>
      </c>
      <c r="AR17" s="373">
        <v>12</v>
      </c>
      <c r="AS17" s="377">
        <f t="shared" si="12"/>
        <v>30000</v>
      </c>
      <c r="AT17" s="373">
        <v>12</v>
      </c>
      <c r="AU17" s="377">
        <f t="shared" si="13"/>
        <v>30000</v>
      </c>
      <c r="AV17" s="373">
        <v>12</v>
      </c>
      <c r="AW17" s="377">
        <f t="shared" si="14"/>
        <v>30000</v>
      </c>
      <c r="AX17" s="373">
        <v>12</v>
      </c>
      <c r="AY17" s="377">
        <f t="shared" si="3"/>
        <v>30000</v>
      </c>
      <c r="AZ17" s="373">
        <v>12</v>
      </c>
      <c r="BA17" s="377">
        <f t="shared" si="15"/>
        <v>30000</v>
      </c>
      <c r="BB17" s="373">
        <v>12</v>
      </c>
      <c r="BC17" s="377">
        <f t="shared" si="16"/>
        <v>30000</v>
      </c>
      <c r="BD17" s="373">
        <v>12</v>
      </c>
      <c r="BE17" s="377">
        <f t="shared" si="17"/>
        <v>30000</v>
      </c>
      <c r="BF17" s="373">
        <v>12</v>
      </c>
      <c r="BG17" s="377">
        <f t="shared" si="18"/>
        <v>30000</v>
      </c>
      <c r="BH17" s="373">
        <v>0</v>
      </c>
      <c r="BI17" s="377">
        <f t="shared" si="19"/>
        <v>0</v>
      </c>
      <c r="BJ17" s="47">
        <f>Z17+AB17+AD17+AF17+AH17+AJ17+AL17+AN17+AP17+AR17+AT17+AV17+AX17+AZ17+BB17+BD17+BF17+BH17</f>
        <v>204</v>
      </c>
      <c r="BK17" s="85">
        <f>AA17+AC17+AE17+AG17+AI17+AK17+AM17+AO17+AQ17+AS17+AU17+AW17+AY17+BA17+BC17+BE17+BG17+BI17</f>
        <v>510000</v>
      </c>
      <c r="BL17" s="295" t="s">
        <v>467</v>
      </c>
      <c r="BN17" s="373"/>
      <c r="BO17" s="156">
        <f>G17</f>
        <v>510000</v>
      </c>
      <c r="BP17" s="373"/>
      <c r="BQ17" s="373"/>
      <c r="BR17" s="156">
        <f>BN17+BO17+BP17+BQ17</f>
        <v>510000</v>
      </c>
      <c r="BS17" s="373"/>
      <c r="BT17" s="373"/>
      <c r="BU17" s="373">
        <f t="shared" si="1"/>
        <v>0</v>
      </c>
      <c r="BV17" s="156">
        <f t="shared" si="2"/>
        <v>510000</v>
      </c>
    </row>
    <row r="18" spans="1:74" s="269" customFormat="1" x14ac:dyDescent="0.25">
      <c r="A18" s="1041"/>
      <c r="B18" s="367"/>
      <c r="C18" s="369" t="s">
        <v>378</v>
      </c>
      <c r="D18" s="369" t="s">
        <v>280</v>
      </c>
      <c r="E18" s="369" t="s">
        <v>280</v>
      </c>
      <c r="F18" s="369">
        <f>SUM(F16:F17)</f>
        <v>216</v>
      </c>
      <c r="G18" s="408">
        <f>SUM(G16:G17)</f>
        <v>750000</v>
      </c>
      <c r="H18" s="408">
        <f t="shared" ref="H18:Q18" si="22">SUM(H16:H17)</f>
        <v>150000</v>
      </c>
      <c r="I18" s="408">
        <f t="shared" si="22"/>
        <v>600000</v>
      </c>
      <c r="J18" s="408">
        <f t="shared" si="22"/>
        <v>0</v>
      </c>
      <c r="K18" s="408">
        <f t="shared" si="22"/>
        <v>0</v>
      </c>
      <c r="L18" s="408">
        <f t="shared" si="22"/>
        <v>0</v>
      </c>
      <c r="M18" s="408">
        <f t="shared" si="22"/>
        <v>0</v>
      </c>
      <c r="N18" s="408">
        <f t="shared" si="22"/>
        <v>0</v>
      </c>
      <c r="O18" s="408">
        <f t="shared" si="22"/>
        <v>0</v>
      </c>
      <c r="P18" s="408">
        <f t="shared" si="22"/>
        <v>0</v>
      </c>
      <c r="Q18" s="408">
        <f t="shared" si="22"/>
        <v>0</v>
      </c>
      <c r="R18" s="409">
        <f t="shared" ref="R18:BK18" si="23">SUM(R16:R17)</f>
        <v>54</v>
      </c>
      <c r="S18" s="409">
        <f t="shared" si="23"/>
        <v>54</v>
      </c>
      <c r="T18" s="409">
        <f t="shared" si="23"/>
        <v>54</v>
      </c>
      <c r="U18" s="409">
        <f t="shared" si="23"/>
        <v>54</v>
      </c>
      <c r="V18" s="408">
        <f t="shared" si="23"/>
        <v>187500</v>
      </c>
      <c r="W18" s="408">
        <f t="shared" si="23"/>
        <v>187500</v>
      </c>
      <c r="X18" s="408">
        <f t="shared" si="23"/>
        <v>187500</v>
      </c>
      <c r="Y18" s="408">
        <f t="shared" si="23"/>
        <v>187500</v>
      </c>
      <c r="Z18" s="369">
        <f t="shared" si="23"/>
        <v>12</v>
      </c>
      <c r="AA18" s="408">
        <f t="shared" si="23"/>
        <v>30000</v>
      </c>
      <c r="AB18" s="369">
        <f t="shared" si="23"/>
        <v>12</v>
      </c>
      <c r="AC18" s="408">
        <f t="shared" si="23"/>
        <v>30000</v>
      </c>
      <c r="AD18" s="369">
        <f t="shared" si="23"/>
        <v>12</v>
      </c>
      <c r="AE18" s="408">
        <f t="shared" si="23"/>
        <v>30000</v>
      </c>
      <c r="AF18" s="369">
        <f t="shared" si="23"/>
        <v>12</v>
      </c>
      <c r="AG18" s="408">
        <f t="shared" si="23"/>
        <v>30000</v>
      </c>
      <c r="AH18" s="369">
        <f t="shared" si="23"/>
        <v>12</v>
      </c>
      <c r="AI18" s="408">
        <f t="shared" si="23"/>
        <v>30000</v>
      </c>
      <c r="AJ18" s="369">
        <f t="shared" si="23"/>
        <v>12</v>
      </c>
      <c r="AK18" s="408">
        <f t="shared" si="23"/>
        <v>30000</v>
      </c>
      <c r="AL18" s="369">
        <f t="shared" si="23"/>
        <v>12</v>
      </c>
      <c r="AM18" s="408">
        <f t="shared" si="23"/>
        <v>30000</v>
      </c>
      <c r="AN18" s="369">
        <f t="shared" si="23"/>
        <v>12</v>
      </c>
      <c r="AO18" s="408">
        <f t="shared" si="23"/>
        <v>30000</v>
      </c>
      <c r="AP18" s="369">
        <f t="shared" si="23"/>
        <v>12</v>
      </c>
      <c r="AQ18" s="408">
        <f t="shared" si="23"/>
        <v>30000</v>
      </c>
      <c r="AR18" s="369">
        <f t="shared" si="23"/>
        <v>12</v>
      </c>
      <c r="AS18" s="408">
        <f t="shared" si="23"/>
        <v>30000</v>
      </c>
      <c r="AT18" s="369">
        <f t="shared" si="23"/>
        <v>12</v>
      </c>
      <c r="AU18" s="408">
        <f t="shared" si="23"/>
        <v>30000</v>
      </c>
      <c r="AV18" s="369">
        <f t="shared" si="23"/>
        <v>12</v>
      </c>
      <c r="AW18" s="408">
        <f t="shared" si="23"/>
        <v>30000</v>
      </c>
      <c r="AX18" s="369">
        <f t="shared" si="23"/>
        <v>12</v>
      </c>
      <c r="AY18" s="408">
        <f t="shared" si="23"/>
        <v>30000</v>
      </c>
      <c r="AZ18" s="369">
        <f t="shared" si="23"/>
        <v>12</v>
      </c>
      <c r="BA18" s="408">
        <f t="shared" si="23"/>
        <v>30000</v>
      </c>
      <c r="BB18" s="369">
        <f t="shared" si="23"/>
        <v>12</v>
      </c>
      <c r="BC18" s="408">
        <f t="shared" si="23"/>
        <v>30000</v>
      </c>
      <c r="BD18" s="369">
        <f t="shared" si="23"/>
        <v>12</v>
      </c>
      <c r="BE18" s="408">
        <f t="shared" si="23"/>
        <v>30000</v>
      </c>
      <c r="BF18" s="369">
        <f t="shared" si="23"/>
        <v>12</v>
      </c>
      <c r="BG18" s="408">
        <f t="shared" si="23"/>
        <v>30000</v>
      </c>
      <c r="BH18" s="369">
        <f t="shared" si="23"/>
        <v>12</v>
      </c>
      <c r="BI18" s="408">
        <f t="shared" si="23"/>
        <v>240000</v>
      </c>
      <c r="BJ18" s="369">
        <f t="shared" si="23"/>
        <v>216</v>
      </c>
      <c r="BK18" s="408">
        <f t="shared" si="23"/>
        <v>750000</v>
      </c>
      <c r="BL18" s="410"/>
      <c r="BN18" s="408">
        <f t="shared" ref="BN18:BU18" si="24">SUM(BN16:BN17)</f>
        <v>0</v>
      </c>
      <c r="BO18" s="408">
        <f t="shared" si="24"/>
        <v>750000</v>
      </c>
      <c r="BP18" s="408">
        <f t="shared" si="24"/>
        <v>0</v>
      </c>
      <c r="BQ18" s="408">
        <f t="shared" si="24"/>
        <v>0</v>
      </c>
      <c r="BR18" s="408">
        <f t="shared" si="24"/>
        <v>750000</v>
      </c>
      <c r="BS18" s="408">
        <f t="shared" si="24"/>
        <v>0</v>
      </c>
      <c r="BT18" s="408">
        <f t="shared" si="24"/>
        <v>0</v>
      </c>
      <c r="BU18" s="408">
        <f t="shared" si="24"/>
        <v>0</v>
      </c>
      <c r="BV18" s="408">
        <f t="shared" si="2"/>
        <v>750000</v>
      </c>
    </row>
    <row r="19" spans="1:74" ht="31.5" x14ac:dyDescent="0.25">
      <c r="A19" s="1041"/>
      <c r="B19" s="38">
        <v>43300</v>
      </c>
      <c r="C19" s="38" t="s">
        <v>379</v>
      </c>
      <c r="D19" s="38"/>
      <c r="E19" s="365"/>
      <c r="F19" s="38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373"/>
      <c r="R19" s="216"/>
      <c r="S19" s="216"/>
      <c r="T19" s="216"/>
      <c r="U19" s="216"/>
      <c r="V19" s="156"/>
      <c r="W19" s="156"/>
      <c r="X19" s="156"/>
      <c r="Y19" s="156"/>
      <c r="Z19" s="373"/>
      <c r="AA19" s="373"/>
      <c r="AB19" s="373"/>
      <c r="AC19" s="377">
        <f t="shared" si="4"/>
        <v>0</v>
      </c>
      <c r="AD19" s="373"/>
      <c r="AE19" s="377">
        <f t="shared" si="5"/>
        <v>0</v>
      </c>
      <c r="AF19" s="373"/>
      <c r="AG19" s="377">
        <f t="shared" si="6"/>
        <v>0</v>
      </c>
      <c r="AH19" s="373"/>
      <c r="AI19" s="377">
        <f t="shared" si="7"/>
        <v>0</v>
      </c>
      <c r="AJ19" s="373"/>
      <c r="AK19" s="377">
        <f t="shared" si="8"/>
        <v>0</v>
      </c>
      <c r="AL19" s="373"/>
      <c r="AM19" s="377">
        <f t="shared" si="9"/>
        <v>0</v>
      </c>
      <c r="AN19" s="373"/>
      <c r="AO19" s="377">
        <f t="shared" si="10"/>
        <v>0</v>
      </c>
      <c r="AP19" s="373"/>
      <c r="AQ19" s="377">
        <f t="shared" si="11"/>
        <v>0</v>
      </c>
      <c r="AR19" s="373"/>
      <c r="AS19" s="377">
        <f t="shared" si="12"/>
        <v>0</v>
      </c>
      <c r="AT19" s="373"/>
      <c r="AU19" s="377">
        <f t="shared" si="13"/>
        <v>0</v>
      </c>
      <c r="AV19" s="373"/>
      <c r="AW19" s="377">
        <f t="shared" si="14"/>
        <v>0</v>
      </c>
      <c r="AX19" s="373"/>
      <c r="AY19" s="377">
        <f t="shared" si="3"/>
        <v>0</v>
      </c>
      <c r="AZ19" s="373"/>
      <c r="BA19" s="377">
        <f t="shared" si="15"/>
        <v>0</v>
      </c>
      <c r="BB19" s="373"/>
      <c r="BC19" s="377">
        <f t="shared" si="16"/>
        <v>0</v>
      </c>
      <c r="BD19" s="373"/>
      <c r="BE19" s="377">
        <f t="shared" si="17"/>
        <v>0</v>
      </c>
      <c r="BF19" s="373"/>
      <c r="BG19" s="377">
        <f t="shared" si="18"/>
        <v>0</v>
      </c>
      <c r="BH19" s="373"/>
      <c r="BI19" s="377">
        <f t="shared" si="19"/>
        <v>0</v>
      </c>
      <c r="BJ19" s="373"/>
      <c r="BK19" s="373"/>
      <c r="BL19" s="373"/>
      <c r="BN19" s="373"/>
      <c r="BO19" s="373"/>
      <c r="BP19" s="373"/>
      <c r="BQ19" s="373"/>
      <c r="BR19" s="156">
        <f>BN19+BO19+BP19+BQ19</f>
        <v>0</v>
      </c>
      <c r="BS19" s="373"/>
      <c r="BT19" s="373"/>
      <c r="BU19" s="373">
        <f>BS19+BT19</f>
        <v>0</v>
      </c>
      <c r="BV19" s="156">
        <f t="shared" si="2"/>
        <v>0</v>
      </c>
    </row>
    <row r="20" spans="1:74" ht="31.5" x14ac:dyDescent="0.25">
      <c r="A20" s="1041"/>
      <c r="B20" s="38"/>
      <c r="C20" s="38" t="s">
        <v>380</v>
      </c>
      <c r="D20" s="38" t="s">
        <v>208</v>
      </c>
      <c r="E20" s="365">
        <f>0.05*100000</f>
        <v>5000</v>
      </c>
      <c r="F20" s="38">
        <f>BJ20</f>
        <v>12</v>
      </c>
      <c r="G20" s="156">
        <f>E20*F20</f>
        <v>60000</v>
      </c>
      <c r="H20" s="156">
        <f>G20*0.2</f>
        <v>12000</v>
      </c>
      <c r="I20" s="156">
        <f>G20*0.8</f>
        <v>48000</v>
      </c>
      <c r="J20" s="156">
        <f>G20*0</f>
        <v>0</v>
      </c>
      <c r="K20" s="156">
        <f>G20*0</f>
        <v>0</v>
      </c>
      <c r="L20" s="156">
        <f>G20*0</f>
        <v>0</v>
      </c>
      <c r="M20" s="156">
        <f>G20*0</f>
        <v>0</v>
      </c>
      <c r="N20" s="156">
        <f>G20*0</f>
        <v>0</v>
      </c>
      <c r="O20" s="156">
        <f>G20*0</f>
        <v>0</v>
      </c>
      <c r="P20" s="156">
        <f>G20*0</f>
        <v>0</v>
      </c>
      <c r="Q20" s="156">
        <f>G20*0</f>
        <v>0</v>
      </c>
      <c r="R20" s="216">
        <v>0</v>
      </c>
      <c r="S20" s="216">
        <v>0</v>
      </c>
      <c r="T20" s="216">
        <v>0</v>
      </c>
      <c r="U20" s="216">
        <v>12</v>
      </c>
      <c r="V20" s="156">
        <f>R20*E20</f>
        <v>0</v>
      </c>
      <c r="W20" s="156">
        <f>S20*E20</f>
        <v>0</v>
      </c>
      <c r="X20" s="156">
        <f>T20*E20</f>
        <v>0</v>
      </c>
      <c r="Y20" s="156">
        <f>U20*E20</f>
        <v>60000</v>
      </c>
      <c r="Z20" s="373">
        <v>1</v>
      </c>
      <c r="AA20" s="377">
        <f>Z20*E20</f>
        <v>5000</v>
      </c>
      <c r="AB20" s="373">
        <v>0</v>
      </c>
      <c r="AC20" s="377">
        <f t="shared" si="4"/>
        <v>0</v>
      </c>
      <c r="AD20" s="373">
        <v>0</v>
      </c>
      <c r="AE20" s="377">
        <f t="shared" si="5"/>
        <v>0</v>
      </c>
      <c r="AF20" s="373">
        <v>2</v>
      </c>
      <c r="AG20" s="377">
        <f t="shared" si="6"/>
        <v>10000</v>
      </c>
      <c r="AH20" s="373">
        <v>0</v>
      </c>
      <c r="AI20" s="377">
        <f t="shared" si="7"/>
        <v>0</v>
      </c>
      <c r="AJ20" s="373">
        <v>4</v>
      </c>
      <c r="AK20" s="377">
        <f t="shared" si="8"/>
        <v>20000</v>
      </c>
      <c r="AL20" s="373">
        <v>0</v>
      </c>
      <c r="AM20" s="377">
        <f t="shared" si="9"/>
        <v>0</v>
      </c>
      <c r="AN20" s="373">
        <v>0</v>
      </c>
      <c r="AO20" s="377">
        <f t="shared" si="10"/>
        <v>0</v>
      </c>
      <c r="AP20" s="373">
        <v>0</v>
      </c>
      <c r="AQ20" s="377">
        <f t="shared" si="11"/>
        <v>0</v>
      </c>
      <c r="AR20" s="373">
        <v>0</v>
      </c>
      <c r="AS20" s="377">
        <f t="shared" si="12"/>
        <v>0</v>
      </c>
      <c r="AT20" s="373">
        <v>0</v>
      </c>
      <c r="AU20" s="377">
        <f t="shared" si="13"/>
        <v>0</v>
      </c>
      <c r="AV20" s="373">
        <v>0</v>
      </c>
      <c r="AW20" s="377">
        <f t="shared" si="14"/>
        <v>0</v>
      </c>
      <c r="AX20" s="373">
        <v>0</v>
      </c>
      <c r="AY20" s="377">
        <f t="shared" si="3"/>
        <v>0</v>
      </c>
      <c r="AZ20" s="373">
        <v>5</v>
      </c>
      <c r="BA20" s="377">
        <f t="shared" si="15"/>
        <v>25000</v>
      </c>
      <c r="BB20" s="373">
        <v>0</v>
      </c>
      <c r="BC20" s="377">
        <f t="shared" si="16"/>
        <v>0</v>
      </c>
      <c r="BD20" s="373">
        <v>0</v>
      </c>
      <c r="BE20" s="377">
        <f t="shared" si="17"/>
        <v>0</v>
      </c>
      <c r="BF20" s="373">
        <v>0</v>
      </c>
      <c r="BG20" s="377">
        <f t="shared" si="18"/>
        <v>0</v>
      </c>
      <c r="BH20" s="373">
        <v>0</v>
      </c>
      <c r="BI20" s="377">
        <f t="shared" si="19"/>
        <v>0</v>
      </c>
      <c r="BJ20" s="47">
        <f t="shared" ref="BJ20:BK22" si="25">Z20+AB20+AD20+AF20+AH20+AJ20+AL20+AN20+AP20+AR20+AT20+AV20+AX20+AZ20+BB20+BD20+BF20+BH20</f>
        <v>12</v>
      </c>
      <c r="BK20" s="85">
        <f t="shared" si="25"/>
        <v>60000</v>
      </c>
      <c r="BL20" s="295" t="s">
        <v>467</v>
      </c>
      <c r="BN20" s="373"/>
      <c r="BO20" s="156">
        <f>G20</f>
        <v>60000</v>
      </c>
      <c r="BP20" s="373"/>
      <c r="BQ20" s="373"/>
      <c r="BR20" s="156">
        <f>BN20+BO20+BP20+BQ20</f>
        <v>60000</v>
      </c>
      <c r="BS20" s="373"/>
      <c r="BT20" s="373"/>
      <c r="BU20" s="373">
        <f>BS20+BT20</f>
        <v>0</v>
      </c>
      <c r="BV20" s="156">
        <f t="shared" si="2"/>
        <v>60000</v>
      </c>
    </row>
    <row r="21" spans="1:74" ht="31.5" x14ac:dyDescent="0.25">
      <c r="A21" s="1041"/>
      <c r="B21" s="38"/>
      <c r="C21" s="38" t="s">
        <v>381</v>
      </c>
      <c r="D21" s="38" t="s">
        <v>208</v>
      </c>
      <c r="E21" s="693">
        <v>10000</v>
      </c>
      <c r="F21" s="38">
        <f>BJ21</f>
        <v>17</v>
      </c>
      <c r="G21" s="156">
        <f>E21*F21</f>
        <v>170000</v>
      </c>
      <c r="H21" s="156">
        <f>G21*0.2</f>
        <v>34000</v>
      </c>
      <c r="I21" s="156">
        <f>G21*0.8</f>
        <v>136000</v>
      </c>
      <c r="J21" s="156">
        <f>G21*0</f>
        <v>0</v>
      </c>
      <c r="K21" s="156">
        <f>G21*0</f>
        <v>0</v>
      </c>
      <c r="L21" s="156">
        <f>G21*0</f>
        <v>0</v>
      </c>
      <c r="M21" s="156">
        <f>G21*0</f>
        <v>0</v>
      </c>
      <c r="N21" s="156">
        <f>G21*0</f>
        <v>0</v>
      </c>
      <c r="O21" s="156">
        <f>G21*0</f>
        <v>0</v>
      </c>
      <c r="P21" s="156">
        <f>G21*0</f>
        <v>0</v>
      </c>
      <c r="Q21" s="156">
        <f>G21*0</f>
        <v>0</v>
      </c>
      <c r="R21" s="216">
        <v>0</v>
      </c>
      <c r="S21" s="216">
        <v>0</v>
      </c>
      <c r="T21" s="216">
        <v>0</v>
      </c>
      <c r="U21" s="216">
        <v>17</v>
      </c>
      <c r="V21" s="156">
        <f>R21*E21</f>
        <v>0</v>
      </c>
      <c r="W21" s="156">
        <f>S21*E21</f>
        <v>0</v>
      </c>
      <c r="X21" s="156">
        <f>T21*E21</f>
        <v>0</v>
      </c>
      <c r="Y21" s="156">
        <f>U21*E21</f>
        <v>170000</v>
      </c>
      <c r="Z21" s="373">
        <v>1</v>
      </c>
      <c r="AA21" s="377">
        <f>Z21*E21</f>
        <v>10000</v>
      </c>
      <c r="AB21" s="373">
        <v>1</v>
      </c>
      <c r="AC21" s="377">
        <f t="shared" si="4"/>
        <v>10000</v>
      </c>
      <c r="AD21" s="373">
        <v>1</v>
      </c>
      <c r="AE21" s="377">
        <f t="shared" si="5"/>
        <v>10000</v>
      </c>
      <c r="AF21" s="373">
        <v>1</v>
      </c>
      <c r="AG21" s="377">
        <f t="shared" si="6"/>
        <v>10000</v>
      </c>
      <c r="AH21" s="373">
        <v>1</v>
      </c>
      <c r="AI21" s="377">
        <f t="shared" si="7"/>
        <v>10000</v>
      </c>
      <c r="AJ21" s="373">
        <v>1</v>
      </c>
      <c r="AK21" s="377">
        <f t="shared" si="8"/>
        <v>10000</v>
      </c>
      <c r="AL21" s="373">
        <v>1</v>
      </c>
      <c r="AM21" s="377">
        <f t="shared" si="9"/>
        <v>10000</v>
      </c>
      <c r="AN21" s="373">
        <v>1</v>
      </c>
      <c r="AO21" s="377">
        <f t="shared" si="10"/>
        <v>10000</v>
      </c>
      <c r="AP21" s="373">
        <v>1</v>
      </c>
      <c r="AQ21" s="377">
        <f t="shared" si="11"/>
        <v>10000</v>
      </c>
      <c r="AR21" s="373">
        <v>1</v>
      </c>
      <c r="AS21" s="377">
        <f t="shared" si="12"/>
        <v>10000</v>
      </c>
      <c r="AT21" s="373">
        <v>1</v>
      </c>
      <c r="AU21" s="377">
        <f t="shared" si="13"/>
        <v>10000</v>
      </c>
      <c r="AV21" s="373">
        <v>1</v>
      </c>
      <c r="AW21" s="377">
        <f t="shared" si="14"/>
        <v>10000</v>
      </c>
      <c r="AX21" s="373">
        <v>1</v>
      </c>
      <c r="AY21" s="377">
        <f t="shared" si="3"/>
        <v>10000</v>
      </c>
      <c r="AZ21" s="373">
        <v>1</v>
      </c>
      <c r="BA21" s="377">
        <f t="shared" si="15"/>
        <v>10000</v>
      </c>
      <c r="BB21" s="373">
        <v>1</v>
      </c>
      <c r="BC21" s="377">
        <f t="shared" si="16"/>
        <v>10000</v>
      </c>
      <c r="BD21" s="373">
        <v>1</v>
      </c>
      <c r="BE21" s="377">
        <f t="shared" si="17"/>
        <v>10000</v>
      </c>
      <c r="BF21" s="373">
        <v>1</v>
      </c>
      <c r="BG21" s="377">
        <f t="shared" si="18"/>
        <v>10000</v>
      </c>
      <c r="BH21" s="373">
        <v>0</v>
      </c>
      <c r="BI21" s="377">
        <f t="shared" si="19"/>
        <v>0</v>
      </c>
      <c r="BJ21" s="47">
        <f t="shared" si="25"/>
        <v>17</v>
      </c>
      <c r="BK21" s="85">
        <f t="shared" si="25"/>
        <v>170000</v>
      </c>
      <c r="BL21" s="295" t="s">
        <v>467</v>
      </c>
      <c r="BN21" s="373"/>
      <c r="BO21" s="156">
        <f>G21</f>
        <v>170000</v>
      </c>
      <c r="BP21" s="373"/>
      <c r="BQ21" s="373"/>
      <c r="BR21" s="156">
        <f>BN21+BO21+BP21+BQ21</f>
        <v>170000</v>
      </c>
      <c r="BS21" s="373"/>
      <c r="BT21" s="373"/>
      <c r="BU21" s="373">
        <f>BS21+BT21</f>
        <v>0</v>
      </c>
      <c r="BV21" s="156">
        <f t="shared" si="2"/>
        <v>170000</v>
      </c>
    </row>
    <row r="22" spans="1:74" s="273" customFormat="1" ht="31.5" x14ac:dyDescent="0.25">
      <c r="A22" s="1041"/>
      <c r="B22" s="169"/>
      <c r="C22" s="169" t="s">
        <v>382</v>
      </c>
      <c r="D22" s="169" t="s">
        <v>208</v>
      </c>
      <c r="E22" s="178">
        <f>0.5*100000</f>
        <v>50000</v>
      </c>
      <c r="F22" s="38">
        <f>BJ22</f>
        <v>2</v>
      </c>
      <c r="G22" s="174">
        <f>E22*F22</f>
        <v>100000</v>
      </c>
      <c r="H22" s="156">
        <f>G22*0.2</f>
        <v>20000</v>
      </c>
      <c r="I22" s="174">
        <f>G22*0.8</f>
        <v>80000</v>
      </c>
      <c r="J22" s="174">
        <f>G22*0</f>
        <v>0</v>
      </c>
      <c r="K22" s="156">
        <f>G22*0</f>
        <v>0</v>
      </c>
      <c r="L22" s="174">
        <f>G22*0</f>
        <v>0</v>
      </c>
      <c r="M22" s="174">
        <f>G22*0</f>
        <v>0</v>
      </c>
      <c r="N22" s="174">
        <f>G22*0</f>
        <v>0</v>
      </c>
      <c r="O22" s="174">
        <f>G22*0</f>
        <v>0</v>
      </c>
      <c r="P22" s="174">
        <f>G22*0</f>
        <v>0</v>
      </c>
      <c r="Q22" s="174">
        <f>G22*0</f>
        <v>0</v>
      </c>
      <c r="R22" s="175">
        <v>0</v>
      </c>
      <c r="S22" s="175">
        <v>0</v>
      </c>
      <c r="T22" s="175">
        <v>0</v>
      </c>
      <c r="U22" s="175">
        <v>2</v>
      </c>
      <c r="V22" s="156">
        <f>R22*E22</f>
        <v>0</v>
      </c>
      <c r="W22" s="156">
        <f>S22*E22</f>
        <v>0</v>
      </c>
      <c r="X22" s="156">
        <f>T22*E22</f>
        <v>0</v>
      </c>
      <c r="Y22" s="156">
        <f>U22*E22</f>
        <v>100000</v>
      </c>
      <c r="Z22" s="414">
        <v>0</v>
      </c>
      <c r="AA22" s="377">
        <f>Z22*E22</f>
        <v>0</v>
      </c>
      <c r="AB22" s="414">
        <v>0</v>
      </c>
      <c r="AC22" s="377">
        <f t="shared" si="4"/>
        <v>0</v>
      </c>
      <c r="AD22" s="414">
        <v>0</v>
      </c>
      <c r="AE22" s="377">
        <f t="shared" si="5"/>
        <v>0</v>
      </c>
      <c r="AF22" s="414">
        <v>0</v>
      </c>
      <c r="AG22" s="377">
        <f t="shared" si="6"/>
        <v>0</v>
      </c>
      <c r="AH22" s="414">
        <v>0</v>
      </c>
      <c r="AI22" s="377">
        <f t="shared" si="7"/>
        <v>0</v>
      </c>
      <c r="AJ22" s="414">
        <v>0</v>
      </c>
      <c r="AK22" s="377">
        <f t="shared" si="8"/>
        <v>0</v>
      </c>
      <c r="AL22" s="414">
        <v>0</v>
      </c>
      <c r="AM22" s="377">
        <f t="shared" si="9"/>
        <v>0</v>
      </c>
      <c r="AN22" s="414">
        <v>0</v>
      </c>
      <c r="AO22" s="377">
        <f t="shared" si="10"/>
        <v>0</v>
      </c>
      <c r="AP22" s="414">
        <v>0</v>
      </c>
      <c r="AQ22" s="377">
        <f t="shared" si="11"/>
        <v>0</v>
      </c>
      <c r="AR22" s="414">
        <v>0</v>
      </c>
      <c r="AS22" s="377">
        <f t="shared" si="12"/>
        <v>0</v>
      </c>
      <c r="AT22" s="414">
        <v>0</v>
      </c>
      <c r="AU22" s="377">
        <f t="shared" si="13"/>
        <v>0</v>
      </c>
      <c r="AV22" s="414">
        <v>0</v>
      </c>
      <c r="AW22" s="377">
        <f t="shared" si="14"/>
        <v>0</v>
      </c>
      <c r="AX22" s="414">
        <v>0</v>
      </c>
      <c r="AY22" s="377">
        <f t="shared" si="3"/>
        <v>0</v>
      </c>
      <c r="AZ22" s="414">
        <v>0</v>
      </c>
      <c r="BA22" s="377">
        <f t="shared" si="15"/>
        <v>0</v>
      </c>
      <c r="BB22" s="414">
        <v>0</v>
      </c>
      <c r="BC22" s="377">
        <f t="shared" si="16"/>
        <v>0</v>
      </c>
      <c r="BD22" s="414">
        <v>0</v>
      </c>
      <c r="BE22" s="377">
        <f t="shared" si="17"/>
        <v>0</v>
      </c>
      <c r="BF22" s="414">
        <v>0</v>
      </c>
      <c r="BG22" s="377">
        <f t="shared" si="18"/>
        <v>0</v>
      </c>
      <c r="BH22" s="414">
        <v>2</v>
      </c>
      <c r="BI22" s="377">
        <f t="shared" si="19"/>
        <v>100000</v>
      </c>
      <c r="BJ22" s="135">
        <f t="shared" si="25"/>
        <v>2</v>
      </c>
      <c r="BK22" s="133">
        <f t="shared" si="25"/>
        <v>100000</v>
      </c>
      <c r="BL22" s="295" t="s">
        <v>467</v>
      </c>
      <c r="BN22" s="415"/>
      <c r="BO22" s="174">
        <f>G22</f>
        <v>100000</v>
      </c>
      <c r="BP22" s="415"/>
      <c r="BQ22" s="415"/>
      <c r="BR22" s="174">
        <f>BN22+BO22+BP22+BQ22</f>
        <v>100000</v>
      </c>
      <c r="BS22" s="415"/>
      <c r="BT22" s="415"/>
      <c r="BU22" s="414">
        <f>BS22+BT22</f>
        <v>0</v>
      </c>
      <c r="BV22" s="174">
        <f t="shared" si="2"/>
        <v>100000</v>
      </c>
    </row>
    <row r="23" spans="1:74" s="269" customFormat="1" x14ac:dyDescent="0.25">
      <c r="A23" s="1041"/>
      <c r="B23" s="367"/>
      <c r="C23" s="369" t="s">
        <v>383</v>
      </c>
      <c r="D23" s="369" t="s">
        <v>280</v>
      </c>
      <c r="E23" s="369" t="s">
        <v>280</v>
      </c>
      <c r="F23" s="369">
        <f>SUM(F20:F22)</f>
        <v>31</v>
      </c>
      <c r="G23" s="408">
        <f>SUM(G20:G22)</f>
        <v>330000</v>
      </c>
      <c r="H23" s="408">
        <f t="shared" ref="H23:Q23" si="26">SUM(H20:H22)</f>
        <v>66000</v>
      </c>
      <c r="I23" s="408">
        <f t="shared" si="26"/>
        <v>264000</v>
      </c>
      <c r="J23" s="408">
        <f t="shared" si="26"/>
        <v>0</v>
      </c>
      <c r="K23" s="408">
        <f t="shared" si="26"/>
        <v>0</v>
      </c>
      <c r="L23" s="408">
        <f t="shared" si="26"/>
        <v>0</v>
      </c>
      <c r="M23" s="408">
        <f t="shared" si="26"/>
        <v>0</v>
      </c>
      <c r="N23" s="408">
        <f t="shared" si="26"/>
        <v>0</v>
      </c>
      <c r="O23" s="408">
        <f t="shared" si="26"/>
        <v>0</v>
      </c>
      <c r="P23" s="408">
        <f t="shared" si="26"/>
        <v>0</v>
      </c>
      <c r="Q23" s="408">
        <f t="shared" si="26"/>
        <v>0</v>
      </c>
      <c r="R23" s="409">
        <f t="shared" ref="R23:BK23" si="27">SUM(R20:R22)</f>
        <v>0</v>
      </c>
      <c r="S23" s="409">
        <f t="shared" si="27"/>
        <v>0</v>
      </c>
      <c r="T23" s="409">
        <f t="shared" si="27"/>
        <v>0</v>
      </c>
      <c r="U23" s="409">
        <f t="shared" si="27"/>
        <v>31</v>
      </c>
      <c r="V23" s="408">
        <f t="shared" si="27"/>
        <v>0</v>
      </c>
      <c r="W23" s="408">
        <f t="shared" si="27"/>
        <v>0</v>
      </c>
      <c r="X23" s="408">
        <f t="shared" si="27"/>
        <v>0</v>
      </c>
      <c r="Y23" s="408">
        <f t="shared" si="27"/>
        <v>330000</v>
      </c>
      <c r="Z23" s="369">
        <f t="shared" si="27"/>
        <v>2</v>
      </c>
      <c r="AA23" s="408">
        <f t="shared" si="27"/>
        <v>15000</v>
      </c>
      <c r="AB23" s="369">
        <f t="shared" si="27"/>
        <v>1</v>
      </c>
      <c r="AC23" s="408">
        <f t="shared" si="27"/>
        <v>10000</v>
      </c>
      <c r="AD23" s="369">
        <f t="shared" si="27"/>
        <v>1</v>
      </c>
      <c r="AE23" s="408">
        <f t="shared" si="27"/>
        <v>10000</v>
      </c>
      <c r="AF23" s="369">
        <f t="shared" si="27"/>
        <v>3</v>
      </c>
      <c r="AG23" s="408">
        <f t="shared" si="27"/>
        <v>20000</v>
      </c>
      <c r="AH23" s="369">
        <f t="shared" si="27"/>
        <v>1</v>
      </c>
      <c r="AI23" s="408">
        <f t="shared" si="27"/>
        <v>10000</v>
      </c>
      <c r="AJ23" s="369">
        <f t="shared" si="27"/>
        <v>5</v>
      </c>
      <c r="AK23" s="408">
        <f t="shared" si="27"/>
        <v>30000</v>
      </c>
      <c r="AL23" s="369">
        <f t="shared" si="27"/>
        <v>1</v>
      </c>
      <c r="AM23" s="408">
        <f t="shared" si="27"/>
        <v>10000</v>
      </c>
      <c r="AN23" s="369">
        <f t="shared" si="27"/>
        <v>1</v>
      </c>
      <c r="AO23" s="408">
        <f t="shared" si="27"/>
        <v>10000</v>
      </c>
      <c r="AP23" s="369">
        <f t="shared" si="27"/>
        <v>1</v>
      </c>
      <c r="AQ23" s="408">
        <f t="shared" si="27"/>
        <v>10000</v>
      </c>
      <c r="AR23" s="369">
        <f t="shared" si="27"/>
        <v>1</v>
      </c>
      <c r="AS23" s="408">
        <f t="shared" si="27"/>
        <v>10000</v>
      </c>
      <c r="AT23" s="369">
        <f t="shared" si="27"/>
        <v>1</v>
      </c>
      <c r="AU23" s="408">
        <f t="shared" si="27"/>
        <v>10000</v>
      </c>
      <c r="AV23" s="369">
        <f t="shared" si="27"/>
        <v>1</v>
      </c>
      <c r="AW23" s="408">
        <f t="shared" si="27"/>
        <v>10000</v>
      </c>
      <c r="AX23" s="369">
        <f t="shared" si="27"/>
        <v>1</v>
      </c>
      <c r="AY23" s="408">
        <f t="shared" si="27"/>
        <v>10000</v>
      </c>
      <c r="AZ23" s="369">
        <f t="shared" si="27"/>
        <v>6</v>
      </c>
      <c r="BA23" s="408">
        <f t="shared" si="27"/>
        <v>35000</v>
      </c>
      <c r="BB23" s="369">
        <f t="shared" si="27"/>
        <v>1</v>
      </c>
      <c r="BC23" s="408">
        <f t="shared" si="27"/>
        <v>10000</v>
      </c>
      <c r="BD23" s="369">
        <f t="shared" si="27"/>
        <v>1</v>
      </c>
      <c r="BE23" s="408">
        <f t="shared" si="27"/>
        <v>10000</v>
      </c>
      <c r="BF23" s="369">
        <f t="shared" si="27"/>
        <v>1</v>
      </c>
      <c r="BG23" s="408">
        <f t="shared" si="27"/>
        <v>10000</v>
      </c>
      <c r="BH23" s="369">
        <f t="shared" si="27"/>
        <v>2</v>
      </c>
      <c r="BI23" s="408">
        <f t="shared" si="27"/>
        <v>100000</v>
      </c>
      <c r="BJ23" s="369">
        <f t="shared" si="27"/>
        <v>31</v>
      </c>
      <c r="BK23" s="408">
        <f t="shared" si="27"/>
        <v>330000</v>
      </c>
      <c r="BL23" s="410"/>
      <c r="BN23" s="408">
        <f t="shared" ref="BN23:BU23" si="28">SUM(BN20:BN22)</f>
        <v>0</v>
      </c>
      <c r="BO23" s="408">
        <f t="shared" si="28"/>
        <v>330000</v>
      </c>
      <c r="BP23" s="408">
        <f t="shared" si="28"/>
        <v>0</v>
      </c>
      <c r="BQ23" s="408">
        <f t="shared" si="28"/>
        <v>0</v>
      </c>
      <c r="BR23" s="408">
        <f t="shared" si="28"/>
        <v>330000</v>
      </c>
      <c r="BS23" s="408">
        <f t="shared" si="28"/>
        <v>0</v>
      </c>
      <c r="BT23" s="408">
        <f t="shared" si="28"/>
        <v>0</v>
      </c>
      <c r="BU23" s="408">
        <f t="shared" si="28"/>
        <v>0</v>
      </c>
      <c r="BV23" s="408">
        <f t="shared" si="2"/>
        <v>330000</v>
      </c>
    </row>
    <row r="24" spans="1:74" x14ac:dyDescent="0.25">
      <c r="A24" s="1041"/>
      <c r="B24" s="38">
        <v>43400</v>
      </c>
      <c r="C24" s="38" t="s">
        <v>384</v>
      </c>
      <c r="D24" s="38"/>
      <c r="E24" s="365"/>
      <c r="F24" s="38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52"/>
      <c r="R24" s="417"/>
      <c r="S24" s="417"/>
      <c r="T24" s="417"/>
      <c r="U24" s="417"/>
      <c r="V24" s="156"/>
      <c r="W24" s="156"/>
      <c r="X24" s="156"/>
      <c r="Y24" s="156"/>
      <c r="Z24" s="373"/>
      <c r="AA24" s="373"/>
      <c r="AB24" s="373"/>
      <c r="AC24" s="377">
        <f t="shared" si="4"/>
        <v>0</v>
      </c>
      <c r="AD24" s="373"/>
      <c r="AE24" s="377">
        <f t="shared" si="5"/>
        <v>0</v>
      </c>
      <c r="AF24" s="373"/>
      <c r="AG24" s="377">
        <f t="shared" si="6"/>
        <v>0</v>
      </c>
      <c r="AH24" s="373"/>
      <c r="AI24" s="377">
        <f t="shared" si="7"/>
        <v>0</v>
      </c>
      <c r="AJ24" s="373"/>
      <c r="AK24" s="377">
        <f t="shared" si="8"/>
        <v>0</v>
      </c>
      <c r="AL24" s="373"/>
      <c r="AM24" s="377">
        <f t="shared" si="9"/>
        <v>0</v>
      </c>
      <c r="AN24" s="373"/>
      <c r="AO24" s="377">
        <f t="shared" si="10"/>
        <v>0</v>
      </c>
      <c r="AP24" s="373"/>
      <c r="AQ24" s="377">
        <f t="shared" si="11"/>
        <v>0</v>
      </c>
      <c r="AR24" s="373"/>
      <c r="AS24" s="377">
        <f t="shared" si="12"/>
        <v>0</v>
      </c>
      <c r="AT24" s="373"/>
      <c r="AU24" s="377">
        <f t="shared" si="13"/>
        <v>0</v>
      </c>
      <c r="AV24" s="373"/>
      <c r="AW24" s="377">
        <f t="shared" si="14"/>
        <v>0</v>
      </c>
      <c r="AX24" s="373"/>
      <c r="AY24" s="377">
        <f t="shared" si="3"/>
        <v>0</v>
      </c>
      <c r="AZ24" s="373"/>
      <c r="BA24" s="377">
        <f t="shared" si="15"/>
        <v>0</v>
      </c>
      <c r="BB24" s="373"/>
      <c r="BC24" s="377">
        <f t="shared" si="16"/>
        <v>0</v>
      </c>
      <c r="BD24" s="373"/>
      <c r="BE24" s="377">
        <f t="shared" si="17"/>
        <v>0</v>
      </c>
      <c r="BF24" s="373"/>
      <c r="BG24" s="377">
        <f t="shared" si="18"/>
        <v>0</v>
      </c>
      <c r="BH24" s="373"/>
      <c r="BI24" s="377">
        <f t="shared" si="19"/>
        <v>0</v>
      </c>
      <c r="BJ24" s="373"/>
      <c r="BK24" s="373"/>
      <c r="BL24" s="373"/>
      <c r="BN24" s="373"/>
      <c r="BO24" s="373"/>
      <c r="BP24" s="373"/>
      <c r="BQ24" s="373"/>
      <c r="BR24" s="156">
        <f t="shared" ref="BR24:BR32" si="29">BN24+BO24+BP24+BQ24</f>
        <v>0</v>
      </c>
      <c r="BS24" s="373"/>
      <c r="BT24" s="373"/>
      <c r="BU24" s="373">
        <f t="shared" ref="BU24:BU32" si="30">BS24+BT24</f>
        <v>0</v>
      </c>
      <c r="BV24" s="156">
        <f t="shared" si="2"/>
        <v>0</v>
      </c>
    </row>
    <row r="25" spans="1:74" x14ac:dyDescent="0.25">
      <c r="A25" s="1041"/>
      <c r="B25" s="38">
        <v>43410</v>
      </c>
      <c r="C25" s="38" t="s">
        <v>385</v>
      </c>
      <c r="D25" s="38" t="s">
        <v>17</v>
      </c>
      <c r="E25" s="365">
        <f>2.25*100000</f>
        <v>225000</v>
      </c>
      <c r="F25" s="38">
        <f>BJ25</f>
        <v>1</v>
      </c>
      <c r="G25" s="156">
        <f>E25*F25</f>
        <v>225000</v>
      </c>
      <c r="H25" s="156">
        <f>G25*0.2</f>
        <v>45000</v>
      </c>
      <c r="I25" s="156">
        <f>G25*0.8</f>
        <v>180000</v>
      </c>
      <c r="J25" s="156">
        <f>G25*0</f>
        <v>0</v>
      </c>
      <c r="K25" s="156">
        <f>G25*0</f>
        <v>0</v>
      </c>
      <c r="L25" s="156">
        <f>G25*0</f>
        <v>0</v>
      </c>
      <c r="M25" s="156">
        <f>G25*0</f>
        <v>0</v>
      </c>
      <c r="N25" s="156">
        <f>G25*0</f>
        <v>0</v>
      </c>
      <c r="O25" s="156">
        <f>G25*0</f>
        <v>0</v>
      </c>
      <c r="P25" s="156">
        <f>G25*0</f>
        <v>0</v>
      </c>
      <c r="Q25" s="156">
        <f>G25*0</f>
        <v>0</v>
      </c>
      <c r="R25" s="216">
        <v>0</v>
      </c>
      <c r="S25" s="216">
        <v>0</v>
      </c>
      <c r="T25" s="216">
        <v>1</v>
      </c>
      <c r="U25" s="216">
        <v>0</v>
      </c>
      <c r="V25" s="156">
        <f>R25*E25</f>
        <v>0</v>
      </c>
      <c r="W25" s="156">
        <f>S25*E25</f>
        <v>0</v>
      </c>
      <c r="X25" s="156">
        <f>T25*E25</f>
        <v>225000</v>
      </c>
      <c r="Y25" s="156">
        <f>U25*E25</f>
        <v>0</v>
      </c>
      <c r="Z25" s="373">
        <v>0</v>
      </c>
      <c r="AA25" s="377">
        <f>Z25*E25</f>
        <v>0</v>
      </c>
      <c r="AB25" s="373">
        <v>0</v>
      </c>
      <c r="AC25" s="377">
        <f t="shared" si="4"/>
        <v>0</v>
      </c>
      <c r="AD25" s="373">
        <v>0</v>
      </c>
      <c r="AE25" s="377">
        <f t="shared" si="5"/>
        <v>0</v>
      </c>
      <c r="AF25" s="373">
        <v>0</v>
      </c>
      <c r="AG25" s="377">
        <f t="shared" si="6"/>
        <v>0</v>
      </c>
      <c r="AH25" s="373">
        <v>0</v>
      </c>
      <c r="AI25" s="377">
        <f t="shared" si="7"/>
        <v>0</v>
      </c>
      <c r="AJ25" s="373">
        <v>0</v>
      </c>
      <c r="AK25" s="377">
        <f t="shared" si="8"/>
        <v>0</v>
      </c>
      <c r="AL25" s="373">
        <v>0</v>
      </c>
      <c r="AM25" s="377">
        <f t="shared" si="9"/>
        <v>0</v>
      </c>
      <c r="AN25" s="373">
        <v>0</v>
      </c>
      <c r="AO25" s="377">
        <f t="shared" si="10"/>
        <v>0</v>
      </c>
      <c r="AP25" s="373">
        <v>0</v>
      </c>
      <c r="AQ25" s="377">
        <f t="shared" si="11"/>
        <v>0</v>
      </c>
      <c r="AR25" s="373">
        <v>0</v>
      </c>
      <c r="AS25" s="377">
        <f t="shared" si="12"/>
        <v>0</v>
      </c>
      <c r="AT25" s="373">
        <v>0</v>
      </c>
      <c r="AU25" s="377">
        <f t="shared" si="13"/>
        <v>0</v>
      </c>
      <c r="AV25" s="373">
        <v>0</v>
      </c>
      <c r="AW25" s="377">
        <f t="shared" si="14"/>
        <v>0</v>
      </c>
      <c r="AX25" s="373">
        <v>0</v>
      </c>
      <c r="AY25" s="377">
        <f t="shared" si="3"/>
        <v>0</v>
      </c>
      <c r="AZ25" s="373">
        <v>0</v>
      </c>
      <c r="BA25" s="377">
        <f t="shared" si="15"/>
        <v>0</v>
      </c>
      <c r="BB25" s="373">
        <v>0</v>
      </c>
      <c r="BC25" s="377">
        <f t="shared" si="16"/>
        <v>0</v>
      </c>
      <c r="BD25" s="373">
        <v>0</v>
      </c>
      <c r="BE25" s="377">
        <f t="shared" si="17"/>
        <v>0</v>
      </c>
      <c r="BF25" s="373">
        <v>0</v>
      </c>
      <c r="BG25" s="377">
        <f t="shared" si="18"/>
        <v>0</v>
      </c>
      <c r="BH25" s="373">
        <v>1</v>
      </c>
      <c r="BI25" s="377">
        <f t="shared" si="19"/>
        <v>225000</v>
      </c>
      <c r="BJ25" s="47">
        <f>Z25+AB25+AD25+AF25+AH25+AJ25+AL25+AN25+AP25+AR25+AT25+AV25+AX25+AZ25+BB25+BD25+BF25+BH25</f>
        <v>1</v>
      </c>
      <c r="BK25" s="85">
        <f>AA25+AC25+AE25+AG25+AI25+AK25+AM25+AO25+AQ25+AS25+AU25+AW25+AY25+BA25+BC25+BE25+BG25+BI25</f>
        <v>225000</v>
      </c>
      <c r="BL25" s="295" t="s">
        <v>467</v>
      </c>
      <c r="BN25" s="373"/>
      <c r="BO25" s="174">
        <f>G25</f>
        <v>225000</v>
      </c>
      <c r="BP25" s="373"/>
      <c r="BQ25" s="373"/>
      <c r="BR25" s="156">
        <f t="shared" si="29"/>
        <v>225000</v>
      </c>
      <c r="BS25" s="373"/>
      <c r="BT25" s="373"/>
      <c r="BU25" s="373">
        <f t="shared" si="30"/>
        <v>0</v>
      </c>
      <c r="BV25" s="156">
        <f t="shared" si="2"/>
        <v>225000</v>
      </c>
    </row>
    <row r="26" spans="1:74" x14ac:dyDescent="0.25">
      <c r="A26" s="1041"/>
      <c r="B26" s="38">
        <v>43420</v>
      </c>
      <c r="C26" s="38" t="s">
        <v>386</v>
      </c>
      <c r="D26" s="38" t="s">
        <v>17</v>
      </c>
      <c r="E26" s="365">
        <f>3.25*100000</f>
        <v>325000</v>
      </c>
      <c r="F26" s="38">
        <f>BJ26</f>
        <v>0</v>
      </c>
      <c r="G26" s="156">
        <f>E26*F26</f>
        <v>0</v>
      </c>
      <c r="H26" s="156">
        <f>G26*0.2</f>
        <v>0</v>
      </c>
      <c r="I26" s="156">
        <f>G26*0.8</f>
        <v>0</v>
      </c>
      <c r="J26" s="156">
        <f>G26*0</f>
        <v>0</v>
      </c>
      <c r="K26" s="156">
        <f>G26*0</f>
        <v>0</v>
      </c>
      <c r="L26" s="156">
        <f>G26*0</f>
        <v>0</v>
      </c>
      <c r="M26" s="156">
        <f>G26*0</f>
        <v>0</v>
      </c>
      <c r="N26" s="156">
        <f>G26*0</f>
        <v>0</v>
      </c>
      <c r="O26" s="156">
        <f>G26*0</f>
        <v>0</v>
      </c>
      <c r="P26" s="156">
        <f>G26*0</f>
        <v>0</v>
      </c>
      <c r="Q26" s="156">
        <f>G26*0</f>
        <v>0</v>
      </c>
      <c r="R26" s="216">
        <v>0</v>
      </c>
      <c r="S26" s="216">
        <v>0</v>
      </c>
      <c r="T26" s="216">
        <v>0</v>
      </c>
      <c r="U26" s="216">
        <v>0</v>
      </c>
      <c r="V26" s="156">
        <f>R26*E26</f>
        <v>0</v>
      </c>
      <c r="W26" s="156">
        <f>S26*E26</f>
        <v>0</v>
      </c>
      <c r="X26" s="156">
        <f>T26*E26</f>
        <v>0</v>
      </c>
      <c r="Y26" s="156">
        <f>U26*E26</f>
        <v>0</v>
      </c>
      <c r="Z26" s="373">
        <v>0</v>
      </c>
      <c r="AA26" s="377">
        <f>Z26*E26</f>
        <v>0</v>
      </c>
      <c r="AB26" s="373">
        <v>0</v>
      </c>
      <c r="AC26" s="377">
        <f t="shared" si="4"/>
        <v>0</v>
      </c>
      <c r="AD26" s="373">
        <v>0</v>
      </c>
      <c r="AE26" s="377">
        <f t="shared" si="5"/>
        <v>0</v>
      </c>
      <c r="AF26" s="373">
        <v>0</v>
      </c>
      <c r="AG26" s="377">
        <f t="shared" si="6"/>
        <v>0</v>
      </c>
      <c r="AH26" s="373">
        <v>0</v>
      </c>
      <c r="AI26" s="377">
        <f t="shared" si="7"/>
        <v>0</v>
      </c>
      <c r="AJ26" s="373">
        <v>0</v>
      </c>
      <c r="AK26" s="377">
        <f t="shared" si="8"/>
        <v>0</v>
      </c>
      <c r="AL26" s="373">
        <v>0</v>
      </c>
      <c r="AM26" s="377">
        <f t="shared" si="9"/>
        <v>0</v>
      </c>
      <c r="AN26" s="373">
        <v>0</v>
      </c>
      <c r="AO26" s="377">
        <f t="shared" si="10"/>
        <v>0</v>
      </c>
      <c r="AP26" s="373">
        <v>0</v>
      </c>
      <c r="AQ26" s="377">
        <f t="shared" si="11"/>
        <v>0</v>
      </c>
      <c r="AR26" s="373">
        <v>0</v>
      </c>
      <c r="AS26" s="377">
        <f t="shared" si="12"/>
        <v>0</v>
      </c>
      <c r="AT26" s="373">
        <v>0</v>
      </c>
      <c r="AU26" s="377">
        <f t="shared" si="13"/>
        <v>0</v>
      </c>
      <c r="AV26" s="373">
        <v>0</v>
      </c>
      <c r="AW26" s="377">
        <f t="shared" si="14"/>
        <v>0</v>
      </c>
      <c r="AX26" s="373">
        <v>0</v>
      </c>
      <c r="AY26" s="377">
        <f>AX26*E26</f>
        <v>0</v>
      </c>
      <c r="AZ26" s="373">
        <v>0</v>
      </c>
      <c r="BA26" s="377">
        <f t="shared" si="15"/>
        <v>0</v>
      </c>
      <c r="BB26" s="373">
        <v>0</v>
      </c>
      <c r="BC26" s="377">
        <f t="shared" si="16"/>
        <v>0</v>
      </c>
      <c r="BD26" s="373">
        <v>0</v>
      </c>
      <c r="BE26" s="377">
        <f t="shared" si="17"/>
        <v>0</v>
      </c>
      <c r="BF26" s="373">
        <v>0</v>
      </c>
      <c r="BG26" s="377">
        <f t="shared" si="18"/>
        <v>0</v>
      </c>
      <c r="BH26" s="373">
        <v>0</v>
      </c>
      <c r="BI26" s="377">
        <f t="shared" si="19"/>
        <v>0</v>
      </c>
      <c r="BJ26" s="47">
        <f>Z26+AB26+AD26+AF26+AH26+AJ26+AL26+AN26+AP26+AR26+AT26+AV26+AX26+AZ26+BB26+BD26+BF26+BH26</f>
        <v>0</v>
      </c>
      <c r="BK26" s="85">
        <f>AA26+AC26+AE26+AG26+AI26+AK26+AM26+AO26+AQ26+AS26+AU26+AW26+AY26+BA26+BC26+BE26+BG26+BI26</f>
        <v>0</v>
      </c>
      <c r="BL26" s="295" t="s">
        <v>467</v>
      </c>
      <c r="BN26" s="373"/>
      <c r="BO26" s="174">
        <f>G26</f>
        <v>0</v>
      </c>
      <c r="BP26" s="373"/>
      <c r="BQ26" s="373"/>
      <c r="BR26" s="156">
        <f t="shared" si="29"/>
        <v>0</v>
      </c>
      <c r="BS26" s="373"/>
      <c r="BT26" s="373"/>
      <c r="BU26" s="373">
        <f t="shared" si="30"/>
        <v>0</v>
      </c>
      <c r="BV26" s="156">
        <f t="shared" si="2"/>
        <v>0</v>
      </c>
    </row>
    <row r="27" spans="1:74" s="269" customFormat="1" x14ac:dyDescent="0.25">
      <c r="A27" s="1041"/>
      <c r="B27" s="367"/>
      <c r="C27" s="369" t="s">
        <v>387</v>
      </c>
      <c r="D27" s="369" t="s">
        <v>280</v>
      </c>
      <c r="E27" s="369" t="s">
        <v>280</v>
      </c>
      <c r="F27" s="369">
        <f>SUM(F25:F26)</f>
        <v>1</v>
      </c>
      <c r="G27" s="408">
        <f>SUM(G25:G26)</f>
        <v>225000</v>
      </c>
      <c r="H27" s="408">
        <f t="shared" ref="H27:Q27" si="31">SUM(H25:H26)</f>
        <v>45000</v>
      </c>
      <c r="I27" s="408">
        <f t="shared" si="31"/>
        <v>180000</v>
      </c>
      <c r="J27" s="408">
        <f t="shared" si="31"/>
        <v>0</v>
      </c>
      <c r="K27" s="408">
        <f t="shared" si="31"/>
        <v>0</v>
      </c>
      <c r="L27" s="408">
        <f t="shared" si="31"/>
        <v>0</v>
      </c>
      <c r="M27" s="408">
        <f t="shared" si="31"/>
        <v>0</v>
      </c>
      <c r="N27" s="408">
        <f t="shared" si="31"/>
        <v>0</v>
      </c>
      <c r="O27" s="408">
        <f t="shared" si="31"/>
        <v>0</v>
      </c>
      <c r="P27" s="408">
        <f t="shared" si="31"/>
        <v>0</v>
      </c>
      <c r="Q27" s="408">
        <f t="shared" si="31"/>
        <v>0</v>
      </c>
      <c r="R27" s="369">
        <f t="shared" ref="R27:BK27" si="32">SUM(R25:R26)</f>
        <v>0</v>
      </c>
      <c r="S27" s="369">
        <f t="shared" si="32"/>
        <v>0</v>
      </c>
      <c r="T27" s="369">
        <f t="shared" si="32"/>
        <v>1</v>
      </c>
      <c r="U27" s="369">
        <f t="shared" si="32"/>
        <v>0</v>
      </c>
      <c r="V27" s="408">
        <f t="shared" si="32"/>
        <v>0</v>
      </c>
      <c r="W27" s="408">
        <f t="shared" si="32"/>
        <v>0</v>
      </c>
      <c r="X27" s="408">
        <f t="shared" si="32"/>
        <v>225000</v>
      </c>
      <c r="Y27" s="408">
        <f t="shared" si="32"/>
        <v>0</v>
      </c>
      <c r="Z27" s="369">
        <f t="shared" si="32"/>
        <v>0</v>
      </c>
      <c r="AA27" s="408">
        <f t="shared" si="32"/>
        <v>0</v>
      </c>
      <c r="AB27" s="369">
        <f t="shared" si="32"/>
        <v>0</v>
      </c>
      <c r="AC27" s="408">
        <f t="shared" si="32"/>
        <v>0</v>
      </c>
      <c r="AD27" s="369">
        <f t="shared" si="32"/>
        <v>0</v>
      </c>
      <c r="AE27" s="408">
        <f t="shared" si="32"/>
        <v>0</v>
      </c>
      <c r="AF27" s="369">
        <f t="shared" si="32"/>
        <v>0</v>
      </c>
      <c r="AG27" s="408">
        <f t="shared" si="32"/>
        <v>0</v>
      </c>
      <c r="AH27" s="369">
        <f t="shared" si="32"/>
        <v>0</v>
      </c>
      <c r="AI27" s="408">
        <f t="shared" si="32"/>
        <v>0</v>
      </c>
      <c r="AJ27" s="369">
        <f t="shared" si="32"/>
        <v>0</v>
      </c>
      <c r="AK27" s="408">
        <f t="shared" si="32"/>
        <v>0</v>
      </c>
      <c r="AL27" s="369">
        <f t="shared" si="32"/>
        <v>0</v>
      </c>
      <c r="AM27" s="408">
        <f t="shared" si="32"/>
        <v>0</v>
      </c>
      <c r="AN27" s="369">
        <f t="shared" si="32"/>
        <v>0</v>
      </c>
      <c r="AO27" s="408">
        <f t="shared" si="32"/>
        <v>0</v>
      </c>
      <c r="AP27" s="369">
        <f t="shared" si="32"/>
        <v>0</v>
      </c>
      <c r="AQ27" s="408">
        <f t="shared" si="32"/>
        <v>0</v>
      </c>
      <c r="AR27" s="369">
        <f t="shared" si="32"/>
        <v>0</v>
      </c>
      <c r="AS27" s="408">
        <f t="shared" si="32"/>
        <v>0</v>
      </c>
      <c r="AT27" s="369">
        <f t="shared" si="32"/>
        <v>0</v>
      </c>
      <c r="AU27" s="408">
        <f t="shared" si="32"/>
        <v>0</v>
      </c>
      <c r="AV27" s="369">
        <f t="shared" si="32"/>
        <v>0</v>
      </c>
      <c r="AW27" s="408">
        <f t="shared" si="32"/>
        <v>0</v>
      </c>
      <c r="AX27" s="369">
        <f t="shared" si="32"/>
        <v>0</v>
      </c>
      <c r="AY27" s="408">
        <f t="shared" si="32"/>
        <v>0</v>
      </c>
      <c r="AZ27" s="369">
        <f t="shared" si="32"/>
        <v>0</v>
      </c>
      <c r="BA27" s="408">
        <f t="shared" si="32"/>
        <v>0</v>
      </c>
      <c r="BB27" s="369">
        <f t="shared" si="32"/>
        <v>0</v>
      </c>
      <c r="BC27" s="408">
        <f t="shared" si="32"/>
        <v>0</v>
      </c>
      <c r="BD27" s="369">
        <f t="shared" si="32"/>
        <v>0</v>
      </c>
      <c r="BE27" s="408">
        <f t="shared" si="32"/>
        <v>0</v>
      </c>
      <c r="BF27" s="369">
        <f t="shared" si="32"/>
        <v>0</v>
      </c>
      <c r="BG27" s="408">
        <f t="shared" si="32"/>
        <v>0</v>
      </c>
      <c r="BH27" s="369">
        <f t="shared" si="32"/>
        <v>1</v>
      </c>
      <c r="BI27" s="408">
        <f t="shared" si="32"/>
        <v>225000</v>
      </c>
      <c r="BJ27" s="369">
        <f t="shared" si="32"/>
        <v>1</v>
      </c>
      <c r="BK27" s="408">
        <f t="shared" si="32"/>
        <v>225000</v>
      </c>
      <c r="BL27" s="410"/>
      <c r="BN27" s="418"/>
      <c r="BO27" s="408">
        <f>SUM(BO25:BO26)</f>
        <v>225000</v>
      </c>
      <c r="BP27" s="418"/>
      <c r="BQ27" s="418"/>
      <c r="BR27" s="408">
        <f t="shared" si="29"/>
        <v>225000</v>
      </c>
      <c r="BS27" s="418"/>
      <c r="BT27" s="418"/>
      <c r="BU27" s="418">
        <f t="shared" si="30"/>
        <v>0</v>
      </c>
      <c r="BV27" s="408">
        <f t="shared" si="2"/>
        <v>225000</v>
      </c>
    </row>
    <row r="28" spans="1:74" x14ac:dyDescent="0.25">
      <c r="A28" s="1041"/>
      <c r="B28" s="38">
        <v>43500</v>
      </c>
      <c r="C28" s="38" t="s">
        <v>388</v>
      </c>
      <c r="D28" s="38"/>
      <c r="E28" s="365"/>
      <c r="F28" s="38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373"/>
      <c r="R28" s="216"/>
      <c r="S28" s="216" t="s">
        <v>41</v>
      </c>
      <c r="T28" s="216"/>
      <c r="U28" s="216"/>
      <c r="V28" s="156"/>
      <c r="W28" s="156"/>
      <c r="X28" s="156"/>
      <c r="Y28" s="156"/>
      <c r="Z28" s="373"/>
      <c r="AA28" s="373"/>
      <c r="AB28" s="373"/>
      <c r="AC28" s="377">
        <f t="shared" si="4"/>
        <v>0</v>
      </c>
      <c r="AD28" s="373"/>
      <c r="AE28" s="377">
        <f t="shared" si="5"/>
        <v>0</v>
      </c>
      <c r="AF28" s="373"/>
      <c r="AG28" s="377">
        <f t="shared" si="6"/>
        <v>0</v>
      </c>
      <c r="AH28" s="373"/>
      <c r="AI28" s="377">
        <f t="shared" si="7"/>
        <v>0</v>
      </c>
      <c r="AJ28" s="373"/>
      <c r="AK28" s="377">
        <f t="shared" si="8"/>
        <v>0</v>
      </c>
      <c r="AL28" s="373"/>
      <c r="AM28" s="377">
        <f t="shared" si="9"/>
        <v>0</v>
      </c>
      <c r="AN28" s="373"/>
      <c r="AO28" s="377">
        <f t="shared" si="10"/>
        <v>0</v>
      </c>
      <c r="AP28" s="373"/>
      <c r="AQ28" s="377">
        <f t="shared" si="11"/>
        <v>0</v>
      </c>
      <c r="AR28" s="373"/>
      <c r="AS28" s="377">
        <f t="shared" si="12"/>
        <v>0</v>
      </c>
      <c r="AT28" s="373"/>
      <c r="AU28" s="377">
        <f t="shared" si="13"/>
        <v>0</v>
      </c>
      <c r="AV28" s="373"/>
      <c r="AW28" s="377">
        <f t="shared" si="14"/>
        <v>0</v>
      </c>
      <c r="AX28" s="373"/>
      <c r="AY28" s="377">
        <f t="shared" ref="AY28:AY40" si="33">AX28*E28</f>
        <v>0</v>
      </c>
      <c r="AZ28" s="373"/>
      <c r="BA28" s="377">
        <f t="shared" si="15"/>
        <v>0</v>
      </c>
      <c r="BB28" s="373"/>
      <c r="BC28" s="377">
        <f t="shared" si="16"/>
        <v>0</v>
      </c>
      <c r="BD28" s="373"/>
      <c r="BE28" s="377">
        <f t="shared" si="17"/>
        <v>0</v>
      </c>
      <c r="BF28" s="373"/>
      <c r="BG28" s="377">
        <f t="shared" si="18"/>
        <v>0</v>
      </c>
      <c r="BH28" s="373"/>
      <c r="BI28" s="377">
        <f t="shared" si="19"/>
        <v>0</v>
      </c>
      <c r="BJ28" s="373"/>
      <c r="BK28" s="373"/>
      <c r="BL28" s="373"/>
      <c r="BN28" s="373"/>
      <c r="BO28" s="373"/>
      <c r="BP28" s="373"/>
      <c r="BQ28" s="373"/>
      <c r="BR28" s="156">
        <f t="shared" si="29"/>
        <v>0</v>
      </c>
      <c r="BS28" s="373"/>
      <c r="BT28" s="373"/>
      <c r="BU28" s="373">
        <f t="shared" si="30"/>
        <v>0</v>
      </c>
      <c r="BV28" s="156">
        <f t="shared" si="2"/>
        <v>0</v>
      </c>
    </row>
    <row r="29" spans="1:74" s="774" customFormat="1" ht="31.5" x14ac:dyDescent="0.25">
      <c r="A29" s="1041"/>
      <c r="B29" s="639">
        <v>43510</v>
      </c>
      <c r="C29" s="639" t="s">
        <v>389</v>
      </c>
      <c r="D29" s="639" t="s">
        <v>17</v>
      </c>
      <c r="E29" s="657">
        <f>1*100000</f>
        <v>100000</v>
      </c>
      <c r="F29" s="636">
        <f>BJ29</f>
        <v>1</v>
      </c>
      <c r="G29" s="759">
        <f>E29*F29</f>
        <v>100000</v>
      </c>
      <c r="H29" s="760">
        <f>G29*0.2</f>
        <v>20000</v>
      </c>
      <c r="I29" s="759">
        <f>G29*0.8</f>
        <v>80000</v>
      </c>
      <c r="J29" s="759">
        <f>G29*0</f>
        <v>0</v>
      </c>
      <c r="K29" s="760">
        <f>G29*0</f>
        <v>0</v>
      </c>
      <c r="L29" s="759">
        <f>G29*0</f>
        <v>0</v>
      </c>
      <c r="M29" s="759">
        <f>G29*0</f>
        <v>0</v>
      </c>
      <c r="N29" s="759">
        <f>G29*0</f>
        <v>0</v>
      </c>
      <c r="O29" s="759">
        <f>G29*0</f>
        <v>0</v>
      </c>
      <c r="P29" s="759">
        <f>G29*0</f>
        <v>0</v>
      </c>
      <c r="Q29" s="759">
        <f>G29*0</f>
        <v>0</v>
      </c>
      <c r="R29" s="771">
        <v>0</v>
      </c>
      <c r="S29" s="771">
        <v>1</v>
      </c>
      <c r="T29" s="771">
        <v>0</v>
      </c>
      <c r="U29" s="771">
        <v>0</v>
      </c>
      <c r="V29" s="760">
        <f>R29*E29</f>
        <v>0</v>
      </c>
      <c r="W29" s="760">
        <f>S29*E29</f>
        <v>100000</v>
      </c>
      <c r="X29" s="760">
        <f>T29*E29</f>
        <v>0</v>
      </c>
      <c r="Y29" s="760">
        <f>U29*E29</f>
        <v>0</v>
      </c>
      <c r="Z29" s="750">
        <v>0</v>
      </c>
      <c r="AA29" s="772">
        <f>Z29*E29</f>
        <v>0</v>
      </c>
      <c r="AB29" s="750">
        <v>0</v>
      </c>
      <c r="AC29" s="772">
        <f t="shared" si="4"/>
        <v>0</v>
      </c>
      <c r="AD29" s="750">
        <v>0</v>
      </c>
      <c r="AE29" s="772">
        <f t="shared" si="5"/>
        <v>0</v>
      </c>
      <c r="AF29" s="750">
        <v>0</v>
      </c>
      <c r="AG29" s="772">
        <f t="shared" si="6"/>
        <v>0</v>
      </c>
      <c r="AH29" s="750">
        <v>0</v>
      </c>
      <c r="AI29" s="772">
        <f t="shared" si="7"/>
        <v>0</v>
      </c>
      <c r="AJ29" s="750">
        <v>0</v>
      </c>
      <c r="AK29" s="772">
        <f t="shared" si="8"/>
        <v>0</v>
      </c>
      <c r="AL29" s="750">
        <v>0</v>
      </c>
      <c r="AM29" s="772">
        <f t="shared" si="9"/>
        <v>0</v>
      </c>
      <c r="AN29" s="750">
        <v>0</v>
      </c>
      <c r="AO29" s="772">
        <f t="shared" si="10"/>
        <v>0</v>
      </c>
      <c r="AP29" s="750">
        <v>0</v>
      </c>
      <c r="AQ29" s="772">
        <f t="shared" si="11"/>
        <v>0</v>
      </c>
      <c r="AR29" s="750">
        <v>0</v>
      </c>
      <c r="AS29" s="772">
        <f t="shared" si="12"/>
        <v>0</v>
      </c>
      <c r="AT29" s="750">
        <v>0</v>
      </c>
      <c r="AU29" s="772">
        <f t="shared" si="13"/>
        <v>0</v>
      </c>
      <c r="AV29" s="750">
        <v>0</v>
      </c>
      <c r="AW29" s="772">
        <f t="shared" si="14"/>
        <v>0</v>
      </c>
      <c r="AX29" s="750">
        <v>0</v>
      </c>
      <c r="AY29" s="772">
        <f t="shared" si="33"/>
        <v>0</v>
      </c>
      <c r="AZ29" s="750">
        <v>0</v>
      </c>
      <c r="BA29" s="772">
        <f t="shared" si="15"/>
        <v>0</v>
      </c>
      <c r="BB29" s="750">
        <v>0</v>
      </c>
      <c r="BC29" s="772">
        <f t="shared" si="16"/>
        <v>0</v>
      </c>
      <c r="BD29" s="750">
        <v>0</v>
      </c>
      <c r="BE29" s="772">
        <f t="shared" si="17"/>
        <v>0</v>
      </c>
      <c r="BF29" s="750">
        <v>0</v>
      </c>
      <c r="BG29" s="772">
        <f t="shared" si="18"/>
        <v>0</v>
      </c>
      <c r="BH29" s="750">
        <v>1</v>
      </c>
      <c r="BI29" s="772">
        <f t="shared" si="19"/>
        <v>100000</v>
      </c>
      <c r="BJ29" s="629">
        <f t="shared" ref="BJ29:BK32" si="34">Z29+AB29+AD29+AF29+AH29+AJ29+AL29+AN29+AP29+AR29+AT29+AV29+AX29+AZ29+BB29+BD29+BF29+BH29</f>
        <v>1</v>
      </c>
      <c r="BK29" s="692">
        <f t="shared" si="34"/>
        <v>100000</v>
      </c>
      <c r="BL29" s="773" t="s">
        <v>467</v>
      </c>
      <c r="BN29" s="750"/>
      <c r="BO29" s="759">
        <f>G29</f>
        <v>100000</v>
      </c>
      <c r="BP29" s="750"/>
      <c r="BQ29" s="750"/>
      <c r="BR29" s="759">
        <f t="shared" si="29"/>
        <v>100000</v>
      </c>
      <c r="BS29" s="750"/>
      <c r="BT29" s="750"/>
      <c r="BU29" s="750">
        <f t="shared" si="30"/>
        <v>0</v>
      </c>
      <c r="BV29" s="759">
        <f t="shared" si="2"/>
        <v>100000</v>
      </c>
    </row>
    <row r="30" spans="1:74" s="774" customFormat="1" ht="31.5" x14ac:dyDescent="0.25">
      <c r="A30" s="1041"/>
      <c r="B30" s="639"/>
      <c r="C30" s="639" t="s">
        <v>390</v>
      </c>
      <c r="D30" s="639" t="s">
        <v>17</v>
      </c>
      <c r="E30" s="657">
        <v>30000</v>
      </c>
      <c r="F30" s="636">
        <f>BJ30</f>
        <v>0</v>
      </c>
      <c r="G30" s="759">
        <f>E30*F30</f>
        <v>0</v>
      </c>
      <c r="H30" s="760">
        <f>G30*0.2</f>
        <v>0</v>
      </c>
      <c r="I30" s="759">
        <f>G30*0.8</f>
        <v>0</v>
      </c>
      <c r="J30" s="759">
        <f>G30*0</f>
        <v>0</v>
      </c>
      <c r="K30" s="760">
        <f>G30*0</f>
        <v>0</v>
      </c>
      <c r="L30" s="759">
        <f>G30*0</f>
        <v>0</v>
      </c>
      <c r="M30" s="759">
        <f>G30*0</f>
        <v>0</v>
      </c>
      <c r="N30" s="759">
        <f>G30*0</f>
        <v>0</v>
      </c>
      <c r="O30" s="759">
        <f>G30*0</f>
        <v>0</v>
      </c>
      <c r="P30" s="759">
        <f>G30*0</f>
        <v>0</v>
      </c>
      <c r="Q30" s="759">
        <f>G30*0</f>
        <v>0</v>
      </c>
      <c r="R30" s="771">
        <v>0</v>
      </c>
      <c r="S30" s="771">
        <v>0</v>
      </c>
      <c r="T30" s="771">
        <v>0</v>
      </c>
      <c r="U30" s="771">
        <v>0</v>
      </c>
      <c r="V30" s="760">
        <f>R30*E30</f>
        <v>0</v>
      </c>
      <c r="W30" s="760">
        <f>S30*E30</f>
        <v>0</v>
      </c>
      <c r="X30" s="760">
        <f>T30*E30</f>
        <v>0</v>
      </c>
      <c r="Y30" s="760">
        <f>U30*E30</f>
        <v>0</v>
      </c>
      <c r="Z30" s="750">
        <v>0</v>
      </c>
      <c r="AA30" s="772">
        <f>Z30*E30</f>
        <v>0</v>
      </c>
      <c r="AB30" s="750">
        <v>0</v>
      </c>
      <c r="AC30" s="772">
        <f t="shared" si="4"/>
        <v>0</v>
      </c>
      <c r="AD30" s="750">
        <v>0</v>
      </c>
      <c r="AE30" s="772">
        <f t="shared" si="5"/>
        <v>0</v>
      </c>
      <c r="AF30" s="750">
        <v>0</v>
      </c>
      <c r="AG30" s="772">
        <f t="shared" si="6"/>
        <v>0</v>
      </c>
      <c r="AH30" s="750">
        <v>0</v>
      </c>
      <c r="AI30" s="772">
        <f t="shared" si="7"/>
        <v>0</v>
      </c>
      <c r="AJ30" s="750">
        <v>0</v>
      </c>
      <c r="AK30" s="772">
        <f t="shared" si="8"/>
        <v>0</v>
      </c>
      <c r="AL30" s="750">
        <v>0</v>
      </c>
      <c r="AM30" s="772">
        <f t="shared" si="9"/>
        <v>0</v>
      </c>
      <c r="AN30" s="750">
        <v>0</v>
      </c>
      <c r="AO30" s="772">
        <f t="shared" si="10"/>
        <v>0</v>
      </c>
      <c r="AP30" s="750">
        <v>0</v>
      </c>
      <c r="AQ30" s="772">
        <f t="shared" si="11"/>
        <v>0</v>
      </c>
      <c r="AR30" s="750">
        <v>0</v>
      </c>
      <c r="AS30" s="772">
        <f t="shared" si="12"/>
        <v>0</v>
      </c>
      <c r="AT30" s="750">
        <v>0</v>
      </c>
      <c r="AU30" s="772">
        <f t="shared" si="13"/>
        <v>0</v>
      </c>
      <c r="AV30" s="750">
        <v>0</v>
      </c>
      <c r="AW30" s="772">
        <f t="shared" si="14"/>
        <v>0</v>
      </c>
      <c r="AX30" s="750">
        <v>0</v>
      </c>
      <c r="AY30" s="772">
        <f t="shared" si="33"/>
        <v>0</v>
      </c>
      <c r="AZ30" s="750">
        <v>0</v>
      </c>
      <c r="BA30" s="772">
        <f t="shared" si="15"/>
        <v>0</v>
      </c>
      <c r="BB30" s="750">
        <v>0</v>
      </c>
      <c r="BC30" s="772">
        <f t="shared" si="16"/>
        <v>0</v>
      </c>
      <c r="BD30" s="750">
        <v>0</v>
      </c>
      <c r="BE30" s="772">
        <f t="shared" si="17"/>
        <v>0</v>
      </c>
      <c r="BF30" s="750">
        <v>0</v>
      </c>
      <c r="BG30" s="772">
        <f t="shared" si="18"/>
        <v>0</v>
      </c>
      <c r="BH30" s="750">
        <v>0</v>
      </c>
      <c r="BI30" s="772">
        <f t="shared" si="19"/>
        <v>0</v>
      </c>
      <c r="BJ30" s="629">
        <f t="shared" si="34"/>
        <v>0</v>
      </c>
      <c r="BK30" s="692">
        <f t="shared" si="34"/>
        <v>0</v>
      </c>
      <c r="BL30" s="773" t="s">
        <v>467</v>
      </c>
      <c r="BN30" s="750"/>
      <c r="BO30" s="759">
        <f>G30</f>
        <v>0</v>
      </c>
      <c r="BP30" s="750"/>
      <c r="BQ30" s="750"/>
      <c r="BR30" s="759">
        <f t="shared" si="29"/>
        <v>0</v>
      </c>
      <c r="BS30" s="750"/>
      <c r="BT30" s="750"/>
      <c r="BU30" s="750">
        <f t="shared" si="30"/>
        <v>0</v>
      </c>
      <c r="BV30" s="759">
        <f t="shared" si="2"/>
        <v>0</v>
      </c>
    </row>
    <row r="31" spans="1:74" ht="31.5" x14ac:dyDescent="0.25">
      <c r="A31" s="1041"/>
      <c r="B31" s="38">
        <v>43520</v>
      </c>
      <c r="C31" s="636" t="s">
        <v>391</v>
      </c>
      <c r="D31" s="38" t="s">
        <v>17</v>
      </c>
      <c r="E31" s="365">
        <f>1*100000</f>
        <v>100000</v>
      </c>
      <c r="F31" s="38">
        <f>BJ31</f>
        <v>0</v>
      </c>
      <c r="G31" s="156">
        <f>E31*F31</f>
        <v>0</v>
      </c>
      <c r="H31" s="156">
        <f>G31*0.2</f>
        <v>0</v>
      </c>
      <c r="I31" s="156">
        <f>G31*0.8</f>
        <v>0</v>
      </c>
      <c r="J31" s="156">
        <f>G31*0</f>
        <v>0</v>
      </c>
      <c r="K31" s="156">
        <f>G31*0</f>
        <v>0</v>
      </c>
      <c r="L31" s="156">
        <f>G31*0</f>
        <v>0</v>
      </c>
      <c r="M31" s="156">
        <f>G31*0</f>
        <v>0</v>
      </c>
      <c r="N31" s="156">
        <f>G31*0</f>
        <v>0</v>
      </c>
      <c r="O31" s="156">
        <f>G31*0</f>
        <v>0</v>
      </c>
      <c r="P31" s="156">
        <f>G31*0</f>
        <v>0</v>
      </c>
      <c r="Q31" s="156">
        <f>G31*0</f>
        <v>0</v>
      </c>
      <c r="R31" s="417">
        <v>0</v>
      </c>
      <c r="S31" s="417">
        <v>0</v>
      </c>
      <c r="T31" s="417">
        <v>0</v>
      </c>
      <c r="U31" s="417">
        <v>0</v>
      </c>
      <c r="V31" s="156">
        <f>R31*E31</f>
        <v>0</v>
      </c>
      <c r="W31" s="156">
        <f>S31*E31</f>
        <v>0</v>
      </c>
      <c r="X31" s="156">
        <f>T31*E31</f>
        <v>0</v>
      </c>
      <c r="Y31" s="156">
        <f>U31*E31</f>
        <v>0</v>
      </c>
      <c r="Z31" s="373">
        <v>0</v>
      </c>
      <c r="AA31" s="377">
        <f>Z31*E31</f>
        <v>0</v>
      </c>
      <c r="AB31" s="373">
        <v>0</v>
      </c>
      <c r="AC31" s="377">
        <f t="shared" si="4"/>
        <v>0</v>
      </c>
      <c r="AD31" s="373">
        <v>0</v>
      </c>
      <c r="AE31" s="377">
        <f t="shared" si="5"/>
        <v>0</v>
      </c>
      <c r="AF31" s="373">
        <v>0</v>
      </c>
      <c r="AG31" s="377">
        <f t="shared" si="6"/>
        <v>0</v>
      </c>
      <c r="AH31" s="373">
        <v>0</v>
      </c>
      <c r="AI31" s="377">
        <f t="shared" si="7"/>
        <v>0</v>
      </c>
      <c r="AJ31" s="373">
        <v>0</v>
      </c>
      <c r="AK31" s="377">
        <f t="shared" si="8"/>
        <v>0</v>
      </c>
      <c r="AL31" s="373">
        <v>0</v>
      </c>
      <c r="AM31" s="377">
        <f t="shared" si="9"/>
        <v>0</v>
      </c>
      <c r="AN31" s="373">
        <v>0</v>
      </c>
      <c r="AO31" s="377">
        <f t="shared" si="10"/>
        <v>0</v>
      </c>
      <c r="AP31" s="373">
        <v>0</v>
      </c>
      <c r="AQ31" s="377">
        <f t="shared" si="11"/>
        <v>0</v>
      </c>
      <c r="AR31" s="373">
        <v>0</v>
      </c>
      <c r="AS31" s="377">
        <f t="shared" si="12"/>
        <v>0</v>
      </c>
      <c r="AT31" s="373">
        <v>0</v>
      </c>
      <c r="AU31" s="377">
        <f t="shared" si="13"/>
        <v>0</v>
      </c>
      <c r="AV31" s="373">
        <v>0</v>
      </c>
      <c r="AW31" s="377">
        <f t="shared" si="14"/>
        <v>0</v>
      </c>
      <c r="AX31" s="373">
        <v>0</v>
      </c>
      <c r="AY31" s="377">
        <f t="shared" si="33"/>
        <v>0</v>
      </c>
      <c r="AZ31" s="373">
        <v>0</v>
      </c>
      <c r="BA31" s="377">
        <f t="shared" si="15"/>
        <v>0</v>
      </c>
      <c r="BB31" s="373">
        <v>0</v>
      </c>
      <c r="BC31" s="377">
        <f t="shared" si="16"/>
        <v>0</v>
      </c>
      <c r="BD31" s="373">
        <v>0</v>
      </c>
      <c r="BE31" s="377">
        <f t="shared" si="17"/>
        <v>0</v>
      </c>
      <c r="BF31" s="373">
        <v>0</v>
      </c>
      <c r="BG31" s="377">
        <f t="shared" si="18"/>
        <v>0</v>
      </c>
      <c r="BH31" s="373">
        <v>0</v>
      </c>
      <c r="BI31" s="377">
        <f t="shared" si="19"/>
        <v>0</v>
      </c>
      <c r="BJ31" s="47">
        <f t="shared" si="34"/>
        <v>0</v>
      </c>
      <c r="BK31" s="85">
        <f t="shared" si="34"/>
        <v>0</v>
      </c>
      <c r="BL31" s="295" t="s">
        <v>467</v>
      </c>
      <c r="BN31" s="373"/>
      <c r="BO31" s="156">
        <f>G31</f>
        <v>0</v>
      </c>
      <c r="BP31" s="373"/>
      <c r="BQ31" s="373"/>
      <c r="BR31" s="156">
        <f t="shared" si="29"/>
        <v>0</v>
      </c>
      <c r="BS31" s="373"/>
      <c r="BT31" s="373"/>
      <c r="BU31" s="373">
        <f t="shared" si="30"/>
        <v>0</v>
      </c>
      <c r="BV31" s="156">
        <f t="shared" si="2"/>
        <v>0</v>
      </c>
    </row>
    <row r="32" spans="1:74" x14ac:dyDescent="0.25">
      <c r="A32" s="1041"/>
      <c r="B32" s="38">
        <v>43530</v>
      </c>
      <c r="C32" s="38" t="s">
        <v>392</v>
      </c>
      <c r="D32" s="38" t="s">
        <v>17</v>
      </c>
      <c r="E32" s="365">
        <f>2.25*100000</f>
        <v>225000</v>
      </c>
      <c r="F32" s="38">
        <f>BJ32</f>
        <v>0</v>
      </c>
      <c r="G32" s="156">
        <f>E32*F32</f>
        <v>0</v>
      </c>
      <c r="H32" s="156">
        <f>G32*0.2</f>
        <v>0</v>
      </c>
      <c r="I32" s="156">
        <f>G32*0.8</f>
        <v>0</v>
      </c>
      <c r="J32" s="156">
        <f>G32*0</f>
        <v>0</v>
      </c>
      <c r="K32" s="156">
        <f>G32*0</f>
        <v>0</v>
      </c>
      <c r="L32" s="156">
        <f>G32*0</f>
        <v>0</v>
      </c>
      <c r="M32" s="156">
        <f>G32*0</f>
        <v>0</v>
      </c>
      <c r="N32" s="156">
        <f>G32*0</f>
        <v>0</v>
      </c>
      <c r="O32" s="156">
        <f>G32*0</f>
        <v>0</v>
      </c>
      <c r="P32" s="156">
        <f>G32*0</f>
        <v>0</v>
      </c>
      <c r="Q32" s="156">
        <f>G32*0</f>
        <v>0</v>
      </c>
      <c r="R32" s="216">
        <v>0</v>
      </c>
      <c r="S32" s="216">
        <v>0</v>
      </c>
      <c r="T32" s="216">
        <v>0</v>
      </c>
      <c r="U32" s="216">
        <v>0</v>
      </c>
      <c r="V32" s="156">
        <f>R32*E32</f>
        <v>0</v>
      </c>
      <c r="W32" s="156">
        <f>S32*E32</f>
        <v>0</v>
      </c>
      <c r="X32" s="156">
        <f>T32*E32</f>
        <v>0</v>
      </c>
      <c r="Y32" s="156">
        <f>U32*E32</f>
        <v>0</v>
      </c>
      <c r="Z32" s="373">
        <v>0</v>
      </c>
      <c r="AA32" s="377">
        <f>Z32*E32</f>
        <v>0</v>
      </c>
      <c r="AB32" s="373">
        <v>0</v>
      </c>
      <c r="AC32" s="377">
        <f t="shared" si="4"/>
        <v>0</v>
      </c>
      <c r="AD32" s="373">
        <v>0</v>
      </c>
      <c r="AE32" s="377">
        <f t="shared" si="5"/>
        <v>0</v>
      </c>
      <c r="AF32" s="373">
        <v>0</v>
      </c>
      <c r="AG32" s="377">
        <f t="shared" si="6"/>
        <v>0</v>
      </c>
      <c r="AH32" s="373">
        <v>0</v>
      </c>
      <c r="AI32" s="377">
        <f t="shared" si="7"/>
        <v>0</v>
      </c>
      <c r="AJ32" s="373">
        <v>0</v>
      </c>
      <c r="AK32" s="377">
        <f t="shared" si="8"/>
        <v>0</v>
      </c>
      <c r="AL32" s="373">
        <v>0</v>
      </c>
      <c r="AM32" s="377">
        <f t="shared" si="9"/>
        <v>0</v>
      </c>
      <c r="AN32" s="373">
        <v>0</v>
      </c>
      <c r="AO32" s="377">
        <f t="shared" si="10"/>
        <v>0</v>
      </c>
      <c r="AP32" s="373">
        <v>0</v>
      </c>
      <c r="AQ32" s="377">
        <f t="shared" si="11"/>
        <v>0</v>
      </c>
      <c r="AR32" s="373">
        <v>0</v>
      </c>
      <c r="AS32" s="377">
        <f t="shared" si="12"/>
        <v>0</v>
      </c>
      <c r="AT32" s="373">
        <v>0</v>
      </c>
      <c r="AU32" s="377">
        <f t="shared" si="13"/>
        <v>0</v>
      </c>
      <c r="AV32" s="373">
        <v>0</v>
      </c>
      <c r="AW32" s="377">
        <f t="shared" si="14"/>
        <v>0</v>
      </c>
      <c r="AX32" s="373">
        <v>0</v>
      </c>
      <c r="AY32" s="377">
        <f t="shared" si="33"/>
        <v>0</v>
      </c>
      <c r="AZ32" s="373">
        <v>0</v>
      </c>
      <c r="BA32" s="377">
        <f t="shared" si="15"/>
        <v>0</v>
      </c>
      <c r="BB32" s="373">
        <v>0</v>
      </c>
      <c r="BC32" s="377">
        <f t="shared" si="16"/>
        <v>0</v>
      </c>
      <c r="BD32" s="373">
        <v>0</v>
      </c>
      <c r="BE32" s="377">
        <f t="shared" si="17"/>
        <v>0</v>
      </c>
      <c r="BF32" s="373">
        <v>0</v>
      </c>
      <c r="BG32" s="377">
        <f t="shared" si="18"/>
        <v>0</v>
      </c>
      <c r="BH32" s="373">
        <v>0</v>
      </c>
      <c r="BI32" s="377">
        <f t="shared" si="19"/>
        <v>0</v>
      </c>
      <c r="BJ32" s="47">
        <f t="shared" si="34"/>
        <v>0</v>
      </c>
      <c r="BK32" s="85">
        <f t="shared" si="34"/>
        <v>0</v>
      </c>
      <c r="BL32" s="295" t="s">
        <v>467</v>
      </c>
      <c r="BN32" s="373"/>
      <c r="BO32" s="373"/>
      <c r="BP32" s="373"/>
      <c r="BQ32" s="373"/>
      <c r="BR32" s="156">
        <f t="shared" si="29"/>
        <v>0</v>
      </c>
      <c r="BS32" s="373"/>
      <c r="BT32" s="373"/>
      <c r="BU32" s="373">
        <f t="shared" si="30"/>
        <v>0</v>
      </c>
      <c r="BV32" s="156">
        <f t="shared" si="2"/>
        <v>0</v>
      </c>
    </row>
    <row r="33" spans="1:74" s="269" customFormat="1" x14ac:dyDescent="0.25">
      <c r="A33" s="1041"/>
      <c r="B33" s="367"/>
      <c r="C33" s="369" t="s">
        <v>393</v>
      </c>
      <c r="D33" s="369" t="s">
        <v>280</v>
      </c>
      <c r="E33" s="369" t="s">
        <v>280</v>
      </c>
      <c r="F33" s="369">
        <f>SUM(F29:F32)</f>
        <v>1</v>
      </c>
      <c r="G33" s="408">
        <f>SUM(G29:G32)</f>
        <v>100000</v>
      </c>
      <c r="H33" s="408">
        <f t="shared" ref="H33:Q33" si="35">SUM(H29:H32)</f>
        <v>20000</v>
      </c>
      <c r="I33" s="408">
        <f t="shared" si="35"/>
        <v>80000</v>
      </c>
      <c r="J33" s="408">
        <f t="shared" si="35"/>
        <v>0</v>
      </c>
      <c r="K33" s="408">
        <f t="shared" si="35"/>
        <v>0</v>
      </c>
      <c r="L33" s="408">
        <f>SUM(L29:L32)</f>
        <v>0</v>
      </c>
      <c r="M33" s="408">
        <f t="shared" si="35"/>
        <v>0</v>
      </c>
      <c r="N33" s="408">
        <f t="shared" si="35"/>
        <v>0</v>
      </c>
      <c r="O33" s="408">
        <f t="shared" si="35"/>
        <v>0</v>
      </c>
      <c r="P33" s="408">
        <f t="shared" si="35"/>
        <v>0</v>
      </c>
      <c r="Q33" s="408">
        <f t="shared" si="35"/>
        <v>0</v>
      </c>
      <c r="R33" s="409">
        <f t="shared" ref="R33:BK33" si="36">SUM(R29:R32)</f>
        <v>0</v>
      </c>
      <c r="S33" s="409">
        <f t="shared" si="36"/>
        <v>1</v>
      </c>
      <c r="T33" s="409">
        <f t="shared" si="36"/>
        <v>0</v>
      </c>
      <c r="U33" s="409">
        <f t="shared" si="36"/>
        <v>0</v>
      </c>
      <c r="V33" s="408">
        <f t="shared" si="36"/>
        <v>0</v>
      </c>
      <c r="W33" s="408">
        <f t="shared" si="36"/>
        <v>100000</v>
      </c>
      <c r="X33" s="408">
        <f t="shared" si="36"/>
        <v>0</v>
      </c>
      <c r="Y33" s="408">
        <f t="shared" si="36"/>
        <v>0</v>
      </c>
      <c r="Z33" s="369">
        <f t="shared" si="36"/>
        <v>0</v>
      </c>
      <c r="AA33" s="408">
        <f t="shared" si="36"/>
        <v>0</v>
      </c>
      <c r="AB33" s="369">
        <f t="shared" si="36"/>
        <v>0</v>
      </c>
      <c r="AC33" s="408">
        <f t="shared" si="36"/>
        <v>0</v>
      </c>
      <c r="AD33" s="369">
        <f t="shared" si="36"/>
        <v>0</v>
      </c>
      <c r="AE33" s="408">
        <f t="shared" si="36"/>
        <v>0</v>
      </c>
      <c r="AF33" s="369">
        <f t="shared" si="36"/>
        <v>0</v>
      </c>
      <c r="AG33" s="408">
        <f t="shared" si="36"/>
        <v>0</v>
      </c>
      <c r="AH33" s="369">
        <f t="shared" si="36"/>
        <v>0</v>
      </c>
      <c r="AI33" s="408">
        <f t="shared" si="36"/>
        <v>0</v>
      </c>
      <c r="AJ33" s="369">
        <f t="shared" si="36"/>
        <v>0</v>
      </c>
      <c r="AK33" s="408">
        <f t="shared" si="36"/>
        <v>0</v>
      </c>
      <c r="AL33" s="369">
        <f t="shared" si="36"/>
        <v>0</v>
      </c>
      <c r="AM33" s="408">
        <f t="shared" si="36"/>
        <v>0</v>
      </c>
      <c r="AN33" s="369">
        <f t="shared" si="36"/>
        <v>0</v>
      </c>
      <c r="AO33" s="408">
        <f t="shared" si="36"/>
        <v>0</v>
      </c>
      <c r="AP33" s="369">
        <f t="shared" si="36"/>
        <v>0</v>
      </c>
      <c r="AQ33" s="408">
        <f t="shared" si="36"/>
        <v>0</v>
      </c>
      <c r="AR33" s="369">
        <f t="shared" si="36"/>
        <v>0</v>
      </c>
      <c r="AS33" s="408">
        <f t="shared" si="36"/>
        <v>0</v>
      </c>
      <c r="AT33" s="369">
        <f t="shared" si="36"/>
        <v>0</v>
      </c>
      <c r="AU33" s="408">
        <f t="shared" si="36"/>
        <v>0</v>
      </c>
      <c r="AV33" s="369">
        <f t="shared" si="36"/>
        <v>0</v>
      </c>
      <c r="AW33" s="408">
        <f t="shared" si="36"/>
        <v>0</v>
      </c>
      <c r="AX33" s="369">
        <f t="shared" si="36"/>
        <v>0</v>
      </c>
      <c r="AY33" s="408">
        <f t="shared" si="36"/>
        <v>0</v>
      </c>
      <c r="AZ33" s="369">
        <f t="shared" si="36"/>
        <v>0</v>
      </c>
      <c r="BA33" s="408">
        <f t="shared" si="36"/>
        <v>0</v>
      </c>
      <c r="BB33" s="369">
        <f t="shared" si="36"/>
        <v>0</v>
      </c>
      <c r="BC33" s="408">
        <f t="shared" si="36"/>
        <v>0</v>
      </c>
      <c r="BD33" s="369">
        <f t="shared" si="36"/>
        <v>0</v>
      </c>
      <c r="BE33" s="408">
        <f t="shared" si="36"/>
        <v>0</v>
      </c>
      <c r="BF33" s="369">
        <f t="shared" si="36"/>
        <v>0</v>
      </c>
      <c r="BG33" s="408">
        <f t="shared" si="36"/>
        <v>0</v>
      </c>
      <c r="BH33" s="369">
        <f t="shared" si="36"/>
        <v>1</v>
      </c>
      <c r="BI33" s="408">
        <f t="shared" si="36"/>
        <v>100000</v>
      </c>
      <c r="BJ33" s="369">
        <f t="shared" si="36"/>
        <v>1</v>
      </c>
      <c r="BK33" s="408">
        <f t="shared" si="36"/>
        <v>100000</v>
      </c>
      <c r="BL33" s="410"/>
      <c r="BN33" s="408">
        <f t="shared" ref="BN33:BU33" si="37">SUM(BN29:BN32)</f>
        <v>0</v>
      </c>
      <c r="BO33" s="408">
        <f t="shared" si="37"/>
        <v>100000</v>
      </c>
      <c r="BP33" s="408">
        <f t="shared" si="37"/>
        <v>0</v>
      </c>
      <c r="BQ33" s="408">
        <f t="shared" si="37"/>
        <v>0</v>
      </c>
      <c r="BR33" s="408">
        <f t="shared" si="37"/>
        <v>100000</v>
      </c>
      <c r="BS33" s="408">
        <f t="shared" si="37"/>
        <v>0</v>
      </c>
      <c r="BT33" s="408">
        <f t="shared" si="37"/>
        <v>0</v>
      </c>
      <c r="BU33" s="408">
        <f t="shared" si="37"/>
        <v>0</v>
      </c>
      <c r="BV33" s="408">
        <f t="shared" si="2"/>
        <v>100000</v>
      </c>
    </row>
    <row r="34" spans="1:74" x14ac:dyDescent="0.25">
      <c r="A34" s="1041"/>
      <c r="B34" s="38">
        <v>41330</v>
      </c>
      <c r="C34" s="38" t="s">
        <v>285</v>
      </c>
      <c r="D34" s="38"/>
      <c r="E34" s="365"/>
      <c r="F34" s="38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52"/>
      <c r="R34" s="417"/>
      <c r="S34" s="417"/>
      <c r="T34" s="417"/>
      <c r="U34" s="417"/>
      <c r="V34" s="156"/>
      <c r="W34" s="156"/>
      <c r="X34" s="156"/>
      <c r="Y34" s="156"/>
      <c r="Z34" s="373"/>
      <c r="AA34" s="373"/>
      <c r="AB34" s="373"/>
      <c r="AC34" s="377">
        <f t="shared" si="4"/>
        <v>0</v>
      </c>
      <c r="AD34" s="373"/>
      <c r="AE34" s="377">
        <f t="shared" si="5"/>
        <v>0</v>
      </c>
      <c r="AF34" s="373"/>
      <c r="AG34" s="377">
        <f t="shared" si="6"/>
        <v>0</v>
      </c>
      <c r="AH34" s="373"/>
      <c r="AI34" s="377">
        <f t="shared" si="7"/>
        <v>0</v>
      </c>
      <c r="AJ34" s="373"/>
      <c r="AK34" s="377">
        <f t="shared" si="8"/>
        <v>0</v>
      </c>
      <c r="AL34" s="373"/>
      <c r="AM34" s="377">
        <f t="shared" si="9"/>
        <v>0</v>
      </c>
      <c r="AN34" s="373"/>
      <c r="AO34" s="377">
        <f t="shared" si="10"/>
        <v>0</v>
      </c>
      <c r="AP34" s="373"/>
      <c r="AQ34" s="377">
        <f t="shared" si="11"/>
        <v>0</v>
      </c>
      <c r="AR34" s="373"/>
      <c r="AS34" s="377">
        <f t="shared" si="12"/>
        <v>0</v>
      </c>
      <c r="AT34" s="373"/>
      <c r="AU34" s="377">
        <f t="shared" si="13"/>
        <v>0</v>
      </c>
      <c r="AV34" s="373"/>
      <c r="AW34" s="377">
        <f t="shared" si="14"/>
        <v>0</v>
      </c>
      <c r="AX34" s="373"/>
      <c r="AY34" s="377">
        <f t="shared" si="33"/>
        <v>0</v>
      </c>
      <c r="AZ34" s="373"/>
      <c r="BA34" s="377">
        <f t="shared" si="15"/>
        <v>0</v>
      </c>
      <c r="BB34" s="373"/>
      <c r="BC34" s="377">
        <f t="shared" si="16"/>
        <v>0</v>
      </c>
      <c r="BD34" s="373"/>
      <c r="BE34" s="377">
        <f t="shared" si="17"/>
        <v>0</v>
      </c>
      <c r="BF34" s="373"/>
      <c r="BG34" s="377">
        <f t="shared" si="18"/>
        <v>0</v>
      </c>
      <c r="BH34" s="373"/>
      <c r="BI34" s="377">
        <f t="shared" si="19"/>
        <v>0</v>
      </c>
      <c r="BJ34" s="373"/>
      <c r="BK34" s="373"/>
      <c r="BL34" s="373"/>
      <c r="BN34" s="373"/>
      <c r="BO34" s="373"/>
      <c r="BP34" s="373"/>
      <c r="BQ34" s="373"/>
      <c r="BR34" s="373"/>
      <c r="BS34" s="373"/>
      <c r="BT34" s="373"/>
      <c r="BU34" s="373">
        <f>BS34+BT34</f>
        <v>0</v>
      </c>
      <c r="BV34" s="156">
        <f t="shared" si="2"/>
        <v>0</v>
      </c>
    </row>
    <row r="35" spans="1:74" x14ac:dyDescent="0.25">
      <c r="A35" s="1041"/>
      <c r="B35" s="38"/>
      <c r="C35" s="38" t="s">
        <v>394</v>
      </c>
      <c r="D35" s="38" t="s">
        <v>17</v>
      </c>
      <c r="E35" s="365">
        <f>1.2*100000</f>
        <v>120000</v>
      </c>
      <c r="F35" s="38">
        <f t="shared" ref="F35:F40" si="38">BJ35</f>
        <v>0</v>
      </c>
      <c r="G35" s="156">
        <f>E35*F35</f>
        <v>0</v>
      </c>
      <c r="H35" s="156">
        <f>G35*0.2</f>
        <v>0</v>
      </c>
      <c r="I35" s="156">
        <f>G35*0.8</f>
        <v>0</v>
      </c>
      <c r="J35" s="156">
        <f>G35*0</f>
        <v>0</v>
      </c>
      <c r="K35" s="156">
        <f>G35*0</f>
        <v>0</v>
      </c>
      <c r="L35" s="156">
        <f>G35*0</f>
        <v>0</v>
      </c>
      <c r="M35" s="156">
        <f>G35*0</f>
        <v>0</v>
      </c>
      <c r="N35" s="156">
        <f>G35*0</f>
        <v>0</v>
      </c>
      <c r="O35" s="156">
        <f>G35*0</f>
        <v>0</v>
      </c>
      <c r="P35" s="156">
        <f>G35*0</f>
        <v>0</v>
      </c>
      <c r="Q35" s="156">
        <f>G35*0</f>
        <v>0</v>
      </c>
      <c r="R35" s="417">
        <v>0</v>
      </c>
      <c r="S35" s="417">
        <v>0</v>
      </c>
      <c r="T35" s="417">
        <v>0</v>
      </c>
      <c r="U35" s="417">
        <v>0</v>
      </c>
      <c r="V35" s="156">
        <f>R35*E35</f>
        <v>0</v>
      </c>
      <c r="W35" s="156">
        <f>S35*E35</f>
        <v>0</v>
      </c>
      <c r="X35" s="156">
        <f>T35*E35</f>
        <v>0</v>
      </c>
      <c r="Y35" s="156">
        <f>U35*E35</f>
        <v>0</v>
      </c>
      <c r="Z35" s="373">
        <v>0</v>
      </c>
      <c r="AA35" s="377">
        <f t="shared" ref="AA35:AA40" si="39">Z35*E35</f>
        <v>0</v>
      </c>
      <c r="AB35" s="373">
        <v>0</v>
      </c>
      <c r="AC35" s="377">
        <f t="shared" si="4"/>
        <v>0</v>
      </c>
      <c r="AD35" s="373">
        <v>0</v>
      </c>
      <c r="AE35" s="377">
        <f t="shared" si="5"/>
        <v>0</v>
      </c>
      <c r="AF35" s="373">
        <v>0</v>
      </c>
      <c r="AG35" s="377">
        <f t="shared" si="6"/>
        <v>0</v>
      </c>
      <c r="AH35" s="373">
        <v>0</v>
      </c>
      <c r="AI35" s="377">
        <f t="shared" si="7"/>
        <v>0</v>
      </c>
      <c r="AJ35" s="373">
        <v>0</v>
      </c>
      <c r="AK35" s="377">
        <f t="shared" si="8"/>
        <v>0</v>
      </c>
      <c r="AL35" s="373">
        <v>0</v>
      </c>
      <c r="AM35" s="377">
        <f t="shared" si="9"/>
        <v>0</v>
      </c>
      <c r="AN35" s="373">
        <v>0</v>
      </c>
      <c r="AO35" s="377">
        <f t="shared" si="10"/>
        <v>0</v>
      </c>
      <c r="AP35" s="373">
        <v>0</v>
      </c>
      <c r="AQ35" s="377">
        <f t="shared" si="11"/>
        <v>0</v>
      </c>
      <c r="AR35" s="373">
        <v>0</v>
      </c>
      <c r="AS35" s="377">
        <f t="shared" si="12"/>
        <v>0</v>
      </c>
      <c r="AT35" s="373">
        <v>0</v>
      </c>
      <c r="AU35" s="377">
        <f t="shared" si="13"/>
        <v>0</v>
      </c>
      <c r="AV35" s="373">
        <v>0</v>
      </c>
      <c r="AW35" s="377">
        <f t="shared" si="14"/>
        <v>0</v>
      </c>
      <c r="AX35" s="373">
        <v>0</v>
      </c>
      <c r="AY35" s="377">
        <f t="shared" si="33"/>
        <v>0</v>
      </c>
      <c r="AZ35" s="373">
        <v>0</v>
      </c>
      <c r="BA35" s="377">
        <f t="shared" si="15"/>
        <v>0</v>
      </c>
      <c r="BB35" s="373">
        <v>0</v>
      </c>
      <c r="BC35" s="377">
        <f t="shared" si="16"/>
        <v>0</v>
      </c>
      <c r="BD35" s="373">
        <v>0</v>
      </c>
      <c r="BE35" s="377">
        <f t="shared" si="17"/>
        <v>0</v>
      </c>
      <c r="BF35" s="373">
        <v>0</v>
      </c>
      <c r="BG35" s="377">
        <f t="shared" si="18"/>
        <v>0</v>
      </c>
      <c r="BH35" s="631">
        <v>0</v>
      </c>
      <c r="BI35" s="377">
        <f t="shared" si="19"/>
        <v>0</v>
      </c>
      <c r="BJ35" s="47">
        <f t="shared" ref="BJ35:BK38" si="40">Z35+AB35+AD35+AF35+AH35+AJ35+AL35+AN35+AP35+AR35+AT35+AV35+AX35+AZ35+BB35+BD35+BF35+BH35</f>
        <v>0</v>
      </c>
      <c r="BK35" s="85">
        <f t="shared" si="40"/>
        <v>0</v>
      </c>
      <c r="BL35" s="295" t="s">
        <v>467</v>
      </c>
      <c r="BN35" s="373"/>
      <c r="BO35" s="373"/>
      <c r="BP35" s="156">
        <f>G35</f>
        <v>0</v>
      </c>
      <c r="BQ35" s="373"/>
      <c r="BR35" s="156">
        <f t="shared" ref="BR35:BR40" si="41">BN35+BO35+BP35+BQ35</f>
        <v>0</v>
      </c>
      <c r="BS35" s="373"/>
      <c r="BT35" s="373"/>
      <c r="BU35" s="373">
        <f>BS35+BT35</f>
        <v>0</v>
      </c>
      <c r="BV35" s="156">
        <f t="shared" si="2"/>
        <v>0</v>
      </c>
    </row>
    <row r="36" spans="1:74" s="99" customFormat="1" ht="28.5" customHeight="1" x14ac:dyDescent="0.25">
      <c r="A36" s="1041"/>
      <c r="B36" s="169"/>
      <c r="C36" s="685" t="s">
        <v>870</v>
      </c>
      <c r="D36" s="169" t="s">
        <v>17</v>
      </c>
      <c r="E36" s="178">
        <v>1000000</v>
      </c>
      <c r="F36" s="38">
        <f t="shared" si="38"/>
        <v>1</v>
      </c>
      <c r="G36" s="174">
        <f>E36*F36</f>
        <v>1000000</v>
      </c>
      <c r="H36" s="174">
        <f>G36*0.2</f>
        <v>200000</v>
      </c>
      <c r="I36" s="174">
        <f>G36*0.8</f>
        <v>800000</v>
      </c>
      <c r="J36" s="174">
        <f>G36*0</f>
        <v>0</v>
      </c>
      <c r="K36" s="174">
        <f>G36*0</f>
        <v>0</v>
      </c>
      <c r="L36" s="174">
        <f>G36*0</f>
        <v>0</v>
      </c>
      <c r="M36" s="174">
        <f>G36*0</f>
        <v>0</v>
      </c>
      <c r="N36" s="174">
        <f>G36*0</f>
        <v>0</v>
      </c>
      <c r="O36" s="174">
        <f>G36*0</f>
        <v>0</v>
      </c>
      <c r="P36" s="174">
        <f>G36*0</f>
        <v>0</v>
      </c>
      <c r="Q36" s="174">
        <f>G36*0</f>
        <v>0</v>
      </c>
      <c r="R36" s="419">
        <v>1</v>
      </c>
      <c r="S36" s="419">
        <v>0</v>
      </c>
      <c r="T36" s="419">
        <v>0</v>
      </c>
      <c r="U36" s="419">
        <v>0</v>
      </c>
      <c r="V36" s="156">
        <f>R36*E36</f>
        <v>1000000</v>
      </c>
      <c r="W36" s="156">
        <f>S36*E36</f>
        <v>0</v>
      </c>
      <c r="X36" s="156">
        <f>T36*E36</f>
        <v>0</v>
      </c>
      <c r="Y36" s="156">
        <f>U36*E36</f>
        <v>0</v>
      </c>
      <c r="Z36" s="414">
        <v>0</v>
      </c>
      <c r="AA36" s="377">
        <f t="shared" si="39"/>
        <v>0</v>
      </c>
      <c r="AB36" s="414">
        <v>0</v>
      </c>
      <c r="AC36" s="377">
        <f t="shared" si="4"/>
        <v>0</v>
      </c>
      <c r="AD36" s="414">
        <v>0</v>
      </c>
      <c r="AE36" s="377">
        <f t="shared" si="5"/>
        <v>0</v>
      </c>
      <c r="AF36" s="414">
        <v>0</v>
      </c>
      <c r="AG36" s="377">
        <f t="shared" si="6"/>
        <v>0</v>
      </c>
      <c r="AH36" s="414">
        <v>0</v>
      </c>
      <c r="AI36" s="377">
        <f t="shared" si="7"/>
        <v>0</v>
      </c>
      <c r="AJ36" s="414">
        <v>0</v>
      </c>
      <c r="AK36" s="377">
        <f t="shared" si="8"/>
        <v>0</v>
      </c>
      <c r="AL36" s="414">
        <v>0</v>
      </c>
      <c r="AM36" s="377">
        <f t="shared" si="9"/>
        <v>0</v>
      </c>
      <c r="AN36" s="414">
        <v>0</v>
      </c>
      <c r="AO36" s="377">
        <f t="shared" si="10"/>
        <v>0</v>
      </c>
      <c r="AP36" s="414">
        <v>0</v>
      </c>
      <c r="AQ36" s="377">
        <f t="shared" si="11"/>
        <v>0</v>
      </c>
      <c r="AR36" s="414">
        <v>0</v>
      </c>
      <c r="AS36" s="377">
        <f t="shared" si="12"/>
        <v>0</v>
      </c>
      <c r="AT36" s="414">
        <v>0</v>
      </c>
      <c r="AU36" s="377">
        <f t="shared" si="13"/>
        <v>0</v>
      </c>
      <c r="AV36" s="414">
        <v>0</v>
      </c>
      <c r="AW36" s="377">
        <f t="shared" si="14"/>
        <v>0</v>
      </c>
      <c r="AX36" s="414">
        <v>0</v>
      </c>
      <c r="AY36" s="377">
        <f t="shared" si="33"/>
        <v>0</v>
      </c>
      <c r="AZ36" s="414">
        <v>0</v>
      </c>
      <c r="BA36" s="377">
        <f t="shared" si="15"/>
        <v>0</v>
      </c>
      <c r="BB36" s="414">
        <v>0</v>
      </c>
      <c r="BC36" s="377">
        <f t="shared" si="16"/>
        <v>0</v>
      </c>
      <c r="BD36" s="414">
        <v>0</v>
      </c>
      <c r="BE36" s="377">
        <f t="shared" si="17"/>
        <v>0</v>
      </c>
      <c r="BF36" s="414">
        <v>0</v>
      </c>
      <c r="BG36" s="377">
        <f t="shared" si="18"/>
        <v>0</v>
      </c>
      <c r="BH36" s="414">
        <v>1</v>
      </c>
      <c r="BI36" s="377">
        <f t="shared" si="19"/>
        <v>1000000</v>
      </c>
      <c r="BJ36" s="135">
        <f t="shared" si="40"/>
        <v>1</v>
      </c>
      <c r="BK36" s="133">
        <f t="shared" si="40"/>
        <v>1000000</v>
      </c>
      <c r="BL36" s="296" t="s">
        <v>467</v>
      </c>
      <c r="BN36" s="414"/>
      <c r="BO36" s="414"/>
      <c r="BP36" s="174">
        <f>G36</f>
        <v>1000000</v>
      </c>
      <c r="BQ36" s="414"/>
      <c r="BR36" s="174">
        <f t="shared" si="41"/>
        <v>1000000</v>
      </c>
      <c r="BS36" s="414"/>
      <c r="BT36" s="414"/>
      <c r="BU36" s="414">
        <f>BS36+BT36</f>
        <v>0</v>
      </c>
      <c r="BV36" s="174">
        <f t="shared" si="2"/>
        <v>1000000</v>
      </c>
    </row>
    <row r="37" spans="1:74" s="99" customFormat="1" x14ac:dyDescent="0.25">
      <c r="A37" s="1041"/>
      <c r="B37" s="169"/>
      <c r="C37" s="169" t="s">
        <v>395</v>
      </c>
      <c r="D37" s="169" t="s">
        <v>73</v>
      </c>
      <c r="E37" s="178">
        <f>1.25*100000</f>
        <v>125000</v>
      </c>
      <c r="F37" s="38">
        <f t="shared" si="38"/>
        <v>0</v>
      </c>
      <c r="G37" s="174">
        <f>E37*F37</f>
        <v>0</v>
      </c>
      <c r="H37" s="174">
        <f>G37*0.2</f>
        <v>0</v>
      </c>
      <c r="I37" s="174">
        <f>G37*0.8</f>
        <v>0</v>
      </c>
      <c r="J37" s="174">
        <f>G37*0</f>
        <v>0</v>
      </c>
      <c r="K37" s="174">
        <f>G37*0</f>
        <v>0</v>
      </c>
      <c r="L37" s="174">
        <f>G37*0</f>
        <v>0</v>
      </c>
      <c r="M37" s="174">
        <f>G37*0</f>
        <v>0</v>
      </c>
      <c r="N37" s="174">
        <f>G37*0</f>
        <v>0</v>
      </c>
      <c r="O37" s="174">
        <f>G37*0</f>
        <v>0</v>
      </c>
      <c r="P37" s="174">
        <f>G37*0</f>
        <v>0</v>
      </c>
      <c r="Q37" s="174">
        <f>G37*0</f>
        <v>0</v>
      </c>
      <c r="R37" s="419">
        <v>0</v>
      </c>
      <c r="S37" s="419">
        <v>0</v>
      </c>
      <c r="T37" s="419">
        <v>0</v>
      </c>
      <c r="U37" s="419">
        <v>0</v>
      </c>
      <c r="V37" s="156">
        <f>R37*E37</f>
        <v>0</v>
      </c>
      <c r="W37" s="156">
        <f>S37*E37</f>
        <v>0</v>
      </c>
      <c r="X37" s="156">
        <f>T37*E37</f>
        <v>0</v>
      </c>
      <c r="Y37" s="156">
        <f>U37*E37</f>
        <v>0</v>
      </c>
      <c r="Z37" s="414">
        <v>0</v>
      </c>
      <c r="AA37" s="377">
        <f t="shared" si="39"/>
        <v>0</v>
      </c>
      <c r="AB37" s="414">
        <v>0</v>
      </c>
      <c r="AC37" s="377">
        <f t="shared" si="4"/>
        <v>0</v>
      </c>
      <c r="AD37" s="414">
        <v>0</v>
      </c>
      <c r="AE37" s="377">
        <f t="shared" si="5"/>
        <v>0</v>
      </c>
      <c r="AF37" s="414">
        <v>0</v>
      </c>
      <c r="AG37" s="377">
        <f t="shared" si="6"/>
        <v>0</v>
      </c>
      <c r="AH37" s="414">
        <v>0</v>
      </c>
      <c r="AI37" s="377">
        <f t="shared" si="7"/>
        <v>0</v>
      </c>
      <c r="AJ37" s="414">
        <v>0</v>
      </c>
      <c r="AK37" s="377">
        <f t="shared" si="8"/>
        <v>0</v>
      </c>
      <c r="AL37" s="414">
        <v>0</v>
      </c>
      <c r="AM37" s="377">
        <f t="shared" si="9"/>
        <v>0</v>
      </c>
      <c r="AN37" s="414">
        <v>0</v>
      </c>
      <c r="AO37" s="377">
        <f t="shared" si="10"/>
        <v>0</v>
      </c>
      <c r="AP37" s="414">
        <v>0</v>
      </c>
      <c r="AQ37" s="377">
        <f t="shared" si="11"/>
        <v>0</v>
      </c>
      <c r="AR37" s="414">
        <v>0</v>
      </c>
      <c r="AS37" s="377">
        <f t="shared" si="12"/>
        <v>0</v>
      </c>
      <c r="AT37" s="414">
        <v>0</v>
      </c>
      <c r="AU37" s="377">
        <f t="shared" si="13"/>
        <v>0</v>
      </c>
      <c r="AV37" s="414">
        <v>0</v>
      </c>
      <c r="AW37" s="377">
        <f t="shared" si="14"/>
        <v>0</v>
      </c>
      <c r="AX37" s="414">
        <v>0</v>
      </c>
      <c r="AY37" s="377">
        <f t="shared" si="33"/>
        <v>0</v>
      </c>
      <c r="AZ37" s="414">
        <v>0</v>
      </c>
      <c r="BA37" s="377">
        <f t="shared" si="15"/>
        <v>0</v>
      </c>
      <c r="BB37" s="414">
        <v>0</v>
      </c>
      <c r="BC37" s="377">
        <f t="shared" si="16"/>
        <v>0</v>
      </c>
      <c r="BD37" s="414">
        <v>0</v>
      </c>
      <c r="BE37" s="377">
        <f t="shared" si="17"/>
        <v>0</v>
      </c>
      <c r="BF37" s="414">
        <v>0</v>
      </c>
      <c r="BG37" s="377">
        <f t="shared" si="18"/>
        <v>0</v>
      </c>
      <c r="BH37" s="414">
        <v>0</v>
      </c>
      <c r="BI37" s="377">
        <f t="shared" si="19"/>
        <v>0</v>
      </c>
      <c r="BJ37" s="135">
        <f t="shared" si="40"/>
        <v>0</v>
      </c>
      <c r="BK37" s="133">
        <f t="shared" si="40"/>
        <v>0</v>
      </c>
      <c r="BL37" s="296" t="s">
        <v>467</v>
      </c>
      <c r="BN37" s="414"/>
      <c r="BO37" s="414"/>
      <c r="BP37" s="174">
        <f>G37</f>
        <v>0</v>
      </c>
      <c r="BQ37" s="414"/>
      <c r="BR37" s="174">
        <f t="shared" si="41"/>
        <v>0</v>
      </c>
      <c r="BS37" s="414"/>
      <c r="BT37" s="414"/>
      <c r="BU37" s="414">
        <f>BS37+BT37</f>
        <v>0</v>
      </c>
      <c r="BV37" s="174">
        <f t="shared" si="2"/>
        <v>0</v>
      </c>
    </row>
    <row r="38" spans="1:74" ht="31.5" x14ac:dyDescent="0.25">
      <c r="A38" s="1041"/>
      <c r="B38" s="38"/>
      <c r="C38" s="38" t="s">
        <v>396</v>
      </c>
      <c r="D38" s="38" t="s">
        <v>17</v>
      </c>
      <c r="E38" s="365">
        <f>2*100000</f>
        <v>200000</v>
      </c>
      <c r="F38" s="38">
        <f t="shared" si="38"/>
        <v>0</v>
      </c>
      <c r="G38" s="156">
        <f>E38*F38</f>
        <v>0</v>
      </c>
      <c r="H38" s="156">
        <f>G38*0.2</f>
        <v>0</v>
      </c>
      <c r="I38" s="156">
        <f>G38*0.8</f>
        <v>0</v>
      </c>
      <c r="J38" s="156">
        <f>G38*0</f>
        <v>0</v>
      </c>
      <c r="K38" s="156">
        <f>G38*0</f>
        <v>0</v>
      </c>
      <c r="L38" s="156">
        <f>G38*0</f>
        <v>0</v>
      </c>
      <c r="M38" s="156">
        <f>G38*0</f>
        <v>0</v>
      </c>
      <c r="N38" s="156">
        <f>G38*0</f>
        <v>0</v>
      </c>
      <c r="O38" s="156">
        <f>G38*0</f>
        <v>0</v>
      </c>
      <c r="P38" s="156">
        <f>G38*0</f>
        <v>0</v>
      </c>
      <c r="Q38" s="156">
        <f>G38*0</f>
        <v>0</v>
      </c>
      <c r="R38" s="417">
        <v>0</v>
      </c>
      <c r="S38" s="417">
        <v>0</v>
      </c>
      <c r="T38" s="417">
        <v>0</v>
      </c>
      <c r="U38" s="417">
        <v>0</v>
      </c>
      <c r="V38" s="156">
        <f>R38*E38</f>
        <v>0</v>
      </c>
      <c r="W38" s="156">
        <f>S38*E38</f>
        <v>0</v>
      </c>
      <c r="X38" s="156">
        <f>T38*E38</f>
        <v>0</v>
      </c>
      <c r="Y38" s="156">
        <f>U38*E38</f>
        <v>0</v>
      </c>
      <c r="Z38" s="373">
        <v>0</v>
      </c>
      <c r="AA38" s="377">
        <f t="shared" si="39"/>
        <v>0</v>
      </c>
      <c r="AB38" s="373">
        <v>0</v>
      </c>
      <c r="AC38" s="377">
        <f t="shared" si="4"/>
        <v>0</v>
      </c>
      <c r="AD38" s="373">
        <v>0</v>
      </c>
      <c r="AE38" s="377">
        <f t="shared" si="5"/>
        <v>0</v>
      </c>
      <c r="AF38" s="373">
        <v>0</v>
      </c>
      <c r="AG38" s="377">
        <f t="shared" si="6"/>
        <v>0</v>
      </c>
      <c r="AH38" s="373">
        <v>0</v>
      </c>
      <c r="AI38" s="377">
        <f t="shared" si="7"/>
        <v>0</v>
      </c>
      <c r="AJ38" s="373">
        <v>0</v>
      </c>
      <c r="AK38" s="377">
        <f t="shared" si="8"/>
        <v>0</v>
      </c>
      <c r="AL38" s="373">
        <v>0</v>
      </c>
      <c r="AM38" s="377">
        <f t="shared" si="9"/>
        <v>0</v>
      </c>
      <c r="AN38" s="373">
        <v>0</v>
      </c>
      <c r="AO38" s="377">
        <f t="shared" si="10"/>
        <v>0</v>
      </c>
      <c r="AP38" s="373">
        <v>0</v>
      </c>
      <c r="AQ38" s="377">
        <f t="shared" si="11"/>
        <v>0</v>
      </c>
      <c r="AR38" s="373">
        <v>0</v>
      </c>
      <c r="AS38" s="377">
        <f t="shared" si="12"/>
        <v>0</v>
      </c>
      <c r="AT38" s="373">
        <v>0</v>
      </c>
      <c r="AU38" s="377">
        <f t="shared" si="13"/>
        <v>0</v>
      </c>
      <c r="AV38" s="373">
        <v>0</v>
      </c>
      <c r="AW38" s="377">
        <f t="shared" si="14"/>
        <v>0</v>
      </c>
      <c r="AX38" s="373">
        <v>0</v>
      </c>
      <c r="AY38" s="377">
        <f t="shared" si="33"/>
        <v>0</v>
      </c>
      <c r="AZ38" s="373">
        <v>0</v>
      </c>
      <c r="BA38" s="377">
        <f t="shared" si="15"/>
        <v>0</v>
      </c>
      <c r="BB38" s="373">
        <v>0</v>
      </c>
      <c r="BC38" s="377">
        <f t="shared" si="16"/>
        <v>0</v>
      </c>
      <c r="BD38" s="373">
        <v>0</v>
      </c>
      <c r="BE38" s="377">
        <f t="shared" si="17"/>
        <v>0</v>
      </c>
      <c r="BF38" s="373">
        <v>0</v>
      </c>
      <c r="BG38" s="377">
        <f t="shared" si="18"/>
        <v>0</v>
      </c>
      <c r="BH38" s="373">
        <v>0</v>
      </c>
      <c r="BI38" s="377">
        <f t="shared" si="19"/>
        <v>0</v>
      </c>
      <c r="BJ38" s="47">
        <f t="shared" si="40"/>
        <v>0</v>
      </c>
      <c r="BK38" s="85">
        <f t="shared" si="40"/>
        <v>0</v>
      </c>
      <c r="BL38" s="295" t="s">
        <v>467</v>
      </c>
      <c r="BN38" s="373"/>
      <c r="BO38" s="373"/>
      <c r="BP38" s="373"/>
      <c r="BQ38" s="373"/>
      <c r="BR38" s="156">
        <f t="shared" si="41"/>
        <v>0</v>
      </c>
      <c r="BS38" s="373"/>
      <c r="BT38" s="373"/>
      <c r="BU38" s="373">
        <f>BS38+BT38</f>
        <v>0</v>
      </c>
      <c r="BV38" s="156">
        <f t="shared" si="2"/>
        <v>0</v>
      </c>
    </row>
    <row r="39" spans="1:74" s="269" customFormat="1" x14ac:dyDescent="0.25">
      <c r="A39" s="1041"/>
      <c r="B39" s="367"/>
      <c r="C39" s="369" t="s">
        <v>288</v>
      </c>
      <c r="D39" s="369" t="s">
        <v>280</v>
      </c>
      <c r="E39" s="369" t="s">
        <v>280</v>
      </c>
      <c r="F39" s="369">
        <f>SUM(F35:F38)</f>
        <v>1</v>
      </c>
      <c r="G39" s="408">
        <f>SUM(G35:G38)</f>
        <v>1000000</v>
      </c>
      <c r="H39" s="408">
        <f t="shared" ref="H39:Q39" si="42">SUM(H35:H38)</f>
        <v>200000</v>
      </c>
      <c r="I39" s="408">
        <f t="shared" si="42"/>
        <v>800000</v>
      </c>
      <c r="J39" s="408">
        <f t="shared" si="42"/>
        <v>0</v>
      </c>
      <c r="K39" s="408">
        <f t="shared" si="42"/>
        <v>0</v>
      </c>
      <c r="L39" s="408">
        <f t="shared" si="42"/>
        <v>0</v>
      </c>
      <c r="M39" s="408">
        <f t="shared" si="42"/>
        <v>0</v>
      </c>
      <c r="N39" s="408">
        <f t="shared" si="42"/>
        <v>0</v>
      </c>
      <c r="O39" s="408">
        <f t="shared" si="42"/>
        <v>0</v>
      </c>
      <c r="P39" s="408">
        <f t="shared" si="42"/>
        <v>0</v>
      </c>
      <c r="Q39" s="408">
        <f t="shared" si="42"/>
        <v>0</v>
      </c>
      <c r="R39" s="409">
        <f t="shared" ref="R39:BK39" si="43">SUM(R35:R38)</f>
        <v>1</v>
      </c>
      <c r="S39" s="409">
        <f t="shared" si="43"/>
        <v>0</v>
      </c>
      <c r="T39" s="409">
        <f t="shared" si="43"/>
        <v>0</v>
      </c>
      <c r="U39" s="409">
        <f t="shared" si="43"/>
        <v>0</v>
      </c>
      <c r="V39" s="408">
        <f t="shared" si="43"/>
        <v>1000000</v>
      </c>
      <c r="W39" s="408">
        <f t="shared" si="43"/>
        <v>0</v>
      </c>
      <c r="X39" s="408">
        <f t="shared" si="43"/>
        <v>0</v>
      </c>
      <c r="Y39" s="408">
        <f t="shared" si="43"/>
        <v>0</v>
      </c>
      <c r="Z39" s="369">
        <f t="shared" si="43"/>
        <v>0</v>
      </c>
      <c r="AA39" s="408">
        <f t="shared" si="43"/>
        <v>0</v>
      </c>
      <c r="AB39" s="369">
        <f t="shared" si="43"/>
        <v>0</v>
      </c>
      <c r="AC39" s="408">
        <f t="shared" si="43"/>
        <v>0</v>
      </c>
      <c r="AD39" s="369">
        <f t="shared" si="43"/>
        <v>0</v>
      </c>
      <c r="AE39" s="408">
        <f t="shared" si="43"/>
        <v>0</v>
      </c>
      <c r="AF39" s="369">
        <f t="shared" si="43"/>
        <v>0</v>
      </c>
      <c r="AG39" s="408">
        <f t="shared" si="43"/>
        <v>0</v>
      </c>
      <c r="AH39" s="369">
        <f t="shared" si="43"/>
        <v>0</v>
      </c>
      <c r="AI39" s="408">
        <f t="shared" si="43"/>
        <v>0</v>
      </c>
      <c r="AJ39" s="369">
        <f t="shared" si="43"/>
        <v>0</v>
      </c>
      <c r="AK39" s="408">
        <f t="shared" si="43"/>
        <v>0</v>
      </c>
      <c r="AL39" s="369">
        <f t="shared" si="43"/>
        <v>0</v>
      </c>
      <c r="AM39" s="408">
        <f t="shared" si="43"/>
        <v>0</v>
      </c>
      <c r="AN39" s="369">
        <f t="shared" si="43"/>
        <v>0</v>
      </c>
      <c r="AO39" s="408">
        <f t="shared" si="43"/>
        <v>0</v>
      </c>
      <c r="AP39" s="369">
        <f t="shared" si="43"/>
        <v>0</v>
      </c>
      <c r="AQ39" s="408">
        <f t="shared" si="43"/>
        <v>0</v>
      </c>
      <c r="AR39" s="369">
        <f t="shared" si="43"/>
        <v>0</v>
      </c>
      <c r="AS39" s="408">
        <f t="shared" si="43"/>
        <v>0</v>
      </c>
      <c r="AT39" s="369">
        <f t="shared" si="43"/>
        <v>0</v>
      </c>
      <c r="AU39" s="408">
        <f t="shared" si="43"/>
        <v>0</v>
      </c>
      <c r="AV39" s="369">
        <f t="shared" si="43"/>
        <v>0</v>
      </c>
      <c r="AW39" s="408">
        <f t="shared" si="43"/>
        <v>0</v>
      </c>
      <c r="AX39" s="369">
        <f t="shared" si="43"/>
        <v>0</v>
      </c>
      <c r="AY39" s="408">
        <f t="shared" si="43"/>
        <v>0</v>
      </c>
      <c r="AZ39" s="369">
        <f t="shared" si="43"/>
        <v>0</v>
      </c>
      <c r="BA39" s="408">
        <f t="shared" si="43"/>
        <v>0</v>
      </c>
      <c r="BB39" s="369">
        <f t="shared" si="43"/>
        <v>0</v>
      </c>
      <c r="BC39" s="408">
        <f t="shared" si="43"/>
        <v>0</v>
      </c>
      <c r="BD39" s="369">
        <f t="shared" si="43"/>
        <v>0</v>
      </c>
      <c r="BE39" s="408">
        <f t="shared" si="43"/>
        <v>0</v>
      </c>
      <c r="BF39" s="369">
        <f t="shared" si="43"/>
        <v>0</v>
      </c>
      <c r="BG39" s="408">
        <f t="shared" si="43"/>
        <v>0</v>
      </c>
      <c r="BH39" s="369">
        <f t="shared" si="43"/>
        <v>1</v>
      </c>
      <c r="BI39" s="408">
        <f t="shared" si="43"/>
        <v>1000000</v>
      </c>
      <c r="BJ39" s="369">
        <f t="shared" si="43"/>
        <v>1</v>
      </c>
      <c r="BK39" s="408">
        <f t="shared" si="43"/>
        <v>1000000</v>
      </c>
      <c r="BL39" s="410"/>
      <c r="BN39" s="408">
        <f t="shared" ref="BN39:BU39" si="44">SUM(BN35:BN38)</f>
        <v>0</v>
      </c>
      <c r="BO39" s="408">
        <f t="shared" si="44"/>
        <v>0</v>
      </c>
      <c r="BP39" s="408">
        <f t="shared" si="44"/>
        <v>1000000</v>
      </c>
      <c r="BQ39" s="408">
        <f t="shared" si="44"/>
        <v>0</v>
      </c>
      <c r="BR39" s="408">
        <f t="shared" si="44"/>
        <v>1000000</v>
      </c>
      <c r="BS39" s="408">
        <f t="shared" si="44"/>
        <v>0</v>
      </c>
      <c r="BT39" s="408">
        <f t="shared" si="44"/>
        <v>0</v>
      </c>
      <c r="BU39" s="408">
        <f t="shared" si="44"/>
        <v>0</v>
      </c>
      <c r="BV39" s="416">
        <f t="shared" si="2"/>
        <v>1000000</v>
      </c>
    </row>
    <row r="40" spans="1:74" ht="31.5" x14ac:dyDescent="0.25">
      <c r="A40" s="1041"/>
      <c r="B40" s="38">
        <v>43600</v>
      </c>
      <c r="C40" s="38" t="s">
        <v>397</v>
      </c>
      <c r="D40" s="38" t="s">
        <v>72</v>
      </c>
      <c r="E40" s="365">
        <f>4*100000</f>
        <v>400000</v>
      </c>
      <c r="F40" s="38">
        <f t="shared" si="38"/>
        <v>0</v>
      </c>
      <c r="G40" s="156">
        <f>E40*F40</f>
        <v>0</v>
      </c>
      <c r="H40" s="156">
        <f>G40*0.2</f>
        <v>0</v>
      </c>
      <c r="I40" s="156">
        <f>G40*0.8</f>
        <v>0</v>
      </c>
      <c r="J40" s="156">
        <f>G40*0</f>
        <v>0</v>
      </c>
      <c r="K40" s="156">
        <f>G40*0</f>
        <v>0</v>
      </c>
      <c r="L40" s="156">
        <f>G40*0</f>
        <v>0</v>
      </c>
      <c r="M40" s="156">
        <f>G40*0</f>
        <v>0</v>
      </c>
      <c r="N40" s="156">
        <f>G40*0</f>
        <v>0</v>
      </c>
      <c r="O40" s="156">
        <f>G40*0</f>
        <v>0</v>
      </c>
      <c r="P40" s="156">
        <f>G40*0</f>
        <v>0</v>
      </c>
      <c r="Q40" s="156">
        <f>G40*0</f>
        <v>0</v>
      </c>
      <c r="R40" s="417">
        <v>0</v>
      </c>
      <c r="S40" s="417">
        <v>0</v>
      </c>
      <c r="T40" s="417">
        <v>0</v>
      </c>
      <c r="U40" s="417">
        <v>0</v>
      </c>
      <c r="V40" s="156">
        <f>R40*E40</f>
        <v>0</v>
      </c>
      <c r="W40" s="156">
        <f>S40*E40</f>
        <v>0</v>
      </c>
      <c r="X40" s="156">
        <f>T40*E40</f>
        <v>0</v>
      </c>
      <c r="Y40" s="156">
        <f>U40*E40</f>
        <v>0</v>
      </c>
      <c r="Z40" s="373">
        <v>0</v>
      </c>
      <c r="AA40" s="377">
        <f t="shared" si="39"/>
        <v>0</v>
      </c>
      <c r="AB40" s="373">
        <v>0</v>
      </c>
      <c r="AC40" s="377">
        <f t="shared" si="4"/>
        <v>0</v>
      </c>
      <c r="AD40" s="373">
        <v>0</v>
      </c>
      <c r="AE40" s="377">
        <f t="shared" si="5"/>
        <v>0</v>
      </c>
      <c r="AF40" s="373">
        <v>0</v>
      </c>
      <c r="AG40" s="377">
        <f t="shared" si="6"/>
        <v>0</v>
      </c>
      <c r="AH40" s="373">
        <v>0</v>
      </c>
      <c r="AI40" s="377">
        <f t="shared" si="7"/>
        <v>0</v>
      </c>
      <c r="AJ40" s="373">
        <v>0</v>
      </c>
      <c r="AK40" s="377">
        <f t="shared" si="8"/>
        <v>0</v>
      </c>
      <c r="AL40" s="373">
        <v>0</v>
      </c>
      <c r="AM40" s="377">
        <f t="shared" si="9"/>
        <v>0</v>
      </c>
      <c r="AN40" s="373">
        <v>0</v>
      </c>
      <c r="AO40" s="377">
        <f t="shared" si="10"/>
        <v>0</v>
      </c>
      <c r="AP40" s="373">
        <v>0</v>
      </c>
      <c r="AQ40" s="377">
        <f t="shared" si="11"/>
        <v>0</v>
      </c>
      <c r="AR40" s="373">
        <v>0</v>
      </c>
      <c r="AS40" s="377">
        <f t="shared" si="12"/>
        <v>0</v>
      </c>
      <c r="AT40" s="373">
        <v>0</v>
      </c>
      <c r="AU40" s="377">
        <f t="shared" si="13"/>
        <v>0</v>
      </c>
      <c r="AV40" s="373">
        <v>0</v>
      </c>
      <c r="AW40" s="377">
        <f t="shared" si="14"/>
        <v>0</v>
      </c>
      <c r="AX40" s="373">
        <v>0</v>
      </c>
      <c r="AY40" s="377">
        <f t="shared" si="33"/>
        <v>0</v>
      </c>
      <c r="AZ40" s="373">
        <v>0</v>
      </c>
      <c r="BA40" s="377">
        <f t="shared" si="15"/>
        <v>0</v>
      </c>
      <c r="BB40" s="373">
        <v>0</v>
      </c>
      <c r="BC40" s="377">
        <f t="shared" si="16"/>
        <v>0</v>
      </c>
      <c r="BD40" s="373">
        <v>0</v>
      </c>
      <c r="BE40" s="377">
        <f t="shared" si="17"/>
        <v>0</v>
      </c>
      <c r="BF40" s="373">
        <v>0</v>
      </c>
      <c r="BG40" s="377">
        <f t="shared" si="18"/>
        <v>0</v>
      </c>
      <c r="BH40" s="775">
        <v>0</v>
      </c>
      <c r="BI40" s="377">
        <f t="shared" si="19"/>
        <v>0</v>
      </c>
      <c r="BJ40" s="47">
        <f>Z40+AB40+AD40+AF40+AH40+AJ40+AL40+AN40+AP40+AR40+AT40+AV40+AX40+AZ40+BB40+BD40+BF40+BH40</f>
        <v>0</v>
      </c>
      <c r="BK40" s="85">
        <f>AA40+AC40+AE40+AG40+AI40+AK40+AM40+AO40+AQ40+AS40+AU40+AW40+AY40+BA40+BC40+BE40+BG40+BI40</f>
        <v>0</v>
      </c>
      <c r="BL40" s="295" t="s">
        <v>467</v>
      </c>
      <c r="BN40" s="373"/>
      <c r="BO40" s="373"/>
      <c r="BP40" s="156">
        <f>G40</f>
        <v>0</v>
      </c>
      <c r="BQ40" s="373"/>
      <c r="BR40" s="156">
        <f t="shared" si="41"/>
        <v>0</v>
      </c>
      <c r="BS40" s="373"/>
      <c r="BT40" s="373"/>
      <c r="BU40" s="373">
        <f>BS40+BT40</f>
        <v>0</v>
      </c>
      <c r="BV40" s="156">
        <f t="shared" si="2"/>
        <v>0</v>
      </c>
    </row>
    <row r="41" spans="1:74" s="269" customFormat="1" ht="31.5" x14ac:dyDescent="0.25">
      <c r="A41" s="1041"/>
      <c r="B41" s="367"/>
      <c r="C41" s="686" t="s">
        <v>398</v>
      </c>
      <c r="D41" s="369"/>
      <c r="E41" s="369"/>
      <c r="F41" s="369">
        <f>SUM(F40)</f>
        <v>0</v>
      </c>
      <c r="G41" s="408">
        <f>SUM(G40)</f>
        <v>0</v>
      </c>
      <c r="H41" s="408">
        <f t="shared" ref="H41:Q41" si="45">SUM(H40)</f>
        <v>0</v>
      </c>
      <c r="I41" s="408">
        <f t="shared" si="45"/>
        <v>0</v>
      </c>
      <c r="J41" s="408">
        <f t="shared" si="45"/>
        <v>0</v>
      </c>
      <c r="K41" s="408">
        <f t="shared" si="45"/>
        <v>0</v>
      </c>
      <c r="L41" s="408">
        <f t="shared" si="45"/>
        <v>0</v>
      </c>
      <c r="M41" s="408">
        <f t="shared" si="45"/>
        <v>0</v>
      </c>
      <c r="N41" s="408">
        <f t="shared" si="45"/>
        <v>0</v>
      </c>
      <c r="O41" s="408">
        <f t="shared" si="45"/>
        <v>0</v>
      </c>
      <c r="P41" s="408">
        <f t="shared" si="45"/>
        <v>0</v>
      </c>
      <c r="Q41" s="408">
        <f t="shared" si="45"/>
        <v>0</v>
      </c>
      <c r="R41" s="409">
        <f t="shared" ref="R41:BK41" si="46">SUM(R40)</f>
        <v>0</v>
      </c>
      <c r="S41" s="409">
        <f t="shared" si="46"/>
        <v>0</v>
      </c>
      <c r="T41" s="409">
        <f t="shared" si="46"/>
        <v>0</v>
      </c>
      <c r="U41" s="409">
        <f t="shared" si="46"/>
        <v>0</v>
      </c>
      <c r="V41" s="408">
        <f t="shared" si="46"/>
        <v>0</v>
      </c>
      <c r="W41" s="408">
        <f t="shared" si="46"/>
        <v>0</v>
      </c>
      <c r="X41" s="408">
        <f t="shared" si="46"/>
        <v>0</v>
      </c>
      <c r="Y41" s="408">
        <f t="shared" si="46"/>
        <v>0</v>
      </c>
      <c r="Z41" s="369">
        <f t="shared" si="46"/>
        <v>0</v>
      </c>
      <c r="AA41" s="408">
        <f t="shared" si="46"/>
        <v>0</v>
      </c>
      <c r="AB41" s="369">
        <f t="shared" si="46"/>
        <v>0</v>
      </c>
      <c r="AC41" s="408">
        <f t="shared" si="46"/>
        <v>0</v>
      </c>
      <c r="AD41" s="369">
        <f t="shared" si="46"/>
        <v>0</v>
      </c>
      <c r="AE41" s="408">
        <f t="shared" si="46"/>
        <v>0</v>
      </c>
      <c r="AF41" s="369">
        <f t="shared" si="46"/>
        <v>0</v>
      </c>
      <c r="AG41" s="408">
        <f t="shared" si="46"/>
        <v>0</v>
      </c>
      <c r="AH41" s="369">
        <f t="shared" si="46"/>
        <v>0</v>
      </c>
      <c r="AI41" s="408">
        <f t="shared" si="46"/>
        <v>0</v>
      </c>
      <c r="AJ41" s="369">
        <f t="shared" si="46"/>
        <v>0</v>
      </c>
      <c r="AK41" s="408">
        <f t="shared" si="46"/>
        <v>0</v>
      </c>
      <c r="AL41" s="369">
        <f t="shared" si="46"/>
        <v>0</v>
      </c>
      <c r="AM41" s="408">
        <f t="shared" si="46"/>
        <v>0</v>
      </c>
      <c r="AN41" s="369">
        <f t="shared" si="46"/>
        <v>0</v>
      </c>
      <c r="AO41" s="408">
        <f t="shared" si="46"/>
        <v>0</v>
      </c>
      <c r="AP41" s="369">
        <f t="shared" si="46"/>
        <v>0</v>
      </c>
      <c r="AQ41" s="408">
        <f t="shared" si="46"/>
        <v>0</v>
      </c>
      <c r="AR41" s="369">
        <f t="shared" si="46"/>
        <v>0</v>
      </c>
      <c r="AS41" s="408">
        <f t="shared" si="46"/>
        <v>0</v>
      </c>
      <c r="AT41" s="369">
        <f t="shared" si="46"/>
        <v>0</v>
      </c>
      <c r="AU41" s="408">
        <f t="shared" si="46"/>
        <v>0</v>
      </c>
      <c r="AV41" s="369">
        <f t="shared" si="46"/>
        <v>0</v>
      </c>
      <c r="AW41" s="408">
        <f t="shared" si="46"/>
        <v>0</v>
      </c>
      <c r="AX41" s="369">
        <f t="shared" si="46"/>
        <v>0</v>
      </c>
      <c r="AY41" s="408">
        <f t="shared" si="46"/>
        <v>0</v>
      </c>
      <c r="AZ41" s="369">
        <f t="shared" si="46"/>
        <v>0</v>
      </c>
      <c r="BA41" s="408">
        <f t="shared" si="46"/>
        <v>0</v>
      </c>
      <c r="BB41" s="369">
        <f t="shared" si="46"/>
        <v>0</v>
      </c>
      <c r="BC41" s="408">
        <f t="shared" si="46"/>
        <v>0</v>
      </c>
      <c r="BD41" s="369">
        <f t="shared" si="46"/>
        <v>0</v>
      </c>
      <c r="BE41" s="408">
        <f t="shared" si="46"/>
        <v>0</v>
      </c>
      <c r="BF41" s="369">
        <f t="shared" si="46"/>
        <v>0</v>
      </c>
      <c r="BG41" s="408">
        <f t="shared" si="46"/>
        <v>0</v>
      </c>
      <c r="BH41" s="369">
        <f t="shared" si="46"/>
        <v>0</v>
      </c>
      <c r="BI41" s="408">
        <f t="shared" si="46"/>
        <v>0</v>
      </c>
      <c r="BJ41" s="369">
        <f t="shared" si="46"/>
        <v>0</v>
      </c>
      <c r="BK41" s="408">
        <f t="shared" si="46"/>
        <v>0</v>
      </c>
      <c r="BL41" s="410"/>
      <c r="BN41" s="408">
        <f t="shared" ref="BN41:BU41" si="47">SUM(BN40)</f>
        <v>0</v>
      </c>
      <c r="BO41" s="408">
        <f t="shared" si="47"/>
        <v>0</v>
      </c>
      <c r="BP41" s="408">
        <f t="shared" si="47"/>
        <v>0</v>
      </c>
      <c r="BQ41" s="408">
        <f t="shared" si="47"/>
        <v>0</v>
      </c>
      <c r="BR41" s="408">
        <f t="shared" si="47"/>
        <v>0</v>
      </c>
      <c r="BS41" s="408">
        <f t="shared" si="47"/>
        <v>0</v>
      </c>
      <c r="BT41" s="408">
        <f t="shared" si="47"/>
        <v>0</v>
      </c>
      <c r="BU41" s="408">
        <f t="shared" si="47"/>
        <v>0</v>
      </c>
      <c r="BV41" s="408">
        <f t="shared" si="2"/>
        <v>0</v>
      </c>
    </row>
    <row r="42" spans="1:74" s="269" customFormat="1" x14ac:dyDescent="0.25">
      <c r="A42" s="1041"/>
      <c r="B42" s="420"/>
      <c r="C42" s="421"/>
      <c r="D42" s="421"/>
      <c r="E42" s="421"/>
      <c r="F42" s="421">
        <f>F41+F39+F33+F27+F23+F18+F14</f>
        <v>250</v>
      </c>
      <c r="G42" s="422">
        <f>G41+G39+G33+G27+G23+G18+G14</f>
        <v>2405000</v>
      </c>
      <c r="H42" s="422">
        <f t="shared" ref="H42:Q42" si="48">H41+H39+H33+H27+H23+H18+H14</f>
        <v>481000</v>
      </c>
      <c r="I42" s="422">
        <f t="shared" si="48"/>
        <v>1924000</v>
      </c>
      <c r="J42" s="422">
        <f t="shared" si="48"/>
        <v>0</v>
      </c>
      <c r="K42" s="422">
        <f t="shared" si="48"/>
        <v>0</v>
      </c>
      <c r="L42" s="422">
        <f t="shared" si="48"/>
        <v>0</v>
      </c>
      <c r="M42" s="422">
        <f t="shared" si="48"/>
        <v>0</v>
      </c>
      <c r="N42" s="422">
        <f t="shared" si="48"/>
        <v>0</v>
      </c>
      <c r="O42" s="422">
        <f t="shared" si="48"/>
        <v>0</v>
      </c>
      <c r="P42" s="422">
        <f t="shared" si="48"/>
        <v>0</v>
      </c>
      <c r="Q42" s="422">
        <f t="shared" si="48"/>
        <v>0</v>
      </c>
      <c r="R42" s="421">
        <f t="shared" ref="R42:BK42" si="49">R41+R39+R33+R27+R23+R18+R14</f>
        <v>55</v>
      </c>
      <c r="S42" s="421">
        <f t="shared" si="49"/>
        <v>55</v>
      </c>
      <c r="T42" s="421">
        <f t="shared" si="49"/>
        <v>55</v>
      </c>
      <c r="U42" s="421">
        <f t="shared" si="49"/>
        <v>85</v>
      </c>
      <c r="V42" s="422">
        <f t="shared" si="49"/>
        <v>1187500</v>
      </c>
      <c r="W42" s="422">
        <f t="shared" si="49"/>
        <v>287500</v>
      </c>
      <c r="X42" s="422">
        <f t="shared" si="49"/>
        <v>412500</v>
      </c>
      <c r="Y42" s="422">
        <f t="shared" si="49"/>
        <v>517500</v>
      </c>
      <c r="Z42" s="421">
        <f t="shared" si="49"/>
        <v>14</v>
      </c>
      <c r="AA42" s="422">
        <f t="shared" si="49"/>
        <v>45000</v>
      </c>
      <c r="AB42" s="421">
        <f t="shared" si="49"/>
        <v>13</v>
      </c>
      <c r="AC42" s="422">
        <f t="shared" si="49"/>
        <v>40000</v>
      </c>
      <c r="AD42" s="421">
        <f t="shared" si="49"/>
        <v>13</v>
      </c>
      <c r="AE42" s="422">
        <f t="shared" si="49"/>
        <v>40000</v>
      </c>
      <c r="AF42" s="421">
        <f t="shared" si="49"/>
        <v>15</v>
      </c>
      <c r="AG42" s="422">
        <f t="shared" si="49"/>
        <v>50000</v>
      </c>
      <c r="AH42" s="421">
        <f t="shared" si="49"/>
        <v>13</v>
      </c>
      <c r="AI42" s="422">
        <f t="shared" si="49"/>
        <v>40000</v>
      </c>
      <c r="AJ42" s="421">
        <f t="shared" si="49"/>
        <v>17</v>
      </c>
      <c r="AK42" s="422">
        <f t="shared" si="49"/>
        <v>60000</v>
      </c>
      <c r="AL42" s="421">
        <f t="shared" si="49"/>
        <v>13</v>
      </c>
      <c r="AM42" s="422">
        <f t="shared" si="49"/>
        <v>40000</v>
      </c>
      <c r="AN42" s="421">
        <f t="shared" si="49"/>
        <v>13</v>
      </c>
      <c r="AO42" s="422">
        <f t="shared" si="49"/>
        <v>40000</v>
      </c>
      <c r="AP42" s="421">
        <f t="shared" si="49"/>
        <v>13</v>
      </c>
      <c r="AQ42" s="422">
        <f t="shared" si="49"/>
        <v>40000</v>
      </c>
      <c r="AR42" s="421">
        <f t="shared" si="49"/>
        <v>13</v>
      </c>
      <c r="AS42" s="422">
        <f t="shared" si="49"/>
        <v>40000</v>
      </c>
      <c r="AT42" s="421">
        <f t="shared" si="49"/>
        <v>13</v>
      </c>
      <c r="AU42" s="422">
        <f t="shared" si="49"/>
        <v>40000</v>
      </c>
      <c r="AV42" s="421">
        <f t="shared" si="49"/>
        <v>13</v>
      </c>
      <c r="AW42" s="422">
        <f t="shared" si="49"/>
        <v>40000</v>
      </c>
      <c r="AX42" s="421">
        <f t="shared" si="49"/>
        <v>13</v>
      </c>
      <c r="AY42" s="422">
        <f t="shared" si="49"/>
        <v>40000</v>
      </c>
      <c r="AZ42" s="421">
        <f t="shared" si="49"/>
        <v>18</v>
      </c>
      <c r="BA42" s="422">
        <f t="shared" si="49"/>
        <v>65000</v>
      </c>
      <c r="BB42" s="421">
        <f t="shared" si="49"/>
        <v>13</v>
      </c>
      <c r="BC42" s="422">
        <f t="shared" si="49"/>
        <v>40000</v>
      </c>
      <c r="BD42" s="421">
        <f t="shared" si="49"/>
        <v>13</v>
      </c>
      <c r="BE42" s="422">
        <f t="shared" si="49"/>
        <v>40000</v>
      </c>
      <c r="BF42" s="421">
        <f t="shared" si="49"/>
        <v>13</v>
      </c>
      <c r="BG42" s="422">
        <f t="shared" si="49"/>
        <v>40000</v>
      </c>
      <c r="BH42" s="421">
        <f t="shared" si="49"/>
        <v>17</v>
      </c>
      <c r="BI42" s="422">
        <f t="shared" si="49"/>
        <v>1665000</v>
      </c>
      <c r="BJ42" s="421">
        <f t="shared" si="49"/>
        <v>250</v>
      </c>
      <c r="BK42" s="422">
        <f t="shared" si="49"/>
        <v>2405000</v>
      </c>
      <c r="BL42" s="410"/>
      <c r="BN42" s="422">
        <f t="shared" ref="BN42:BU42" si="50">BN41+BN39+BN33+BN27+BN23+BN18+BN14</f>
        <v>0</v>
      </c>
      <c r="BO42" s="422">
        <f t="shared" si="50"/>
        <v>1405000</v>
      </c>
      <c r="BP42" s="422">
        <f t="shared" si="50"/>
        <v>1000000</v>
      </c>
      <c r="BQ42" s="422">
        <f t="shared" si="50"/>
        <v>0</v>
      </c>
      <c r="BR42" s="422">
        <f t="shared" si="50"/>
        <v>2405000</v>
      </c>
      <c r="BS42" s="422">
        <f t="shared" si="50"/>
        <v>0</v>
      </c>
      <c r="BT42" s="422">
        <f t="shared" si="50"/>
        <v>0</v>
      </c>
      <c r="BU42" s="422">
        <f t="shared" si="50"/>
        <v>0</v>
      </c>
      <c r="BV42" s="426">
        <f t="shared" si="2"/>
        <v>2405000</v>
      </c>
    </row>
    <row r="43" spans="1:74" x14ac:dyDescent="0.25">
      <c r="C43" s="39" t="s">
        <v>505</v>
      </c>
      <c r="E43" s="423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3"/>
      <c r="R43" s="425"/>
      <c r="S43" s="425"/>
      <c r="T43" s="425"/>
      <c r="U43" s="425"/>
    </row>
    <row r="44" spans="1:74" x14ac:dyDescent="0.25">
      <c r="C44" s="39" t="s">
        <v>581</v>
      </c>
    </row>
    <row r="45" spans="1:74" x14ac:dyDescent="0.25">
      <c r="C45" s="39" t="s">
        <v>582</v>
      </c>
    </row>
    <row r="46" spans="1:74" x14ac:dyDescent="0.25">
      <c r="C46" s="39" t="s">
        <v>583</v>
      </c>
    </row>
    <row r="47" spans="1:74" x14ac:dyDescent="0.25">
      <c r="C47" s="39" t="s">
        <v>584</v>
      </c>
    </row>
    <row r="48" spans="1:74" x14ac:dyDescent="0.25">
      <c r="C48" s="39" t="s">
        <v>585</v>
      </c>
    </row>
    <row r="49" spans="3:3" x14ac:dyDescent="0.25">
      <c r="C49" s="39" t="s">
        <v>586</v>
      </c>
    </row>
    <row r="50" spans="3:3" x14ac:dyDescent="0.25">
      <c r="C50" s="39" t="s">
        <v>587</v>
      </c>
    </row>
    <row r="51" spans="3:3" x14ac:dyDescent="0.25">
      <c r="C51" s="39"/>
    </row>
  </sheetData>
  <mergeCells count="45">
    <mergeCell ref="BH7:BI8"/>
    <mergeCell ref="AF7:AG8"/>
    <mergeCell ref="AH7:AI8"/>
    <mergeCell ref="BJ7:BK8"/>
    <mergeCell ref="A8:A9"/>
    <mergeCell ref="B8:B9"/>
    <mergeCell ref="C8:C9"/>
    <mergeCell ref="E8:E9"/>
    <mergeCell ref="AR7:AS8"/>
    <mergeCell ref="R7:U8"/>
    <mergeCell ref="BB7:BC8"/>
    <mergeCell ref="BD7:BE8"/>
    <mergeCell ref="AD7:AE8"/>
    <mergeCell ref="AX7:AY8"/>
    <mergeCell ref="AZ7:BA8"/>
    <mergeCell ref="AN7:AO8"/>
    <mergeCell ref="H7:Q7"/>
    <mergeCell ref="A10:A42"/>
    <mergeCell ref="AJ7:AK8"/>
    <mergeCell ref="BF7:BG8"/>
    <mergeCell ref="F8:F9"/>
    <mergeCell ref="G8:G9"/>
    <mergeCell ref="AT7:AU8"/>
    <mergeCell ref="AV7:AW8"/>
    <mergeCell ref="AL7:AM8"/>
    <mergeCell ref="V7:Y8"/>
    <mergeCell ref="AB7:AC8"/>
    <mergeCell ref="AP7:AQ8"/>
    <mergeCell ref="Z7:AA8"/>
    <mergeCell ref="BL7:BL9"/>
    <mergeCell ref="BN8:BR8"/>
    <mergeCell ref="BS8:BU8"/>
    <mergeCell ref="BV8:BV9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A7:D7"/>
    <mergeCell ref="E7:G7"/>
  </mergeCells>
  <pageMargins left="0.2" right="0.25" top="0.75" bottom="0.75" header="0.3" footer="0.3"/>
  <pageSetup paperSize="9" scale="1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"/>
  <sheetViews>
    <sheetView tabSelected="1" zoomScale="70" zoomScaleNormal="70" workbookViewId="0">
      <pane ySplit="8" topLeftCell="A15" activePane="bottomLeft" state="frozen"/>
      <selection activeCell="B1" sqref="B1"/>
      <selection pane="bottomLeft" activeCell="N37" sqref="N37"/>
    </sheetView>
  </sheetViews>
  <sheetFormatPr defaultRowHeight="15" x14ac:dyDescent="0.25"/>
  <cols>
    <col min="1" max="1" width="5.7109375" customWidth="1"/>
    <col min="2" max="2" width="9.5703125" customWidth="1"/>
    <col min="3" max="3" width="35.85546875" customWidth="1"/>
    <col min="4" max="4" width="22.5703125" customWidth="1"/>
    <col min="5" max="5" width="20.5703125" customWidth="1"/>
    <col min="6" max="6" width="22.5703125" customWidth="1"/>
    <col min="7" max="7" width="19.5703125" customWidth="1"/>
    <col min="8" max="8" width="19.85546875" customWidth="1"/>
    <col min="9" max="9" width="20.5703125" customWidth="1"/>
    <col min="10" max="10" width="23.85546875" customWidth="1"/>
    <col min="11" max="11" width="8.140625" customWidth="1"/>
    <col min="12" max="12" width="8.85546875" customWidth="1"/>
    <col min="13" max="13" width="20.140625" customWidth="1"/>
    <col min="14" max="14" width="21.5703125" customWidth="1"/>
    <col min="15" max="15" width="24.42578125" customWidth="1"/>
    <col min="16" max="16" width="13.140625" bestFit="1" customWidth="1"/>
  </cols>
  <sheetData>
    <row r="1" spans="1:16" ht="13.5" customHeight="1" x14ac:dyDescent="0.35">
      <c r="A1" s="833"/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</row>
    <row r="2" spans="1:16" ht="23.25" x14ac:dyDescent="0.35">
      <c r="A2" s="833" t="s">
        <v>402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</row>
    <row r="3" spans="1:16" ht="23.25" x14ac:dyDescent="0.35">
      <c r="A3" s="833" t="s">
        <v>820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</row>
    <row r="4" spans="1:16" ht="23.25" x14ac:dyDescent="0.35">
      <c r="A4" s="834" t="s">
        <v>5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</row>
    <row r="5" spans="1:16" ht="17.4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2"/>
      <c r="N5" s="3"/>
      <c r="O5" s="2"/>
    </row>
    <row r="6" spans="1:16" s="11" customFormat="1" ht="22.9" customHeight="1" x14ac:dyDescent="0.25">
      <c r="A6" s="827" t="s">
        <v>64</v>
      </c>
      <c r="B6" s="827" t="s">
        <v>62</v>
      </c>
      <c r="C6" s="843" t="s">
        <v>14</v>
      </c>
      <c r="D6" s="827" t="s">
        <v>821</v>
      </c>
      <c r="E6" s="829" t="s">
        <v>466</v>
      </c>
      <c r="F6" s="830"/>
      <c r="G6" s="830"/>
      <c r="H6" s="830"/>
      <c r="I6" s="830"/>
      <c r="J6" s="830"/>
      <c r="K6" s="830"/>
      <c r="L6" s="830"/>
      <c r="M6" s="830"/>
      <c r="N6" s="830"/>
      <c r="O6" s="831"/>
    </row>
    <row r="7" spans="1:16" s="11" customFormat="1" ht="33.75" customHeight="1" x14ac:dyDescent="0.25">
      <c r="A7" s="828"/>
      <c r="B7" s="828"/>
      <c r="C7" s="844"/>
      <c r="D7" s="828"/>
      <c r="E7" s="110" t="s">
        <v>455</v>
      </c>
      <c r="F7" s="110" t="s">
        <v>456</v>
      </c>
      <c r="G7" s="110" t="s">
        <v>457</v>
      </c>
      <c r="H7" s="110" t="s">
        <v>458</v>
      </c>
      <c r="I7" s="110" t="s">
        <v>459</v>
      </c>
      <c r="J7" s="110" t="s">
        <v>460</v>
      </c>
      <c r="K7" s="110" t="s">
        <v>461</v>
      </c>
      <c r="L7" s="110" t="s">
        <v>462</v>
      </c>
      <c r="M7" s="110" t="s">
        <v>463</v>
      </c>
      <c r="N7" s="110" t="s">
        <v>464</v>
      </c>
      <c r="O7" s="10" t="s">
        <v>42</v>
      </c>
    </row>
    <row r="8" spans="1:16" ht="9.75" customHeight="1" x14ac:dyDescent="0.25">
      <c r="A8" s="835"/>
      <c r="B8" s="836"/>
      <c r="C8" s="836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</row>
    <row r="9" spans="1:16" ht="18" customHeight="1" x14ac:dyDescent="0.25">
      <c r="A9" s="837">
        <v>1</v>
      </c>
      <c r="B9" s="12">
        <v>10000</v>
      </c>
      <c r="C9" s="13" t="s">
        <v>0</v>
      </c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</row>
    <row r="10" spans="1:16" x14ac:dyDescent="0.25">
      <c r="A10" s="838"/>
      <c r="B10" s="16">
        <v>11000</v>
      </c>
      <c r="C10" s="17" t="str">
        <f>'1.1'!C9</f>
        <v>Community Institutions Development</v>
      </c>
      <c r="D10" s="22">
        <f>'1.1'!G72</f>
        <v>178228750</v>
      </c>
      <c r="E10" s="22">
        <f>'1.1'!H72</f>
        <v>63632150</v>
      </c>
      <c r="F10" s="22">
        <f>'1.1'!I72</f>
        <v>114596600</v>
      </c>
      <c r="G10" s="22">
        <f>'1.1'!J72</f>
        <v>0</v>
      </c>
      <c r="H10" s="22">
        <f>'1.1'!K72</f>
        <v>0</v>
      </c>
      <c r="I10" s="22">
        <f>'1.1'!L72</f>
        <v>0</v>
      </c>
      <c r="J10" s="22">
        <f>'1.1'!M72</f>
        <v>0</v>
      </c>
      <c r="K10" s="22">
        <f>'1.1'!N72</f>
        <v>0</v>
      </c>
      <c r="L10" s="22">
        <f>'1.1'!O72</f>
        <v>0</v>
      </c>
      <c r="M10" s="22">
        <f>'1.1'!P72</f>
        <v>0</v>
      </c>
      <c r="N10" s="22">
        <f>'1.1'!Q72</f>
        <v>0</v>
      </c>
      <c r="O10" s="23">
        <f>N10+M10+L10+K10+J10+I10+H10+G10+F10+E10</f>
        <v>178228750</v>
      </c>
    </row>
    <row r="11" spans="1:16" ht="18" customHeight="1" x14ac:dyDescent="0.25">
      <c r="A11" s="838"/>
      <c r="B11" s="16">
        <v>12000</v>
      </c>
      <c r="C11" s="17" t="str">
        <f>'1.2 '!C9</f>
        <v>Stregthening SHGs and Rural Finance</v>
      </c>
      <c r="D11" s="22">
        <f>'1.2 '!G74</f>
        <v>54033600</v>
      </c>
      <c r="E11" s="22">
        <f>'1.2 '!H74</f>
        <v>2103520</v>
      </c>
      <c r="F11" s="22">
        <f>'1.2 '!I74</f>
        <v>51930080</v>
      </c>
      <c r="G11" s="22">
        <f>'1.2 '!J74</f>
        <v>0</v>
      </c>
      <c r="H11" s="22">
        <f>'1.2 '!K74</f>
        <v>0</v>
      </c>
      <c r="I11" s="22">
        <f>'1.2 '!L74</f>
        <v>0</v>
      </c>
      <c r="J11" s="22">
        <f>'1.2 '!M74</f>
        <v>0</v>
      </c>
      <c r="K11" s="22">
        <f>'1.2 '!N74</f>
        <v>0</v>
      </c>
      <c r="L11" s="22">
        <f>'1.2 '!O74</f>
        <v>0</v>
      </c>
      <c r="M11" s="22">
        <f>'1.2 '!P74</f>
        <v>0</v>
      </c>
      <c r="N11" s="22">
        <f>'1.2 '!Q74</f>
        <v>0</v>
      </c>
      <c r="O11" s="23">
        <f>N11+M11+L11+K11+J11+I11+H11+G11+F11+E11</f>
        <v>54033600</v>
      </c>
    </row>
    <row r="12" spans="1:16" ht="14.25" customHeight="1" x14ac:dyDescent="0.25">
      <c r="A12" s="839"/>
      <c r="B12" s="18"/>
      <c r="C12" s="19" t="s">
        <v>3</v>
      </c>
      <c r="D12" s="24">
        <f>SUM(D10:D11)</f>
        <v>232262350</v>
      </c>
      <c r="E12" s="24">
        <f t="shared" ref="E12:N12" si="0">SUM(E10:E11)</f>
        <v>65735670</v>
      </c>
      <c r="F12" s="24">
        <f t="shared" si="0"/>
        <v>166526680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5">
        <f>SUM(E12:N12)</f>
        <v>232262350</v>
      </c>
    </row>
    <row r="13" spans="1:16" x14ac:dyDescent="0.25">
      <c r="A13" s="2"/>
      <c r="B13" s="20"/>
      <c r="C13" s="21"/>
      <c r="D13" s="26"/>
      <c r="E13" s="26"/>
      <c r="F13" s="26"/>
      <c r="G13" s="26"/>
      <c r="H13" s="26"/>
      <c r="I13" s="26"/>
      <c r="J13" s="26"/>
      <c r="K13" s="26"/>
      <c r="L13" s="23"/>
      <c r="M13" s="23"/>
      <c r="N13" s="23"/>
      <c r="O13" s="23"/>
    </row>
    <row r="14" spans="1:16" x14ac:dyDescent="0.25">
      <c r="A14" s="837">
        <v>2</v>
      </c>
      <c r="B14" s="12">
        <v>20000</v>
      </c>
      <c r="C14" s="350" t="s">
        <v>199</v>
      </c>
      <c r="D14" s="27"/>
      <c r="E14" s="27"/>
      <c r="F14" s="27"/>
      <c r="G14" s="27"/>
      <c r="H14" s="27"/>
      <c r="I14" s="27"/>
      <c r="J14" s="27"/>
      <c r="K14" s="27"/>
      <c r="L14" s="23"/>
      <c r="M14" s="23"/>
      <c r="N14" s="23"/>
      <c r="O14" s="23"/>
    </row>
    <row r="15" spans="1:16" x14ac:dyDescent="0.25">
      <c r="A15" s="838"/>
      <c r="B15" s="88">
        <f>'2.1'!C10</f>
        <v>21000</v>
      </c>
      <c r="C15" s="87" t="str">
        <f>'2.1'!D10</f>
        <v>Natural Resource Management</v>
      </c>
      <c r="D15" s="826">
        <f>'2.1'!H136</f>
        <v>584513200</v>
      </c>
      <c r="E15" s="22">
        <f>'2.1'!I136</f>
        <v>35631400</v>
      </c>
      <c r="F15" s="22">
        <f>'2.1'!J136</f>
        <v>188526000</v>
      </c>
      <c r="G15" s="22">
        <f>'2.1'!K136</f>
        <v>21000000</v>
      </c>
      <c r="H15" s="22">
        <f>'2.1'!L136</f>
        <v>0</v>
      </c>
      <c r="I15" s="22">
        <f>'2.1'!M136</f>
        <v>48750000</v>
      </c>
      <c r="J15" s="22">
        <f>'2.1'!N136</f>
        <v>158570000</v>
      </c>
      <c r="K15" s="22">
        <f>'2.1'!O136</f>
        <v>0</v>
      </c>
      <c r="L15" s="22">
        <f>'2.1'!P136</f>
        <v>0</v>
      </c>
      <c r="M15" s="22">
        <f>'2.1'!Q136</f>
        <v>18950100</v>
      </c>
      <c r="N15" s="22">
        <f>'2.1'!R136</f>
        <v>113085700</v>
      </c>
      <c r="O15" s="23">
        <f>N15+M15+L15+K15+J15+I15+H15+G15+F15+E15</f>
        <v>584513200</v>
      </c>
      <c r="P15" s="159"/>
    </row>
    <row r="16" spans="1:16" x14ac:dyDescent="0.25">
      <c r="A16" s="838"/>
      <c r="B16" s="88">
        <f>'2.2'!B9</f>
        <v>22000</v>
      </c>
      <c r="C16" s="87" t="str">
        <f>'2.2'!C9</f>
        <v xml:space="preserve"> Food and Nutrition Security</v>
      </c>
      <c r="D16" s="22">
        <f>'2.2'!G35</f>
        <v>33363000</v>
      </c>
      <c r="E16" s="22">
        <f>'2.2'!H35</f>
        <v>4482600</v>
      </c>
      <c r="F16" s="22">
        <f>'2.2'!I35</f>
        <v>26690400</v>
      </c>
      <c r="G16" s="22">
        <f>'2.2'!J35</f>
        <v>2190000</v>
      </c>
      <c r="H16" s="22">
        <f>'2.2'!K35</f>
        <v>0</v>
      </c>
      <c r="I16" s="22">
        <f>'2.2'!L35</f>
        <v>0</v>
      </c>
      <c r="J16" s="22">
        <f>'2.2'!M35</f>
        <v>0</v>
      </c>
      <c r="K16" s="22">
        <f>'2.2'!N35</f>
        <v>0</v>
      </c>
      <c r="L16" s="22">
        <f>'2.2'!O35</f>
        <v>0</v>
      </c>
      <c r="M16" s="22">
        <f>'2.2'!P35</f>
        <v>0</v>
      </c>
      <c r="N16" s="22">
        <f>'2.2'!Q35</f>
        <v>0</v>
      </c>
      <c r="O16" s="23">
        <f>N16+M16+L16+K16+J16+I16+H16+G16+F16+E16</f>
        <v>33363000</v>
      </c>
    </row>
    <row r="17" spans="1:15" x14ac:dyDescent="0.25">
      <c r="A17" s="838"/>
      <c r="B17" s="88">
        <f>'2.3'!B10</f>
        <v>23100</v>
      </c>
      <c r="C17" s="87" t="str">
        <f>'2.3'!C9</f>
        <v>Livelihoods Improvement</v>
      </c>
      <c r="D17" s="22">
        <f>'2.3'!G59</f>
        <v>335630000</v>
      </c>
      <c r="E17" s="22">
        <f>'2.3'!H59</f>
        <v>13225900</v>
      </c>
      <c r="F17" s="22">
        <f>'2.3'!I59</f>
        <v>260706700</v>
      </c>
      <c r="G17" s="22">
        <f>'2.3'!J59</f>
        <v>8406500</v>
      </c>
      <c r="H17" s="22">
        <f>'2.3'!K59</f>
        <v>0</v>
      </c>
      <c r="I17" s="22">
        <f>'2.3'!L59</f>
        <v>8352900</v>
      </c>
      <c r="J17" s="22">
        <f>'2.3'!M59</f>
        <v>0</v>
      </c>
      <c r="K17" s="22">
        <f>'2.3'!N59</f>
        <v>0</v>
      </c>
      <c r="L17" s="22">
        <f>'2.3'!O59</f>
        <v>0</v>
      </c>
      <c r="M17" s="22">
        <f>'2.3'!P59</f>
        <v>34898000</v>
      </c>
      <c r="N17" s="22">
        <f>'2.3'!Q59</f>
        <v>10040000</v>
      </c>
      <c r="O17" s="23">
        <f>N17+M17+L17+K17+J17+I17+H17+G17+F17+E17</f>
        <v>335630000</v>
      </c>
    </row>
    <row r="18" spans="1:15" x14ac:dyDescent="0.25">
      <c r="A18" s="839"/>
      <c r="B18" s="18"/>
      <c r="C18" s="19" t="s">
        <v>3</v>
      </c>
      <c r="D18" s="24">
        <f t="shared" ref="D18:N18" si="1">SUM(D15:D17)</f>
        <v>953506200</v>
      </c>
      <c r="E18" s="24">
        <f t="shared" si="1"/>
        <v>53339900</v>
      </c>
      <c r="F18" s="24">
        <f t="shared" si="1"/>
        <v>475923100</v>
      </c>
      <c r="G18" s="24">
        <f t="shared" si="1"/>
        <v>31596500</v>
      </c>
      <c r="H18" s="24">
        <f t="shared" si="1"/>
        <v>0</v>
      </c>
      <c r="I18" s="24">
        <f t="shared" si="1"/>
        <v>57102900</v>
      </c>
      <c r="J18" s="24">
        <f t="shared" si="1"/>
        <v>158570000</v>
      </c>
      <c r="K18" s="24">
        <f t="shared" si="1"/>
        <v>0</v>
      </c>
      <c r="L18" s="24">
        <f t="shared" si="1"/>
        <v>0</v>
      </c>
      <c r="M18" s="24">
        <f t="shared" si="1"/>
        <v>53848100</v>
      </c>
      <c r="N18" s="24">
        <f t="shared" si="1"/>
        <v>123125700</v>
      </c>
      <c r="O18" s="25">
        <f>SUM(E18:N18)</f>
        <v>953506200</v>
      </c>
    </row>
    <row r="19" spans="1:15" ht="13.5" customHeight="1" x14ac:dyDescent="0.25">
      <c r="A19" s="2"/>
      <c r="B19" s="20"/>
      <c r="C19" s="21"/>
      <c r="D19" s="26"/>
      <c r="E19" s="26"/>
      <c r="F19" s="26"/>
      <c r="G19" s="26"/>
      <c r="H19" s="26"/>
      <c r="I19" s="26"/>
      <c r="J19" s="26"/>
      <c r="K19" s="26"/>
      <c r="L19" s="23"/>
      <c r="M19" s="23"/>
      <c r="N19" s="23"/>
      <c r="O19" s="23"/>
    </row>
    <row r="20" spans="1:15" ht="30" x14ac:dyDescent="0.25">
      <c r="A20" s="837">
        <v>3</v>
      </c>
      <c r="B20" s="12">
        <v>30000</v>
      </c>
      <c r="C20" s="13" t="s">
        <v>201</v>
      </c>
      <c r="D20" s="27"/>
      <c r="E20" s="27"/>
      <c r="F20" s="27"/>
      <c r="G20" s="27"/>
      <c r="H20" s="27"/>
      <c r="I20" s="27"/>
      <c r="J20" s="27"/>
      <c r="K20" s="27"/>
      <c r="L20" s="23"/>
      <c r="M20" s="23"/>
      <c r="N20" s="23"/>
      <c r="O20" s="23"/>
    </row>
    <row r="21" spans="1:15" x14ac:dyDescent="0.25">
      <c r="A21" s="838"/>
      <c r="B21" s="16">
        <f>'3.1 '!C9</f>
        <v>31000</v>
      </c>
      <c r="C21" s="87" t="str">
        <f>'3.1 '!D9</f>
        <v>Community Infrastructure</v>
      </c>
      <c r="D21" s="22">
        <f>'3.1 '!H53</f>
        <v>374854000</v>
      </c>
      <c r="E21" s="22">
        <f>'3.1 '!I53</f>
        <v>14467000</v>
      </c>
      <c r="F21" s="22">
        <f>'3.1 '!J53</f>
        <v>14400000</v>
      </c>
      <c r="G21" s="22">
        <f>'3.1 '!K53</f>
        <v>43095000</v>
      </c>
      <c r="H21" s="22">
        <f>'3.1 '!L53</f>
        <v>55000000</v>
      </c>
      <c r="I21" s="22">
        <f>'3.1 '!M53</f>
        <v>242717000</v>
      </c>
      <c r="J21" s="22">
        <f>'3.1 '!N53</f>
        <v>3720000</v>
      </c>
      <c r="K21" s="22">
        <f>'3.1 '!O53</f>
        <v>0</v>
      </c>
      <c r="L21" s="22">
        <f>'3.1 '!P53</f>
        <v>0</v>
      </c>
      <c r="M21" s="22">
        <f>'3.1 '!Q53</f>
        <v>1455000</v>
      </c>
      <c r="N21" s="22">
        <f>'3.1 '!R53</f>
        <v>0</v>
      </c>
      <c r="O21" s="23">
        <f>N21+M21+L21+K21+J21+I21+H21+G21+F21+E21</f>
        <v>374854000</v>
      </c>
    </row>
    <row r="22" spans="1:15" x14ac:dyDescent="0.25">
      <c r="A22" s="838"/>
      <c r="B22" s="16">
        <f>'3.2 '!B10</f>
        <v>32000</v>
      </c>
      <c r="C22" s="87" t="str">
        <f>'3.2 '!C10</f>
        <v>Drudgery Reduction</v>
      </c>
      <c r="D22" s="22">
        <f>'3.2 '!G52</f>
        <v>231140000</v>
      </c>
      <c r="E22" s="22">
        <f>'3.2 '!H52</f>
        <v>14545000</v>
      </c>
      <c r="F22" s="22">
        <f>'3.2 '!I52</f>
        <v>143312000</v>
      </c>
      <c r="G22" s="22">
        <f>'3.2 '!J52</f>
        <v>0</v>
      </c>
      <c r="H22" s="22">
        <f>'3.2 '!K52</f>
        <v>0</v>
      </c>
      <c r="I22" s="22">
        <f>'3.2 '!L52</f>
        <v>58798000</v>
      </c>
      <c r="J22" s="22">
        <f>'3.2 '!M52</f>
        <v>0</v>
      </c>
      <c r="K22" s="22">
        <f>'3.2 '!N52</f>
        <v>0</v>
      </c>
      <c r="L22" s="22">
        <f>'3.2 '!O52</f>
        <v>0</v>
      </c>
      <c r="M22" s="22">
        <f>'3.2 '!P52</f>
        <v>14485000</v>
      </c>
      <c r="N22" s="22">
        <f>'3.2 '!Q52</f>
        <v>0</v>
      </c>
      <c r="O22" s="23">
        <f>N22+M22+L22+K22+J22+I22+H22+G22+F22+E22</f>
        <v>231140000</v>
      </c>
    </row>
    <row r="23" spans="1:15" x14ac:dyDescent="0.25">
      <c r="A23" s="839"/>
      <c r="B23" s="18"/>
      <c r="C23" s="19" t="s">
        <v>3</v>
      </c>
      <c r="D23" s="24">
        <f>SUM(D21:D22)</f>
        <v>605994000</v>
      </c>
      <c r="E23" s="24">
        <f t="shared" ref="E23:N23" si="2">SUM(E21:E22)</f>
        <v>29012000</v>
      </c>
      <c r="F23" s="24">
        <f t="shared" si="2"/>
        <v>157712000</v>
      </c>
      <c r="G23" s="24">
        <f t="shared" si="2"/>
        <v>43095000</v>
      </c>
      <c r="H23" s="24">
        <f t="shared" si="2"/>
        <v>55000000</v>
      </c>
      <c r="I23" s="24">
        <f t="shared" si="2"/>
        <v>301515000</v>
      </c>
      <c r="J23" s="24">
        <f t="shared" si="2"/>
        <v>3720000</v>
      </c>
      <c r="K23" s="24">
        <f t="shared" si="2"/>
        <v>0</v>
      </c>
      <c r="L23" s="24">
        <f t="shared" si="2"/>
        <v>0</v>
      </c>
      <c r="M23" s="24">
        <f t="shared" si="2"/>
        <v>15940000</v>
      </c>
      <c r="N23" s="24">
        <f t="shared" si="2"/>
        <v>0</v>
      </c>
      <c r="O23" s="25">
        <f>SUM(E23:N23)</f>
        <v>605994000</v>
      </c>
    </row>
    <row r="24" spans="1:15" x14ac:dyDescent="0.25">
      <c r="A24" s="2"/>
      <c r="B24" s="20"/>
      <c r="C24" s="21"/>
      <c r="D24" s="26"/>
      <c r="E24" s="26"/>
      <c r="F24" s="26"/>
      <c r="G24" s="26"/>
      <c r="H24" s="26"/>
      <c r="I24" s="26"/>
      <c r="J24" s="26"/>
      <c r="K24" s="26"/>
      <c r="L24" s="23"/>
      <c r="M24" s="23"/>
      <c r="N24" s="23"/>
      <c r="O24" s="23"/>
    </row>
    <row r="25" spans="1:15" x14ac:dyDescent="0.25">
      <c r="A25" s="837">
        <v>4</v>
      </c>
      <c r="B25" s="12">
        <v>40000</v>
      </c>
      <c r="C25" s="13" t="str">
        <f>'4.1 '!C5:Q5</f>
        <v>Programme Management</v>
      </c>
      <c r="D25" s="27"/>
      <c r="E25" s="27"/>
      <c r="F25" s="27"/>
      <c r="G25" s="27"/>
      <c r="H25" s="27"/>
      <c r="I25" s="27"/>
      <c r="J25" s="27"/>
      <c r="K25" s="27"/>
      <c r="L25" s="25"/>
      <c r="M25" s="25"/>
      <c r="N25" s="25"/>
      <c r="O25" s="191"/>
    </row>
    <row r="26" spans="1:15" ht="15.75" customHeight="1" x14ac:dyDescent="0.25">
      <c r="A26" s="838"/>
      <c r="B26" s="16">
        <v>41000</v>
      </c>
      <c r="C26" s="17" t="str">
        <f>'4.1 '!C10</f>
        <v xml:space="preserve"> Project Management Unit</v>
      </c>
      <c r="D26" s="23">
        <f>'4.1 '!G117</f>
        <v>51290000</v>
      </c>
      <c r="E26" s="23">
        <f>'4.1 '!H117</f>
        <v>21002200</v>
      </c>
      <c r="F26" s="23">
        <f>'4.1 '!I117</f>
        <v>30287800</v>
      </c>
      <c r="G26" s="23">
        <f>'4.1 '!J117</f>
        <v>0</v>
      </c>
      <c r="H26" s="23">
        <f>'4.1 '!K117</f>
        <v>0</v>
      </c>
      <c r="I26" s="23">
        <f>'4.1 '!L117</f>
        <v>0</v>
      </c>
      <c r="J26" s="23">
        <f>'4.1 '!M117</f>
        <v>0</v>
      </c>
      <c r="K26" s="23">
        <f>'4.1 '!N117</f>
        <v>0</v>
      </c>
      <c r="L26" s="23">
        <f>'4.1 '!O117</f>
        <v>0</v>
      </c>
      <c r="M26" s="23">
        <f>'4.1 '!P117</f>
        <v>0</v>
      </c>
      <c r="N26" s="23">
        <f>'4.1 '!Q117</f>
        <v>0</v>
      </c>
      <c r="O26" s="192">
        <f>N26+M26+L26+K26+J26+I26+H26+G26+F26+E26</f>
        <v>51290000</v>
      </c>
    </row>
    <row r="27" spans="1:15" ht="15.75" customHeight="1" x14ac:dyDescent="0.25">
      <c r="A27" s="838"/>
      <c r="B27" s="16">
        <f>'4.2'!B10</f>
        <v>42000</v>
      </c>
      <c r="C27" s="86" t="str">
        <f>'4.2'!C10</f>
        <v>Micro-Project Agency  Unit</v>
      </c>
      <c r="D27" s="23">
        <f>'4.2'!G112</f>
        <v>83958900</v>
      </c>
      <c r="E27" s="23">
        <f>'4.2'!H112</f>
        <v>33577200</v>
      </c>
      <c r="F27" s="23">
        <f>'4.2'!I112</f>
        <v>50381700</v>
      </c>
      <c r="G27" s="23">
        <f>'4.2'!J112</f>
        <v>0</v>
      </c>
      <c r="H27" s="23">
        <f>'4.2'!K112</f>
        <v>0</v>
      </c>
      <c r="I27" s="23">
        <f>'4.2'!L112</f>
        <v>0</v>
      </c>
      <c r="J27" s="23">
        <f>'4.2'!M112</f>
        <v>0</v>
      </c>
      <c r="K27" s="23">
        <f>'4.2'!N112</f>
        <v>0</v>
      </c>
      <c r="L27" s="23">
        <f>'4.2'!O112</f>
        <v>0</v>
      </c>
      <c r="M27" s="23">
        <f>'4.2'!P112</f>
        <v>0</v>
      </c>
      <c r="N27" s="23">
        <f>'4.2'!Q112</f>
        <v>0</v>
      </c>
      <c r="O27" s="192">
        <f>N27+M27+L27+K27+J27+I27+H27+G27+F27+E27</f>
        <v>83958900</v>
      </c>
    </row>
    <row r="28" spans="1:15" x14ac:dyDescent="0.25">
      <c r="A28" s="838"/>
      <c r="B28" s="16">
        <f>'4.3 '!B10</f>
        <v>43000</v>
      </c>
      <c r="C28" s="86" t="str">
        <f>'4.3 '!C10</f>
        <v>Monitoring and Evaluation and KM</v>
      </c>
      <c r="D28" s="23">
        <f>'4.3 '!G42</f>
        <v>2405000</v>
      </c>
      <c r="E28" s="23">
        <f>'4.3 '!H42</f>
        <v>481000</v>
      </c>
      <c r="F28" s="23">
        <f>'4.3 '!I42</f>
        <v>1924000</v>
      </c>
      <c r="G28" s="23">
        <f>'4.3 '!J42</f>
        <v>0</v>
      </c>
      <c r="H28" s="23">
        <f>'4.3 '!K42</f>
        <v>0</v>
      </c>
      <c r="I28" s="23">
        <f>'4.3 '!L42</f>
        <v>0</v>
      </c>
      <c r="J28" s="23">
        <f>'4.3 '!M42</f>
        <v>0</v>
      </c>
      <c r="K28" s="23">
        <f>'4.3 '!N42</f>
        <v>0</v>
      </c>
      <c r="L28" s="23">
        <f>'4.3 '!O42</f>
        <v>0</v>
      </c>
      <c r="M28" s="23">
        <f>'4.3 '!P42</f>
        <v>0</v>
      </c>
      <c r="N28" s="23">
        <f>'4.3 '!Q42</f>
        <v>0</v>
      </c>
      <c r="O28" s="192">
        <f>N28+M28+L28+K28+J28+I28+H28+G28+F28+E28</f>
        <v>2405000</v>
      </c>
    </row>
    <row r="29" spans="1:15" x14ac:dyDescent="0.25">
      <c r="A29" s="839"/>
      <c r="B29" s="18"/>
      <c r="C29" s="19" t="s">
        <v>3</v>
      </c>
      <c r="D29" s="25">
        <f>SUM(D26:D28)</f>
        <v>137653900</v>
      </c>
      <c r="E29" s="25">
        <f t="shared" ref="E29:N29" si="3">SUM(E26:E28)</f>
        <v>55060400</v>
      </c>
      <c r="F29" s="25">
        <f t="shared" si="3"/>
        <v>82593500</v>
      </c>
      <c r="G29" s="25">
        <f t="shared" si="3"/>
        <v>0</v>
      </c>
      <c r="H29" s="25">
        <f t="shared" si="3"/>
        <v>0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>SUM(E29:N29)</f>
        <v>137653900</v>
      </c>
    </row>
    <row r="30" spans="1:15" x14ac:dyDescent="0.25">
      <c r="A30" s="2"/>
      <c r="B30" s="2"/>
      <c r="C30" s="2"/>
      <c r="D30" s="23"/>
      <c r="E30" s="23"/>
      <c r="F30" s="23"/>
      <c r="G30" s="23"/>
      <c r="H30" s="23"/>
      <c r="I30" s="23"/>
      <c r="J30" s="23"/>
      <c r="K30" s="23"/>
      <c r="L30" s="28"/>
      <c r="M30" s="28"/>
      <c r="N30" s="28"/>
      <c r="O30" s="28"/>
    </row>
    <row r="31" spans="1:15" x14ac:dyDescent="0.25">
      <c r="A31" s="840" t="s">
        <v>4</v>
      </c>
      <c r="B31" s="841"/>
      <c r="C31" s="842"/>
      <c r="D31" s="25">
        <f>D29+D23+D18+D12</f>
        <v>1929416450</v>
      </c>
      <c r="E31" s="25">
        <f t="shared" ref="E31:N31" si="4">E29+E23+E18+E12</f>
        <v>203147970</v>
      </c>
      <c r="F31" s="25">
        <f t="shared" si="4"/>
        <v>882755280</v>
      </c>
      <c r="G31" s="25">
        <f t="shared" si="4"/>
        <v>74691500</v>
      </c>
      <c r="H31" s="25">
        <f t="shared" si="4"/>
        <v>55000000</v>
      </c>
      <c r="I31" s="25">
        <f t="shared" si="4"/>
        <v>358617900</v>
      </c>
      <c r="J31" s="25">
        <f t="shared" si="4"/>
        <v>162290000</v>
      </c>
      <c r="K31" s="25">
        <f t="shared" si="4"/>
        <v>0</v>
      </c>
      <c r="L31" s="25">
        <f t="shared" si="4"/>
        <v>0</v>
      </c>
      <c r="M31" s="25">
        <f t="shared" si="4"/>
        <v>69788100</v>
      </c>
      <c r="N31" s="25">
        <f t="shared" si="4"/>
        <v>123125700</v>
      </c>
      <c r="O31" s="25">
        <f>O29+O23+O18+O12</f>
        <v>1929416450</v>
      </c>
    </row>
    <row r="32" spans="1:15" x14ac:dyDescent="0.25">
      <c r="A32" s="2"/>
      <c r="B32" s="2"/>
      <c r="C32" s="2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</row>
    <row r="33" spans="1:15" ht="18.75" hidden="1" x14ac:dyDescent="0.3">
      <c r="A33" s="29" t="s">
        <v>454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9"/>
      <c r="N33" s="5"/>
      <c r="O33" s="5"/>
    </row>
    <row r="34" spans="1:15" x14ac:dyDescent="0.25">
      <c r="A34" s="6"/>
      <c r="B34" s="832"/>
      <c r="C34" s="832"/>
      <c r="D34" s="832"/>
      <c r="E34" s="109"/>
      <c r="F34" s="109"/>
      <c r="G34" s="109"/>
      <c r="H34" s="109"/>
      <c r="I34" s="109"/>
      <c r="J34" s="109"/>
      <c r="K34" s="109"/>
      <c r="L34" s="6"/>
      <c r="M34" s="6"/>
      <c r="N34" s="6"/>
      <c r="O34" s="6"/>
    </row>
    <row r="35" spans="1:1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  <c r="O35" s="6"/>
    </row>
    <row r="36" spans="1:15" x14ac:dyDescent="0.25">
      <c r="O36" s="1"/>
    </row>
    <row r="37" spans="1:15" x14ac:dyDescent="0.25">
      <c r="J37" s="159">
        <f>D31-O31</f>
        <v>0</v>
      </c>
    </row>
    <row r="38" spans="1:15" x14ac:dyDescent="0.25">
      <c r="O38" s="159"/>
    </row>
  </sheetData>
  <mergeCells count="16">
    <mergeCell ref="D6:D7"/>
    <mergeCell ref="E6:O6"/>
    <mergeCell ref="B34:D34"/>
    <mergeCell ref="A1:O1"/>
    <mergeCell ref="A2:O2"/>
    <mergeCell ref="A3:O3"/>
    <mergeCell ref="A4:O4"/>
    <mergeCell ref="A8:C8"/>
    <mergeCell ref="A9:A12"/>
    <mergeCell ref="A14:A18"/>
    <mergeCell ref="A20:A23"/>
    <mergeCell ref="A25:A29"/>
    <mergeCell ref="A31:C31"/>
    <mergeCell ref="A6:A7"/>
    <mergeCell ref="C6:C7"/>
    <mergeCell ref="B6:B7"/>
  </mergeCells>
  <pageMargins left="0.26" right="0.3" top="0.53" bottom="0.18" header="0.17" footer="0.16"/>
  <pageSetup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3"/>
  <sheetViews>
    <sheetView topLeftCell="A19" zoomScale="90" zoomScaleNormal="90" workbookViewId="0">
      <selection activeCell="H24" sqref="H24"/>
    </sheetView>
  </sheetViews>
  <sheetFormatPr defaultColWidth="9.140625" defaultRowHeight="15.75" x14ac:dyDescent="0.25"/>
  <cols>
    <col min="1" max="1" width="5.7109375" style="32" customWidth="1"/>
    <col min="2" max="2" width="8" style="32" customWidth="1"/>
    <col min="3" max="3" width="31" style="32" customWidth="1"/>
    <col min="4" max="4" width="19.42578125" style="32" customWidth="1"/>
    <col min="5" max="5" width="16.5703125" style="32" customWidth="1"/>
    <col min="6" max="6" width="21.28515625" style="32" customWidth="1"/>
    <col min="7" max="7" width="15.7109375" style="32" customWidth="1"/>
    <col min="8" max="8" width="15.140625" style="32" customWidth="1"/>
    <col min="9" max="9" width="17.140625" style="32" customWidth="1"/>
    <col min="10" max="10" width="16.5703125" style="32" customWidth="1"/>
    <col min="11" max="11" width="5.7109375" style="32" customWidth="1"/>
    <col min="12" max="12" width="7.42578125" style="32" customWidth="1"/>
    <col min="13" max="13" width="15.7109375" style="32" customWidth="1"/>
    <col min="14" max="14" width="16.85546875" style="32" customWidth="1"/>
    <col min="15" max="15" width="19.42578125" style="32" customWidth="1"/>
    <col min="16" max="16" width="17" style="32" customWidth="1"/>
    <col min="17" max="17" width="15.85546875" style="32" customWidth="1"/>
    <col min="18" max="18" width="18" style="32" customWidth="1"/>
    <col min="19" max="19" width="17.28515625" style="32" customWidth="1"/>
    <col min="20" max="29" width="18" style="32" customWidth="1"/>
    <col min="30" max="30" width="16.85546875" style="32" customWidth="1"/>
    <col min="31" max="31" width="18.5703125" style="32" customWidth="1"/>
    <col min="32" max="32" width="17" style="32" customWidth="1"/>
    <col min="33" max="33" width="18" style="32" customWidth="1"/>
    <col min="34" max="34" width="21.28515625" style="32" customWidth="1"/>
    <col min="35" max="35" width="9.140625" style="32"/>
    <col min="36" max="36" width="19.42578125" style="32" customWidth="1"/>
    <col min="37" max="16384" width="9.140625" style="32"/>
  </cols>
  <sheetData>
    <row r="1" spans="1:34" ht="13.5" customHeight="1" x14ac:dyDescent="0.25">
      <c r="A1" s="854"/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</row>
    <row r="2" spans="1:34" x14ac:dyDescent="0.25">
      <c r="A2" s="854" t="s">
        <v>402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</row>
    <row r="3" spans="1:34" x14ac:dyDescent="0.25">
      <c r="A3" s="854" t="s">
        <v>820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</row>
    <row r="4" spans="1:34" x14ac:dyDescent="0.25">
      <c r="A4" s="855" t="s">
        <v>5</v>
      </c>
      <c r="B4" s="855"/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  <c r="O4" s="855"/>
    </row>
    <row r="5" spans="1:34" ht="14.25" customHeight="1" x14ac:dyDescent="0.25">
      <c r="A5" s="702"/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3"/>
      <c r="M5" s="702"/>
      <c r="N5" s="703"/>
      <c r="O5" s="702"/>
    </row>
    <row r="6" spans="1:34" s="704" customFormat="1" ht="22.9" customHeight="1" x14ac:dyDescent="0.25">
      <c r="A6" s="856" t="s">
        <v>64</v>
      </c>
      <c r="B6" s="856" t="s">
        <v>62</v>
      </c>
      <c r="C6" s="858" t="s">
        <v>14</v>
      </c>
      <c r="D6" s="856" t="s">
        <v>821</v>
      </c>
      <c r="E6" s="860" t="s">
        <v>466</v>
      </c>
      <c r="F6" s="861"/>
      <c r="G6" s="861"/>
      <c r="H6" s="861"/>
      <c r="I6" s="861"/>
      <c r="J6" s="861"/>
      <c r="K6" s="861"/>
      <c r="L6" s="861"/>
      <c r="M6" s="861"/>
      <c r="N6" s="861"/>
      <c r="O6" s="862"/>
    </row>
    <row r="7" spans="1:34" s="707" customFormat="1" ht="54" customHeight="1" x14ac:dyDescent="0.25">
      <c r="A7" s="857"/>
      <c r="B7" s="857"/>
      <c r="C7" s="859"/>
      <c r="D7" s="857"/>
      <c r="E7" s="30" t="s">
        <v>455</v>
      </c>
      <c r="F7" s="30" t="s">
        <v>456</v>
      </c>
      <c r="G7" s="30" t="s">
        <v>457</v>
      </c>
      <c r="H7" s="30" t="s">
        <v>458</v>
      </c>
      <c r="I7" s="30" t="s">
        <v>459</v>
      </c>
      <c r="J7" s="30" t="s">
        <v>460</v>
      </c>
      <c r="K7" s="30" t="s">
        <v>461</v>
      </c>
      <c r="L7" s="30" t="s">
        <v>462</v>
      </c>
      <c r="M7" s="30" t="s">
        <v>463</v>
      </c>
      <c r="N7" s="30" t="s">
        <v>464</v>
      </c>
      <c r="O7" s="705" t="s">
        <v>42</v>
      </c>
      <c r="P7" s="700" t="s">
        <v>878</v>
      </c>
      <c r="Q7" s="700" t="s">
        <v>879</v>
      </c>
      <c r="R7" s="700" t="s">
        <v>880</v>
      </c>
      <c r="S7" s="700" t="s">
        <v>881</v>
      </c>
      <c r="T7" s="700" t="s">
        <v>436</v>
      </c>
      <c r="U7" s="700" t="s">
        <v>437</v>
      </c>
      <c r="V7" s="700" t="s">
        <v>438</v>
      </c>
      <c r="W7" s="700" t="s">
        <v>439</v>
      </c>
      <c r="X7" s="700" t="s">
        <v>440</v>
      </c>
      <c r="Y7" s="700" t="s">
        <v>441</v>
      </c>
      <c r="Z7" s="700" t="s">
        <v>442</v>
      </c>
      <c r="AA7" s="700" t="s">
        <v>443</v>
      </c>
      <c r="AB7" s="700" t="s">
        <v>444</v>
      </c>
      <c r="AC7" s="700" t="s">
        <v>445</v>
      </c>
      <c r="AD7" s="700" t="s">
        <v>446</v>
      </c>
      <c r="AE7" s="700" t="s">
        <v>447</v>
      </c>
      <c r="AF7" s="701" t="s">
        <v>448</v>
      </c>
      <c r="AG7" s="308" t="s">
        <v>449</v>
      </c>
      <c r="AH7" s="706" t="s">
        <v>42</v>
      </c>
    </row>
    <row r="8" spans="1:34" ht="9.75" customHeight="1" x14ac:dyDescent="0.25">
      <c r="A8" s="846"/>
      <c r="B8" s="847"/>
      <c r="C8" s="847"/>
      <c r="D8" s="708"/>
      <c r="E8" s="708"/>
      <c r="F8" s="708"/>
      <c r="G8" s="708"/>
      <c r="H8" s="708"/>
      <c r="I8" s="708"/>
      <c r="J8" s="708"/>
      <c r="K8" s="708"/>
      <c r="L8" s="702"/>
      <c r="M8" s="702"/>
      <c r="N8" s="702"/>
      <c r="O8" s="702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28"/>
      <c r="AG8" s="628"/>
      <c r="AH8" s="628"/>
    </row>
    <row r="9" spans="1:34" ht="18" customHeight="1" x14ac:dyDescent="0.25">
      <c r="A9" s="848">
        <v>1</v>
      </c>
      <c r="B9" s="709">
        <v>10000</v>
      </c>
      <c r="C9" s="710" t="s">
        <v>0</v>
      </c>
      <c r="D9" s="711"/>
      <c r="E9" s="711"/>
      <c r="F9" s="711"/>
      <c r="G9" s="711"/>
      <c r="H9" s="711"/>
      <c r="I9" s="711"/>
      <c r="J9" s="711"/>
      <c r="K9" s="711"/>
      <c r="L9" s="712"/>
      <c r="M9" s="712"/>
      <c r="N9" s="712"/>
      <c r="O9" s="713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</row>
    <row r="10" spans="1:34" ht="31.5" x14ac:dyDescent="0.25">
      <c r="A10" s="849"/>
      <c r="B10" s="714">
        <v>11000</v>
      </c>
      <c r="C10" s="715" t="str">
        <f>'1.1'!C9</f>
        <v>Community Institutions Development</v>
      </c>
      <c r="D10" s="716">
        <f>'1.1'!G72</f>
        <v>178228750</v>
      </c>
      <c r="E10" s="716">
        <f>'1.1'!H72</f>
        <v>63632150</v>
      </c>
      <c r="F10" s="716">
        <f>'1.1'!I72</f>
        <v>114596600</v>
      </c>
      <c r="G10" s="716">
        <f>'1.1'!J72</f>
        <v>0</v>
      </c>
      <c r="H10" s="716">
        <f>'1.1'!K72</f>
        <v>0</v>
      </c>
      <c r="I10" s="716">
        <f>'1.1'!L72</f>
        <v>0</v>
      </c>
      <c r="J10" s="716">
        <f>'1.1'!M72</f>
        <v>0</v>
      </c>
      <c r="K10" s="716">
        <f>'1.1'!N72</f>
        <v>0</v>
      </c>
      <c r="L10" s="716">
        <f>'1.1'!O72</f>
        <v>0</v>
      </c>
      <c r="M10" s="716">
        <f>'1.1'!P72</f>
        <v>0</v>
      </c>
      <c r="N10" s="716">
        <f>'1.1'!Q72</f>
        <v>0</v>
      </c>
      <c r="O10" s="717">
        <f>N10+M10+L10+K10+J10+I10+H10+G10+F10+E10</f>
        <v>178228750</v>
      </c>
      <c r="P10" s="718">
        <f>'1.1'!AA72</f>
        <v>8173500</v>
      </c>
      <c r="Q10" s="718">
        <f>'1.1'!AC72</f>
        <v>7233650</v>
      </c>
      <c r="R10" s="718">
        <f>'1.1'!AE72</f>
        <v>11286500</v>
      </c>
      <c r="S10" s="718">
        <f>'1.1'!AG72</f>
        <v>9727150</v>
      </c>
      <c r="T10" s="718">
        <f>'1.1'!AI72</f>
        <v>8666050</v>
      </c>
      <c r="U10" s="718">
        <f>'1.1'!AK72</f>
        <v>11633500</v>
      </c>
      <c r="V10" s="718">
        <f>'1.1'!AM72</f>
        <v>7549300</v>
      </c>
      <c r="W10" s="718">
        <f>'1.1'!AO72</f>
        <v>15552750</v>
      </c>
      <c r="X10" s="718">
        <f>'1.1'!AQ72</f>
        <v>6653900</v>
      </c>
      <c r="Y10" s="718">
        <f>'1.1'!AS72</f>
        <v>7417200</v>
      </c>
      <c r="Z10" s="718">
        <f>'1.1'!AU72</f>
        <v>8394500</v>
      </c>
      <c r="AA10" s="718">
        <f>'1.1'!AW72</f>
        <v>9313000</v>
      </c>
      <c r="AB10" s="718">
        <f>'1.1'!AY72</f>
        <v>8849500</v>
      </c>
      <c r="AC10" s="718">
        <f>'1.1'!BA72</f>
        <v>9185500</v>
      </c>
      <c r="AD10" s="718">
        <f>'1.1'!BC72</f>
        <v>12412250</v>
      </c>
      <c r="AE10" s="718">
        <f>'1.1'!BE72</f>
        <v>15788500</v>
      </c>
      <c r="AF10" s="718">
        <f>'1.1'!BG72</f>
        <v>9619500</v>
      </c>
      <c r="AG10" s="718">
        <f>'1.1'!BI72</f>
        <v>10772500</v>
      </c>
      <c r="AH10" s="718">
        <f>AG10+AF10+AE10+AD10+AC10+AB10+AA10+Z10+Y10+X10+W10+V10+U10+T10+S10+R10+Q10+P10</f>
        <v>178228750</v>
      </c>
    </row>
    <row r="11" spans="1:34" ht="29.25" customHeight="1" x14ac:dyDescent="0.25">
      <c r="A11" s="849"/>
      <c r="B11" s="714">
        <v>12000</v>
      </c>
      <c r="C11" s="715" t="str">
        <f>'1.2 '!C9</f>
        <v>Stregthening SHGs and Rural Finance</v>
      </c>
      <c r="D11" s="716">
        <f>'1.2 '!G74</f>
        <v>54033600</v>
      </c>
      <c r="E11" s="716">
        <f>'1.2 '!H74</f>
        <v>2103520</v>
      </c>
      <c r="F11" s="716">
        <f>'1.2 '!I74</f>
        <v>51930080</v>
      </c>
      <c r="G11" s="716">
        <f>'1.2 '!J74</f>
        <v>0</v>
      </c>
      <c r="H11" s="716">
        <f>'1.2 '!K74</f>
        <v>0</v>
      </c>
      <c r="I11" s="716">
        <f>'1.2 '!L74</f>
        <v>0</v>
      </c>
      <c r="J11" s="716">
        <f>'1.2 '!M74</f>
        <v>0</v>
      </c>
      <c r="K11" s="716">
        <f>'1.2 '!N74</f>
        <v>0</v>
      </c>
      <c r="L11" s="716">
        <f>'1.2 '!O74</f>
        <v>0</v>
      </c>
      <c r="M11" s="716">
        <f>'1.2 '!P74</f>
        <v>0</v>
      </c>
      <c r="N11" s="716">
        <f>'1.2 '!Q74</f>
        <v>0</v>
      </c>
      <c r="O11" s="719">
        <f>N11+M11+L11+K11+J11+I11+H11+G11+F11+E11</f>
        <v>54033600</v>
      </c>
      <c r="P11" s="718">
        <f>'1.2 '!AA74</f>
        <v>2159900</v>
      </c>
      <c r="Q11" s="718">
        <f>'1.2 '!AC74</f>
        <v>1941050</v>
      </c>
      <c r="R11" s="718">
        <f>'1.2 '!AE74</f>
        <v>2205950</v>
      </c>
      <c r="S11" s="718">
        <f>'1.2 '!AG74</f>
        <v>3744550</v>
      </c>
      <c r="T11" s="718">
        <f>'1.2 '!AI74</f>
        <v>1476700</v>
      </c>
      <c r="U11" s="718">
        <f>'1.2 '!AK74</f>
        <v>2549400</v>
      </c>
      <c r="V11" s="718">
        <f>'1.2 '!AM74</f>
        <v>3027050</v>
      </c>
      <c r="W11" s="718">
        <f>'1.2 '!AO74</f>
        <v>3277000</v>
      </c>
      <c r="X11" s="718">
        <f>'1.2 '!AQ74</f>
        <v>1293850</v>
      </c>
      <c r="Y11" s="718">
        <f>'1.2 '!AS74</f>
        <v>2068100</v>
      </c>
      <c r="Z11" s="718">
        <f>'1.2 '!AU74</f>
        <v>3594000</v>
      </c>
      <c r="AA11" s="718">
        <f>'1.2 '!AW74</f>
        <v>3136150</v>
      </c>
      <c r="AB11" s="718">
        <f>'1.2 '!AY74</f>
        <v>5242050</v>
      </c>
      <c r="AC11" s="718">
        <f>'1.2 '!BA74</f>
        <v>5155750</v>
      </c>
      <c r="AD11" s="718">
        <f>'1.2 '!BC74</f>
        <v>2175650</v>
      </c>
      <c r="AE11" s="718">
        <f>'1.2 '!BE74</f>
        <v>7011250</v>
      </c>
      <c r="AF11" s="718">
        <f>'1.2 '!BG74</f>
        <v>3855200</v>
      </c>
      <c r="AG11" s="718">
        <f>'1.2 '!BI74</f>
        <v>120000</v>
      </c>
      <c r="AH11" s="718">
        <f>AG11+AF11+AE11+AD11+AC11+AB11+AA11+Z11+Y11+X11+W11+V11+U11+T11+S11+R11+Q11+P11</f>
        <v>54033600</v>
      </c>
    </row>
    <row r="12" spans="1:34" ht="14.25" customHeight="1" x14ac:dyDescent="0.25">
      <c r="A12" s="850"/>
      <c r="B12" s="720"/>
      <c r="C12" s="721" t="s">
        <v>3</v>
      </c>
      <c r="D12" s="722">
        <f>SUM(D10:D11)</f>
        <v>232262350</v>
      </c>
      <c r="E12" s="722">
        <f t="shared" ref="E12:N12" si="0">SUM(E10:E11)</f>
        <v>65735670</v>
      </c>
      <c r="F12" s="722">
        <f t="shared" si="0"/>
        <v>166526680</v>
      </c>
      <c r="G12" s="722">
        <f t="shared" si="0"/>
        <v>0</v>
      </c>
      <c r="H12" s="722">
        <f t="shared" si="0"/>
        <v>0</v>
      </c>
      <c r="I12" s="722">
        <f t="shared" si="0"/>
        <v>0</v>
      </c>
      <c r="J12" s="722">
        <f t="shared" si="0"/>
        <v>0</v>
      </c>
      <c r="K12" s="722">
        <f t="shared" si="0"/>
        <v>0</v>
      </c>
      <c r="L12" s="722">
        <f t="shared" si="0"/>
        <v>0</v>
      </c>
      <c r="M12" s="722">
        <f t="shared" si="0"/>
        <v>0</v>
      </c>
      <c r="N12" s="722">
        <f t="shared" si="0"/>
        <v>0</v>
      </c>
      <c r="O12" s="723">
        <f>SUM(E12:N12)</f>
        <v>232262350</v>
      </c>
      <c r="P12" s="724">
        <f>SUM(P10:P11)</f>
        <v>10333400</v>
      </c>
      <c r="Q12" s="724">
        <f t="shared" ref="Q12:AG12" si="1">SUM(Q10:Q11)</f>
        <v>9174700</v>
      </c>
      <c r="R12" s="724">
        <f t="shared" si="1"/>
        <v>13492450</v>
      </c>
      <c r="S12" s="724">
        <f t="shared" si="1"/>
        <v>13471700</v>
      </c>
      <c r="T12" s="724">
        <f t="shared" si="1"/>
        <v>10142750</v>
      </c>
      <c r="U12" s="724">
        <f t="shared" si="1"/>
        <v>14182900</v>
      </c>
      <c r="V12" s="724">
        <f t="shared" si="1"/>
        <v>10576350</v>
      </c>
      <c r="W12" s="724">
        <f t="shared" si="1"/>
        <v>18829750</v>
      </c>
      <c r="X12" s="724">
        <f t="shared" si="1"/>
        <v>7947750</v>
      </c>
      <c r="Y12" s="724">
        <f t="shared" si="1"/>
        <v>9485300</v>
      </c>
      <c r="Z12" s="724">
        <f t="shared" si="1"/>
        <v>11988500</v>
      </c>
      <c r="AA12" s="724">
        <f t="shared" si="1"/>
        <v>12449150</v>
      </c>
      <c r="AB12" s="724">
        <f t="shared" si="1"/>
        <v>14091550</v>
      </c>
      <c r="AC12" s="724">
        <f t="shared" si="1"/>
        <v>14341250</v>
      </c>
      <c r="AD12" s="724">
        <f t="shared" si="1"/>
        <v>14587900</v>
      </c>
      <c r="AE12" s="724">
        <f t="shared" si="1"/>
        <v>22799750</v>
      </c>
      <c r="AF12" s="724">
        <f t="shared" si="1"/>
        <v>13474700</v>
      </c>
      <c r="AG12" s="724">
        <f t="shared" si="1"/>
        <v>10892500</v>
      </c>
      <c r="AH12" s="724">
        <f>AG12+AF12+AE12+AD12+AC12+AB12+AA12+Z12+Y12+X12+W12+V12+U12+T12+S12+R12+Q12+P12</f>
        <v>232262350</v>
      </c>
    </row>
    <row r="13" spans="1:34" x14ac:dyDescent="0.25">
      <c r="A13" s="702"/>
      <c r="B13" s="725"/>
      <c r="C13" s="726"/>
      <c r="D13" s="727"/>
      <c r="E13" s="727"/>
      <c r="F13" s="727"/>
      <c r="G13" s="727"/>
      <c r="H13" s="727"/>
      <c r="I13" s="727"/>
      <c r="J13" s="727"/>
      <c r="K13" s="727"/>
      <c r="L13" s="728"/>
      <c r="M13" s="728"/>
      <c r="N13" s="728"/>
      <c r="O13" s="717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724"/>
    </row>
    <row r="14" spans="1:34" x14ac:dyDescent="0.25">
      <c r="A14" s="848">
        <v>2</v>
      </c>
      <c r="B14" s="709">
        <v>20000</v>
      </c>
      <c r="C14" s="729" t="s">
        <v>199</v>
      </c>
      <c r="D14" s="730"/>
      <c r="E14" s="730"/>
      <c r="F14" s="730"/>
      <c r="G14" s="730"/>
      <c r="H14" s="730"/>
      <c r="I14" s="730"/>
      <c r="J14" s="730"/>
      <c r="K14" s="730"/>
      <c r="L14" s="728"/>
      <c r="M14" s="728"/>
      <c r="N14" s="728"/>
      <c r="O14" s="717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  <c r="AE14" s="628"/>
      <c r="AF14" s="628"/>
      <c r="AG14" s="628"/>
      <c r="AH14" s="724"/>
    </row>
    <row r="15" spans="1:34" x14ac:dyDescent="0.25">
      <c r="A15" s="849"/>
      <c r="B15" s="731">
        <f>'2.1'!C10</f>
        <v>21000</v>
      </c>
      <c r="C15" s="732" t="str">
        <f>'2.1'!D10</f>
        <v>Natural Resource Management</v>
      </c>
      <c r="D15" s="716">
        <f>'2.1'!H136</f>
        <v>584513200</v>
      </c>
      <c r="E15" s="716">
        <f>'2.1'!I136</f>
        <v>35631400</v>
      </c>
      <c r="F15" s="716">
        <f>'2.1'!J136</f>
        <v>188526000</v>
      </c>
      <c r="G15" s="716">
        <f>'2.1'!K136</f>
        <v>21000000</v>
      </c>
      <c r="H15" s="716">
        <f>'2.1'!L136</f>
        <v>0</v>
      </c>
      <c r="I15" s="716">
        <f>'2.1'!M136</f>
        <v>48750000</v>
      </c>
      <c r="J15" s="716">
        <f>'2.1'!N136</f>
        <v>158570000</v>
      </c>
      <c r="K15" s="716">
        <f>'2.1'!O136</f>
        <v>0</v>
      </c>
      <c r="L15" s="716">
        <f>'2.1'!P136</f>
        <v>0</v>
      </c>
      <c r="M15" s="716">
        <f>'2.1'!Q136</f>
        <v>18950100</v>
      </c>
      <c r="N15" s="716">
        <f>'2.1'!R136</f>
        <v>113085700</v>
      </c>
      <c r="O15" s="717">
        <f>N15+M15+L15+K15+J15+I15+H15+G15+F15+E15</f>
        <v>584513200</v>
      </c>
      <c r="P15" s="718">
        <f>'2.1'!AB136</f>
        <v>40686100</v>
      </c>
      <c r="Q15" s="733">
        <f>'2.1'!AD136</f>
        <v>20069600</v>
      </c>
      <c r="R15" s="733">
        <f>'2.1'!AF136</f>
        <v>33555650</v>
      </c>
      <c r="S15" s="733">
        <f>'2.1'!AH136</f>
        <v>56436100</v>
      </c>
      <c r="T15" s="733">
        <f>'2.1'!AJ136</f>
        <v>27675400</v>
      </c>
      <c r="U15" s="733">
        <f>'2.1'!AL136</f>
        <v>28279950</v>
      </c>
      <c r="V15" s="733">
        <f>'2.1'!AN136</f>
        <v>28479300</v>
      </c>
      <c r="W15" s="733">
        <f>'2.1'!AP136</f>
        <v>32534000</v>
      </c>
      <c r="X15" s="733">
        <f>'2.1'!AR136</f>
        <v>16715800</v>
      </c>
      <c r="Y15" s="733">
        <f>'2.1'!AT136</f>
        <v>37779600</v>
      </c>
      <c r="Z15" s="733">
        <f>'2.1'!AV136</f>
        <v>34605900</v>
      </c>
      <c r="AA15" s="733">
        <f>'2.1'!AX136</f>
        <v>32504150</v>
      </c>
      <c r="AB15" s="733">
        <f>'2.1'!AZ136</f>
        <v>31597350</v>
      </c>
      <c r="AC15" s="733">
        <f>'2.1'!BB136</f>
        <v>33481100</v>
      </c>
      <c r="AD15" s="733">
        <f>'2.1'!BD136</f>
        <v>44833100</v>
      </c>
      <c r="AE15" s="733">
        <f>'2.1'!BF136</f>
        <v>36053700</v>
      </c>
      <c r="AF15" s="733">
        <f>'2.1'!BH136</f>
        <v>45226400</v>
      </c>
      <c r="AG15" s="733">
        <f>'2.1'!BJ136</f>
        <v>4000000</v>
      </c>
      <c r="AH15" s="718">
        <f t="shared" ref="AH15:AH31" si="2">AG15+AF15+AE15+AD15+AC15+AB15+AA15+Z15+Y15+X15+W15+V15+U15+T15+S15+R15+Q15+P15</f>
        <v>584513200</v>
      </c>
    </row>
    <row r="16" spans="1:34" x14ac:dyDescent="0.25">
      <c r="A16" s="849"/>
      <c r="B16" s="731">
        <f>'2.2'!B9</f>
        <v>22000</v>
      </c>
      <c r="C16" s="732" t="str">
        <f>'2.2'!C9</f>
        <v xml:space="preserve"> Food and Nutrition Security</v>
      </c>
      <c r="D16" s="716">
        <f>'2.2'!G35</f>
        <v>33363000</v>
      </c>
      <c r="E16" s="716">
        <f>'2.2'!H35</f>
        <v>4482600</v>
      </c>
      <c r="F16" s="716">
        <f>'2.2'!I35</f>
        <v>26690400</v>
      </c>
      <c r="G16" s="716">
        <f>'2.2'!J35</f>
        <v>2190000</v>
      </c>
      <c r="H16" s="716">
        <f>'2.2'!K35</f>
        <v>0</v>
      </c>
      <c r="I16" s="716">
        <f>'2.2'!L35</f>
        <v>0</v>
      </c>
      <c r="J16" s="716">
        <f>'2.2'!M35</f>
        <v>0</v>
      </c>
      <c r="K16" s="716">
        <f>'2.2'!N35</f>
        <v>0</v>
      </c>
      <c r="L16" s="716">
        <f>'2.2'!O35</f>
        <v>0</v>
      </c>
      <c r="M16" s="716">
        <f>'2.2'!P35</f>
        <v>0</v>
      </c>
      <c r="N16" s="716">
        <f>'2.2'!Q35</f>
        <v>0</v>
      </c>
      <c r="O16" s="717">
        <f>N16+M16+L16+K16+J16+I16+H16+G16+F16+E16</f>
        <v>33363000</v>
      </c>
      <c r="P16" s="733">
        <f>'2.2'!AA35</f>
        <v>2300000</v>
      </c>
      <c r="Q16" s="733">
        <f>'2.2'!AC35</f>
        <v>1234000</v>
      </c>
      <c r="R16" s="733">
        <f>'2.2'!AE35</f>
        <v>2115000</v>
      </c>
      <c r="S16" s="733">
        <f>'2.2'!AG35</f>
        <v>2950000</v>
      </c>
      <c r="T16" s="733">
        <f>'2.2'!AI35</f>
        <v>1814000</v>
      </c>
      <c r="U16" s="733">
        <f>'2.2'!AK35</f>
        <v>1090000</v>
      </c>
      <c r="V16" s="733">
        <f>'2.2'!AM35</f>
        <v>1870000</v>
      </c>
      <c r="W16" s="733">
        <f>'2.2'!AO35</f>
        <v>2775000</v>
      </c>
      <c r="X16" s="733">
        <f>'2.2'!AQ35</f>
        <v>910000</v>
      </c>
      <c r="Y16" s="733">
        <f>'2.2'!AS35</f>
        <v>1805000</v>
      </c>
      <c r="Z16" s="733">
        <f>'2.2'!AU35</f>
        <v>1970000</v>
      </c>
      <c r="AA16" s="733">
        <f>'2.2'!AW35</f>
        <v>1825000</v>
      </c>
      <c r="AB16" s="733">
        <f>'2.2'!AY35</f>
        <v>1190000</v>
      </c>
      <c r="AC16" s="733">
        <f>'2.2'!BA35</f>
        <v>2390000</v>
      </c>
      <c r="AD16" s="733">
        <f>'2.2'!BC35</f>
        <v>1620000</v>
      </c>
      <c r="AE16" s="733">
        <f>'2.2'!BE35</f>
        <v>2845000</v>
      </c>
      <c r="AF16" s="733">
        <f>'2.2'!BG35</f>
        <v>2660000</v>
      </c>
      <c r="AG16" s="733">
        <f>'2.2'!BI35</f>
        <v>0</v>
      </c>
      <c r="AH16" s="718">
        <f t="shared" si="2"/>
        <v>33363000</v>
      </c>
    </row>
    <row r="17" spans="1:36" x14ac:dyDescent="0.25">
      <c r="A17" s="849"/>
      <c r="B17" s="731">
        <f>'2.3'!B10</f>
        <v>23100</v>
      </c>
      <c r="C17" s="732" t="str">
        <f>'2.3'!C9</f>
        <v>Livelihoods Improvement</v>
      </c>
      <c r="D17" s="716">
        <f>'2.3'!G59</f>
        <v>335630000</v>
      </c>
      <c r="E17" s="716">
        <f>'2.3'!H59</f>
        <v>13225900</v>
      </c>
      <c r="F17" s="716">
        <f>'2.3'!I59</f>
        <v>260706700</v>
      </c>
      <c r="G17" s="716">
        <f>'2.3'!J59</f>
        <v>8406500</v>
      </c>
      <c r="H17" s="716">
        <f>'2.3'!K59</f>
        <v>0</v>
      </c>
      <c r="I17" s="716">
        <f>'2.3'!L59</f>
        <v>8352900</v>
      </c>
      <c r="J17" s="716">
        <f>'2.3'!M59</f>
        <v>0</v>
      </c>
      <c r="K17" s="716">
        <f>'2.3'!N59</f>
        <v>0</v>
      </c>
      <c r="L17" s="716">
        <f>'2.3'!O59</f>
        <v>0</v>
      </c>
      <c r="M17" s="716">
        <f>'2.3'!P59</f>
        <v>34898000</v>
      </c>
      <c r="N17" s="716">
        <f>'2.3'!Q59</f>
        <v>10040000</v>
      </c>
      <c r="O17" s="717">
        <f>N17+M17+L17+K17+J17+I17+H17+G17+F17+E17</f>
        <v>335630000</v>
      </c>
      <c r="P17" s="628">
        <f>'2.3'!AA59</f>
        <v>25841000</v>
      </c>
      <c r="Q17" s="628">
        <f>'2.3'!AC59</f>
        <v>15219000</v>
      </c>
      <c r="R17" s="628">
        <f>'2.3'!AE59</f>
        <v>21006000</v>
      </c>
      <c r="S17" s="628">
        <f>'2.3'!AG59</f>
        <v>16325000</v>
      </c>
      <c r="T17" s="628">
        <f>'2.3'!AI59</f>
        <v>10838000</v>
      </c>
      <c r="U17" s="628">
        <f>'2.3'!AK59</f>
        <v>21072000</v>
      </c>
      <c r="V17" s="628">
        <f>'2.3'!AM59</f>
        <v>19870000</v>
      </c>
      <c r="W17" s="628">
        <f>'2.3'!AO59</f>
        <v>22909000</v>
      </c>
      <c r="X17" s="628">
        <f>'2.3'!AQ59</f>
        <v>9199000</v>
      </c>
      <c r="Y17" s="628">
        <f>'2.3'!AS59</f>
        <v>21533000</v>
      </c>
      <c r="Z17" s="628">
        <f>'2.3'!AU59</f>
        <v>17850000</v>
      </c>
      <c r="AA17" s="628">
        <f>'2.3'!AW59</f>
        <v>17090000</v>
      </c>
      <c r="AB17" s="628">
        <f>'2.3'!AY59</f>
        <v>14026000</v>
      </c>
      <c r="AC17" s="628">
        <f>'2.3'!BA59</f>
        <v>19649000</v>
      </c>
      <c r="AD17" s="628">
        <f>'2.3'!BC59</f>
        <v>27605000</v>
      </c>
      <c r="AE17" s="628">
        <f>'2.3'!BE59</f>
        <v>22350000</v>
      </c>
      <c r="AF17" s="628">
        <f>'2.3'!BG59</f>
        <v>17001000</v>
      </c>
      <c r="AG17" s="628">
        <f>'2.3'!BI59</f>
        <v>16247000</v>
      </c>
      <c r="AH17" s="718">
        <f t="shared" si="2"/>
        <v>335630000</v>
      </c>
    </row>
    <row r="18" spans="1:36" x14ac:dyDescent="0.25">
      <c r="A18" s="850"/>
      <c r="B18" s="720"/>
      <c r="C18" s="721" t="s">
        <v>3</v>
      </c>
      <c r="D18" s="722">
        <f t="shared" ref="D18:N18" si="3">SUM(D15:D17)</f>
        <v>953506200</v>
      </c>
      <c r="E18" s="722">
        <f t="shared" si="3"/>
        <v>53339900</v>
      </c>
      <c r="F18" s="722">
        <f t="shared" si="3"/>
        <v>475923100</v>
      </c>
      <c r="G18" s="722">
        <f t="shared" si="3"/>
        <v>31596500</v>
      </c>
      <c r="H18" s="722">
        <f t="shared" si="3"/>
        <v>0</v>
      </c>
      <c r="I18" s="722">
        <f t="shared" si="3"/>
        <v>57102900</v>
      </c>
      <c r="J18" s="722">
        <f t="shared" si="3"/>
        <v>158570000</v>
      </c>
      <c r="K18" s="722">
        <f t="shared" si="3"/>
        <v>0</v>
      </c>
      <c r="L18" s="722">
        <f t="shared" si="3"/>
        <v>0</v>
      </c>
      <c r="M18" s="722">
        <f t="shared" si="3"/>
        <v>53848100</v>
      </c>
      <c r="N18" s="722">
        <f t="shared" si="3"/>
        <v>123125700</v>
      </c>
      <c r="O18" s="790">
        <f>SUM(E18:N18)</f>
        <v>953506200</v>
      </c>
      <c r="P18" s="724">
        <f>SUM(P15:P17)</f>
        <v>68827100</v>
      </c>
      <c r="Q18" s="724">
        <f t="shared" ref="Q18:AG18" si="4">SUM(Q15:Q17)</f>
        <v>36522600</v>
      </c>
      <c r="R18" s="724">
        <f t="shared" si="4"/>
        <v>56676650</v>
      </c>
      <c r="S18" s="724">
        <f t="shared" si="4"/>
        <v>75711100</v>
      </c>
      <c r="T18" s="724">
        <f t="shared" si="4"/>
        <v>40327400</v>
      </c>
      <c r="U18" s="724">
        <f t="shared" si="4"/>
        <v>50441950</v>
      </c>
      <c r="V18" s="724">
        <f t="shared" si="4"/>
        <v>50219300</v>
      </c>
      <c r="W18" s="724">
        <f t="shared" si="4"/>
        <v>58218000</v>
      </c>
      <c r="X18" s="724">
        <f t="shared" si="4"/>
        <v>26824800</v>
      </c>
      <c r="Y18" s="724">
        <f t="shared" si="4"/>
        <v>61117600</v>
      </c>
      <c r="Z18" s="724">
        <f t="shared" si="4"/>
        <v>54425900</v>
      </c>
      <c r="AA18" s="724">
        <f t="shared" si="4"/>
        <v>51419150</v>
      </c>
      <c r="AB18" s="724">
        <f t="shared" si="4"/>
        <v>46813350</v>
      </c>
      <c r="AC18" s="724">
        <f t="shared" si="4"/>
        <v>55520100</v>
      </c>
      <c r="AD18" s="724">
        <f t="shared" si="4"/>
        <v>74058100</v>
      </c>
      <c r="AE18" s="724">
        <f t="shared" si="4"/>
        <v>61248700</v>
      </c>
      <c r="AF18" s="724">
        <f t="shared" si="4"/>
        <v>64887400</v>
      </c>
      <c r="AG18" s="724">
        <f t="shared" si="4"/>
        <v>20247000</v>
      </c>
      <c r="AH18" s="791">
        <f t="shared" si="2"/>
        <v>953506200</v>
      </c>
    </row>
    <row r="19" spans="1:36" ht="13.5" customHeight="1" x14ac:dyDescent="0.25">
      <c r="A19" s="702"/>
      <c r="B19" s="725"/>
      <c r="C19" s="726"/>
      <c r="D19" s="727"/>
      <c r="E19" s="727"/>
      <c r="F19" s="727"/>
      <c r="G19" s="727"/>
      <c r="H19" s="727"/>
      <c r="I19" s="727"/>
      <c r="J19" s="727"/>
      <c r="K19" s="727"/>
      <c r="L19" s="728"/>
      <c r="M19" s="728"/>
      <c r="N19" s="728"/>
      <c r="O19" s="717"/>
      <c r="P19" s="628"/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628"/>
      <c r="AB19" s="628"/>
      <c r="AC19" s="628"/>
      <c r="AD19" s="628"/>
      <c r="AE19" s="628"/>
      <c r="AF19" s="628"/>
      <c r="AG19" s="718"/>
      <c r="AH19" s="724"/>
    </row>
    <row r="20" spans="1:36" ht="31.5" x14ac:dyDescent="0.25">
      <c r="A20" s="848">
        <v>3</v>
      </c>
      <c r="B20" s="709">
        <v>30000</v>
      </c>
      <c r="C20" s="710" t="s">
        <v>201</v>
      </c>
      <c r="D20" s="730"/>
      <c r="E20" s="730"/>
      <c r="F20" s="730"/>
      <c r="G20" s="730"/>
      <c r="H20" s="730"/>
      <c r="I20" s="730"/>
      <c r="J20" s="730"/>
      <c r="K20" s="730"/>
      <c r="L20" s="728"/>
      <c r="M20" s="728"/>
      <c r="N20" s="728"/>
      <c r="O20" s="717"/>
      <c r="P20" s="628"/>
      <c r="Q20" s="628"/>
      <c r="R20" s="628"/>
      <c r="S20" s="628"/>
      <c r="T20" s="628"/>
      <c r="U20" s="628"/>
      <c r="V20" s="628"/>
      <c r="W20" s="628"/>
      <c r="X20" s="628"/>
      <c r="Y20" s="628"/>
      <c r="Z20" s="628"/>
      <c r="AA20" s="628"/>
      <c r="AB20" s="628"/>
      <c r="AC20" s="628"/>
      <c r="AD20" s="628"/>
      <c r="AE20" s="628"/>
      <c r="AF20" s="628"/>
      <c r="AG20" s="718"/>
      <c r="AH20" s="724"/>
    </row>
    <row r="21" spans="1:36" x14ac:dyDescent="0.25">
      <c r="A21" s="849"/>
      <c r="B21" s="714">
        <f>'3.1 '!C9</f>
        <v>31000</v>
      </c>
      <c r="C21" s="732" t="str">
        <f>'3.1 '!D9</f>
        <v>Community Infrastructure</v>
      </c>
      <c r="D21" s="716">
        <f>'3.1 '!H53</f>
        <v>374854000</v>
      </c>
      <c r="E21" s="716">
        <f>'3.1 '!I53</f>
        <v>14467000</v>
      </c>
      <c r="F21" s="716">
        <f>'3.1 '!J53</f>
        <v>14400000</v>
      </c>
      <c r="G21" s="716">
        <f>'3.1 '!K53</f>
        <v>43095000</v>
      </c>
      <c r="H21" s="716">
        <f>'3.1 '!L53</f>
        <v>55000000</v>
      </c>
      <c r="I21" s="716">
        <f>'3.1 '!M53</f>
        <v>242717000</v>
      </c>
      <c r="J21" s="716">
        <f>'3.1 '!N53</f>
        <v>3720000</v>
      </c>
      <c r="K21" s="716">
        <f>'3.1 '!O53</f>
        <v>0</v>
      </c>
      <c r="L21" s="716">
        <f>'3.1 '!P53</f>
        <v>0</v>
      </c>
      <c r="M21" s="716">
        <f>'3.1 '!Q53</f>
        <v>1455000</v>
      </c>
      <c r="N21" s="716">
        <f>'3.1 '!R53</f>
        <v>0</v>
      </c>
      <c r="O21" s="717">
        <f>N21+M21+L21+K21+J21+I21+H21+G21+F21+E21</f>
        <v>374854000</v>
      </c>
      <c r="P21" s="734">
        <f>'3.1 '!AB53</f>
        <v>29445200</v>
      </c>
      <c r="Q21" s="734">
        <f>'3.1 '!AD53</f>
        <v>16837600</v>
      </c>
      <c r="R21" s="734">
        <f>'3.1 '!AF53</f>
        <v>25976400</v>
      </c>
      <c r="S21" s="734">
        <f>'3.1 '!AH53</f>
        <v>30054000</v>
      </c>
      <c r="T21" s="734">
        <f>'3.1 '!AJ53</f>
        <v>16197600</v>
      </c>
      <c r="U21" s="734">
        <f>'3.1 '!AL53</f>
        <v>25028800</v>
      </c>
      <c r="V21" s="734">
        <f>'3.1 '!AN53</f>
        <v>18438000</v>
      </c>
      <c r="W21" s="734">
        <f>'3.1 '!AP53</f>
        <v>15804000</v>
      </c>
      <c r="X21" s="734">
        <f>'3.1 '!AR53</f>
        <v>15754000</v>
      </c>
      <c r="Y21" s="734">
        <f>'3.1 '!AT53</f>
        <v>25584000</v>
      </c>
      <c r="Z21" s="734">
        <f>'3.1 '!AV53</f>
        <v>22927600</v>
      </c>
      <c r="AA21" s="734">
        <f>'3.1 '!AX53</f>
        <v>20250000</v>
      </c>
      <c r="AB21" s="734">
        <f>'3.1 '!AZ53</f>
        <v>20170000</v>
      </c>
      <c r="AC21" s="734">
        <f>'3.1 '!BB53</f>
        <v>19417600</v>
      </c>
      <c r="AD21" s="734">
        <f>'3.1 '!BD53</f>
        <v>27477600</v>
      </c>
      <c r="AE21" s="734">
        <f>'3.1 '!BF53</f>
        <v>16347600</v>
      </c>
      <c r="AF21" s="734">
        <f>'3.1 '!BH53</f>
        <v>29144000</v>
      </c>
      <c r="AG21" s="734">
        <f>'3.1 '!BJ53</f>
        <v>0</v>
      </c>
      <c r="AH21" s="718">
        <f t="shared" si="2"/>
        <v>374854000</v>
      </c>
    </row>
    <row r="22" spans="1:36" x14ac:dyDescent="0.25">
      <c r="A22" s="849"/>
      <c r="B22" s="714">
        <f>'3.2 '!B10</f>
        <v>32000</v>
      </c>
      <c r="C22" s="732" t="str">
        <f>'3.2 '!C10</f>
        <v>Drudgery Reduction</v>
      </c>
      <c r="D22" s="716">
        <f>'3.2 '!G52</f>
        <v>231140000</v>
      </c>
      <c r="E22" s="716">
        <f>'3.2 '!H52</f>
        <v>14545000</v>
      </c>
      <c r="F22" s="716">
        <f>'3.2 '!I52</f>
        <v>143312000</v>
      </c>
      <c r="G22" s="716">
        <f>'3.2 '!J52</f>
        <v>0</v>
      </c>
      <c r="H22" s="716">
        <f>'3.2 '!K52</f>
        <v>0</v>
      </c>
      <c r="I22" s="716">
        <f>'3.2 '!L52</f>
        <v>58798000</v>
      </c>
      <c r="J22" s="716">
        <f>'3.2 '!M52</f>
        <v>0</v>
      </c>
      <c r="K22" s="716">
        <f>'3.2 '!N52</f>
        <v>0</v>
      </c>
      <c r="L22" s="716">
        <f>'3.2 '!O52</f>
        <v>0</v>
      </c>
      <c r="M22" s="716">
        <f>'3.2 '!P52</f>
        <v>14485000</v>
      </c>
      <c r="N22" s="716">
        <f>'3.2 '!Q52</f>
        <v>0</v>
      </c>
      <c r="O22" s="717">
        <f>N22+M22+L22+K22+J22+I22+H22+G22+F22+E22</f>
        <v>231140000</v>
      </c>
      <c r="P22" s="734">
        <f>'3.2 '!AA52</f>
        <v>17525000</v>
      </c>
      <c r="Q22" s="734">
        <f>'3.2 '!AC52</f>
        <v>2170000</v>
      </c>
      <c r="R22" s="734">
        <f>'3.2 '!AE52</f>
        <v>5600000</v>
      </c>
      <c r="S22" s="734">
        <f>'3.2 '!AG52</f>
        <v>20550000</v>
      </c>
      <c r="T22" s="734">
        <f>'3.2 '!AI52</f>
        <v>12315000</v>
      </c>
      <c r="U22" s="734">
        <f>'3.2 '!AK52</f>
        <v>21050000</v>
      </c>
      <c r="V22" s="734">
        <f>'3.2 '!AM52</f>
        <v>8600000</v>
      </c>
      <c r="W22" s="734">
        <f>'3.2 '!AO52</f>
        <v>12350000</v>
      </c>
      <c r="X22" s="734">
        <f>'3.2 '!AQ52</f>
        <v>6900000</v>
      </c>
      <c r="Y22" s="734">
        <f>'3.2 '!AS52</f>
        <v>14900000</v>
      </c>
      <c r="Z22" s="734">
        <f>'3.2 '!AU52</f>
        <v>9850000</v>
      </c>
      <c r="AA22" s="734">
        <f>'3.2 '!AW52</f>
        <v>11500000</v>
      </c>
      <c r="AB22" s="734">
        <f>'3.2 '!AY52</f>
        <v>10400000</v>
      </c>
      <c r="AC22" s="734">
        <f>'3.2 '!BA52</f>
        <v>28360000</v>
      </c>
      <c r="AD22" s="734">
        <f>'3.2 '!BC52</f>
        <v>14550000</v>
      </c>
      <c r="AE22" s="734">
        <f>'3.2 '!BE52</f>
        <v>25600000</v>
      </c>
      <c r="AF22" s="734">
        <f>'3.2 '!BG52</f>
        <v>8620000</v>
      </c>
      <c r="AG22" s="734">
        <f>'3.2 '!BI52</f>
        <v>300000</v>
      </c>
      <c r="AH22" s="718">
        <f t="shared" si="2"/>
        <v>231140000</v>
      </c>
    </row>
    <row r="23" spans="1:36" x14ac:dyDescent="0.25">
      <c r="A23" s="850"/>
      <c r="B23" s="720"/>
      <c r="C23" s="721" t="s">
        <v>3</v>
      </c>
      <c r="D23" s="722">
        <f>SUM(D21:D22)</f>
        <v>605994000</v>
      </c>
      <c r="E23" s="722">
        <f t="shared" ref="E23:N23" si="5">SUM(E21:E22)</f>
        <v>29012000</v>
      </c>
      <c r="F23" s="722">
        <f t="shared" si="5"/>
        <v>157712000</v>
      </c>
      <c r="G23" s="722">
        <f t="shared" si="5"/>
        <v>43095000</v>
      </c>
      <c r="H23" s="722">
        <f t="shared" si="5"/>
        <v>55000000</v>
      </c>
      <c r="I23" s="722">
        <f t="shared" si="5"/>
        <v>301515000</v>
      </c>
      <c r="J23" s="722">
        <f t="shared" si="5"/>
        <v>3720000</v>
      </c>
      <c r="K23" s="722">
        <f t="shared" si="5"/>
        <v>0</v>
      </c>
      <c r="L23" s="722">
        <f t="shared" si="5"/>
        <v>0</v>
      </c>
      <c r="M23" s="722">
        <f t="shared" si="5"/>
        <v>15940000</v>
      </c>
      <c r="N23" s="722">
        <f t="shared" si="5"/>
        <v>0</v>
      </c>
      <c r="O23" s="723">
        <f>SUM(E23:N23)</f>
        <v>605994000</v>
      </c>
      <c r="P23" s="735">
        <f>SUM(P21:P22)</f>
        <v>46970200</v>
      </c>
      <c r="Q23" s="735">
        <f t="shared" ref="Q23:AG23" si="6">SUM(Q21:Q22)</f>
        <v>19007600</v>
      </c>
      <c r="R23" s="735">
        <f t="shared" si="6"/>
        <v>31576400</v>
      </c>
      <c r="S23" s="735">
        <f t="shared" si="6"/>
        <v>50604000</v>
      </c>
      <c r="T23" s="735">
        <f t="shared" si="6"/>
        <v>28512600</v>
      </c>
      <c r="U23" s="735">
        <f t="shared" si="6"/>
        <v>46078800</v>
      </c>
      <c r="V23" s="735">
        <f t="shared" si="6"/>
        <v>27038000</v>
      </c>
      <c r="W23" s="735">
        <f t="shared" si="6"/>
        <v>28154000</v>
      </c>
      <c r="X23" s="735">
        <f t="shared" si="6"/>
        <v>22654000</v>
      </c>
      <c r="Y23" s="735">
        <f t="shared" si="6"/>
        <v>40484000</v>
      </c>
      <c r="Z23" s="735">
        <f t="shared" si="6"/>
        <v>32777600</v>
      </c>
      <c r="AA23" s="735">
        <f t="shared" si="6"/>
        <v>31750000</v>
      </c>
      <c r="AB23" s="735">
        <f t="shared" si="6"/>
        <v>30570000</v>
      </c>
      <c r="AC23" s="735">
        <f t="shared" si="6"/>
        <v>47777600</v>
      </c>
      <c r="AD23" s="735">
        <f t="shared" si="6"/>
        <v>42027600</v>
      </c>
      <c r="AE23" s="735">
        <f t="shared" si="6"/>
        <v>41947600</v>
      </c>
      <c r="AF23" s="735">
        <f t="shared" si="6"/>
        <v>37764000</v>
      </c>
      <c r="AG23" s="735">
        <f t="shared" si="6"/>
        <v>300000</v>
      </c>
      <c r="AH23" s="724">
        <f t="shared" si="2"/>
        <v>605994000</v>
      </c>
    </row>
    <row r="24" spans="1:36" x14ac:dyDescent="0.25">
      <c r="A24" s="702"/>
      <c r="B24" s="725"/>
      <c r="C24" s="726"/>
      <c r="D24" s="727"/>
      <c r="E24" s="727"/>
      <c r="F24" s="727"/>
      <c r="G24" s="727"/>
      <c r="H24" s="727"/>
      <c r="I24" s="727"/>
      <c r="J24" s="727"/>
      <c r="K24" s="727"/>
      <c r="L24" s="728"/>
      <c r="M24" s="728"/>
      <c r="N24" s="728"/>
      <c r="O24" s="717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718"/>
    </row>
    <row r="25" spans="1:36" x14ac:dyDescent="0.25">
      <c r="A25" s="848">
        <v>4</v>
      </c>
      <c r="B25" s="709">
        <v>40000</v>
      </c>
      <c r="C25" s="710" t="str">
        <f>'4.1 '!C5:Q5</f>
        <v>Programme Management</v>
      </c>
      <c r="D25" s="730"/>
      <c r="E25" s="730"/>
      <c r="F25" s="730"/>
      <c r="G25" s="730"/>
      <c r="H25" s="730"/>
      <c r="I25" s="730"/>
      <c r="J25" s="730"/>
      <c r="K25" s="730"/>
      <c r="L25" s="736"/>
      <c r="M25" s="736"/>
      <c r="N25" s="736"/>
      <c r="O25" s="737"/>
      <c r="P25" s="628"/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628"/>
      <c r="AB25" s="628"/>
      <c r="AC25" s="628"/>
      <c r="AD25" s="628"/>
      <c r="AE25" s="628"/>
      <c r="AF25" s="628"/>
      <c r="AG25" s="628"/>
      <c r="AH25" s="718"/>
    </row>
    <row r="26" spans="1:36" ht="15.75" customHeight="1" x14ac:dyDescent="0.25">
      <c r="A26" s="849"/>
      <c r="B26" s="714">
        <v>41000</v>
      </c>
      <c r="C26" s="715" t="str">
        <f>'4.1 '!C10</f>
        <v xml:space="preserve"> Project Management Unit</v>
      </c>
      <c r="D26" s="728">
        <f>'4.1 '!G117</f>
        <v>51290000</v>
      </c>
      <c r="E26" s="728">
        <f>'4.1 '!H117</f>
        <v>21002200</v>
      </c>
      <c r="F26" s="728">
        <f>'4.1 '!I117</f>
        <v>30287800</v>
      </c>
      <c r="G26" s="728">
        <f>'4.1 '!J117</f>
        <v>0</v>
      </c>
      <c r="H26" s="728">
        <f>'4.1 '!K117</f>
        <v>0</v>
      </c>
      <c r="I26" s="728">
        <f>'4.1 '!L117</f>
        <v>0</v>
      </c>
      <c r="J26" s="728">
        <f>'4.1 '!M117</f>
        <v>0</v>
      </c>
      <c r="K26" s="728">
        <f>'4.1 '!N117</f>
        <v>0</v>
      </c>
      <c r="L26" s="728">
        <f>'4.1 '!O117</f>
        <v>0</v>
      </c>
      <c r="M26" s="728">
        <f>'4.1 '!P117</f>
        <v>0</v>
      </c>
      <c r="N26" s="728">
        <f>'4.1 '!Q117</f>
        <v>0</v>
      </c>
      <c r="O26" s="719">
        <f>N26+M26+L26+K26+J26+I26+H26+G26+F26+E26</f>
        <v>51290000</v>
      </c>
      <c r="P26" s="718">
        <f>'4.1 '!AA117</f>
        <v>0</v>
      </c>
      <c r="Q26" s="718">
        <f>'4.1 '!AC117</f>
        <v>0</v>
      </c>
      <c r="R26" s="718">
        <f>'4.1 '!AE117</f>
        <v>0</v>
      </c>
      <c r="S26" s="718">
        <f>'4.1 '!AG117</f>
        <v>0</v>
      </c>
      <c r="T26" s="718">
        <f>'4.1 '!AI117</f>
        <v>0</v>
      </c>
      <c r="U26" s="718">
        <f>'4.1 '!AK117</f>
        <v>0</v>
      </c>
      <c r="V26" s="718">
        <f>'4.1 '!AM117</f>
        <v>0</v>
      </c>
      <c r="W26" s="718">
        <f>'4.1 '!AO117</f>
        <v>0</v>
      </c>
      <c r="X26" s="718">
        <f>'4.1 '!AQ117</f>
        <v>0</v>
      </c>
      <c r="Y26" s="718">
        <f>'4.1 '!AS117</f>
        <v>0</v>
      </c>
      <c r="Z26" s="718">
        <f>'4.1 '!AU117</f>
        <v>0</v>
      </c>
      <c r="AA26" s="718">
        <f>'4.1 '!AW117</f>
        <v>0</v>
      </c>
      <c r="AB26" s="718">
        <f>'4.1 '!AY117</f>
        <v>0</v>
      </c>
      <c r="AC26" s="718">
        <f>'4.1 '!BC117</f>
        <v>0</v>
      </c>
      <c r="AD26" s="718">
        <f>'4.1 '!BC117</f>
        <v>0</v>
      </c>
      <c r="AE26" s="718">
        <f>'4.1 '!BE117</f>
        <v>0</v>
      </c>
      <c r="AF26" s="718">
        <f>'4.1 '!BG117</f>
        <v>0</v>
      </c>
      <c r="AG26" s="718">
        <f>'4.1 '!BI117</f>
        <v>51290000</v>
      </c>
      <c r="AH26" s="718">
        <f t="shared" si="2"/>
        <v>51290000</v>
      </c>
    </row>
    <row r="27" spans="1:36" ht="15.75" customHeight="1" x14ac:dyDescent="0.25">
      <c r="A27" s="849"/>
      <c r="B27" s="714">
        <f>'4.2'!B10</f>
        <v>42000</v>
      </c>
      <c r="C27" s="738" t="str">
        <f>'4.2'!C10</f>
        <v>Micro-Project Agency  Unit</v>
      </c>
      <c r="D27" s="728">
        <f>'4.2'!G112</f>
        <v>83958900</v>
      </c>
      <c r="E27" s="728">
        <f>'4.2'!H112</f>
        <v>33577200</v>
      </c>
      <c r="F27" s="728">
        <f>'4.2'!I112</f>
        <v>50381700</v>
      </c>
      <c r="G27" s="728">
        <f>'4.2'!J112</f>
        <v>0</v>
      </c>
      <c r="H27" s="728">
        <f>'4.2'!K112</f>
        <v>0</v>
      </c>
      <c r="I27" s="728">
        <f>'4.2'!L112</f>
        <v>0</v>
      </c>
      <c r="J27" s="728">
        <f>'4.2'!M112</f>
        <v>0</v>
      </c>
      <c r="K27" s="728">
        <f>'4.2'!N112</f>
        <v>0</v>
      </c>
      <c r="L27" s="728">
        <f>'4.2'!O112</f>
        <v>0</v>
      </c>
      <c r="M27" s="728">
        <f>'4.2'!P112</f>
        <v>0</v>
      </c>
      <c r="N27" s="728">
        <f>'4.2'!Q112</f>
        <v>0</v>
      </c>
      <c r="O27" s="719">
        <f>N27+M27+L27+K27+J27+I27+H27+G27+F27+E27</f>
        <v>83958900</v>
      </c>
      <c r="P27" s="628">
        <f>'4.2'!AA112</f>
        <v>6665200</v>
      </c>
      <c r="Q27" s="628">
        <f>'4.2'!AC112</f>
        <v>4895200</v>
      </c>
      <c r="R27" s="628">
        <f>'4.2'!AE112</f>
        <v>2995200</v>
      </c>
      <c r="S27" s="628">
        <f>'4.2'!AG112</f>
        <v>3475200</v>
      </c>
      <c r="T27" s="628">
        <f>'4.2'!AI112</f>
        <v>3530200</v>
      </c>
      <c r="U27" s="628">
        <f>'4.2'!AK112</f>
        <v>5680200</v>
      </c>
      <c r="V27" s="628">
        <f>'4.2'!AM112</f>
        <v>4780200</v>
      </c>
      <c r="W27" s="628">
        <f>'4.2'!AO112</f>
        <v>5850200</v>
      </c>
      <c r="X27" s="628">
        <f>'4.2'!AQ112</f>
        <v>3285200</v>
      </c>
      <c r="Y27" s="628">
        <f>'4.2'!AS112</f>
        <v>3805200</v>
      </c>
      <c r="Z27" s="628">
        <f>'4.2'!AU112</f>
        <v>4095200</v>
      </c>
      <c r="AA27" s="628">
        <f>'4.2'!AW112</f>
        <v>4810200</v>
      </c>
      <c r="AB27" s="628">
        <f>'4.2'!AY112</f>
        <v>3395200</v>
      </c>
      <c r="AC27" s="628">
        <f>'4.2'!BA112</f>
        <v>4060200</v>
      </c>
      <c r="AD27" s="628">
        <f>'4.2'!BC112</f>
        <v>3677700</v>
      </c>
      <c r="AE27" s="628">
        <f>'4.2'!BE112</f>
        <v>5900200</v>
      </c>
      <c r="AF27" s="628">
        <f>'4.2'!BG112</f>
        <v>5480200</v>
      </c>
      <c r="AG27" s="628">
        <f>'4.2'!BI112</f>
        <v>7578000</v>
      </c>
      <c r="AH27" s="718">
        <f t="shared" si="2"/>
        <v>83958900</v>
      </c>
    </row>
    <row r="28" spans="1:36" ht="31.5" x14ac:dyDescent="0.25">
      <c r="A28" s="849"/>
      <c r="B28" s="714">
        <f>'4.3 '!B10</f>
        <v>43000</v>
      </c>
      <c r="C28" s="749" t="str">
        <f>'4.3 '!C10</f>
        <v>Monitoring and Evaluation and KM</v>
      </c>
      <c r="D28" s="728">
        <f>'4.3 '!G42</f>
        <v>2405000</v>
      </c>
      <c r="E28" s="728">
        <f>'4.3 '!H42</f>
        <v>481000</v>
      </c>
      <c r="F28" s="728">
        <f>'4.3 '!I42</f>
        <v>1924000</v>
      </c>
      <c r="G28" s="728">
        <f>'4.3 '!J42</f>
        <v>0</v>
      </c>
      <c r="H28" s="728">
        <f>'4.3 '!K42</f>
        <v>0</v>
      </c>
      <c r="I28" s="728">
        <f>'4.3 '!L42</f>
        <v>0</v>
      </c>
      <c r="J28" s="728">
        <f>'4.3 '!M42</f>
        <v>0</v>
      </c>
      <c r="K28" s="728">
        <f>'4.3 '!N42</f>
        <v>0</v>
      </c>
      <c r="L28" s="728">
        <f>'4.3 '!O42</f>
        <v>0</v>
      </c>
      <c r="M28" s="728">
        <f>'4.3 '!P42</f>
        <v>0</v>
      </c>
      <c r="N28" s="728">
        <f>'4.3 '!Q42</f>
        <v>0</v>
      </c>
      <c r="O28" s="719">
        <f>N28+M28+L28+K28+J28+I28+H28+G28+F28+E28</f>
        <v>2405000</v>
      </c>
      <c r="P28" s="718">
        <f>'4.3 '!AA42</f>
        <v>45000</v>
      </c>
      <c r="Q28" s="718">
        <f>'4.3 '!AC42</f>
        <v>40000</v>
      </c>
      <c r="R28" s="718">
        <f>'4.3 '!AE42</f>
        <v>40000</v>
      </c>
      <c r="S28" s="718">
        <f>'4.3 '!AG42</f>
        <v>50000</v>
      </c>
      <c r="T28" s="718">
        <f>'4.3 '!AI42</f>
        <v>40000</v>
      </c>
      <c r="U28" s="718">
        <f>'4.3 '!AK42</f>
        <v>60000</v>
      </c>
      <c r="V28" s="718">
        <f>'4.3 '!AM42</f>
        <v>40000</v>
      </c>
      <c r="W28" s="718">
        <f>'4.3 '!AO42</f>
        <v>40000</v>
      </c>
      <c r="X28" s="718">
        <f>'4.3 '!AQ42</f>
        <v>40000</v>
      </c>
      <c r="Y28" s="718">
        <f>'4.3 '!AS42</f>
        <v>40000</v>
      </c>
      <c r="Z28" s="718">
        <f>'4.3 '!AU42</f>
        <v>40000</v>
      </c>
      <c r="AA28" s="718">
        <f>'4.3 '!AW42</f>
        <v>40000</v>
      </c>
      <c r="AB28" s="718">
        <f>'4.3 '!AY42</f>
        <v>40000</v>
      </c>
      <c r="AC28" s="718">
        <f>'4.3 '!BA42</f>
        <v>65000</v>
      </c>
      <c r="AD28" s="718">
        <f>'4.3 '!BC42</f>
        <v>40000</v>
      </c>
      <c r="AE28" s="718">
        <f>'4.3 '!BE42</f>
        <v>40000</v>
      </c>
      <c r="AF28" s="718">
        <f>'4.3 '!BG42</f>
        <v>40000</v>
      </c>
      <c r="AG28" s="718">
        <f>'4.3 '!BI42</f>
        <v>1665000</v>
      </c>
      <c r="AH28" s="718">
        <f t="shared" si="2"/>
        <v>2405000</v>
      </c>
    </row>
    <row r="29" spans="1:36" x14ac:dyDescent="0.25">
      <c r="A29" s="850"/>
      <c r="B29" s="720"/>
      <c r="C29" s="721" t="s">
        <v>3</v>
      </c>
      <c r="D29" s="736">
        <f>SUM(D26:D28)</f>
        <v>137653900</v>
      </c>
      <c r="E29" s="736">
        <f t="shared" ref="E29:N29" si="7">SUM(E26:E28)</f>
        <v>55060400</v>
      </c>
      <c r="F29" s="736">
        <f t="shared" si="7"/>
        <v>82593500</v>
      </c>
      <c r="G29" s="736">
        <f t="shared" si="7"/>
        <v>0</v>
      </c>
      <c r="H29" s="736">
        <f t="shared" si="7"/>
        <v>0</v>
      </c>
      <c r="I29" s="736">
        <f t="shared" si="7"/>
        <v>0</v>
      </c>
      <c r="J29" s="736">
        <f t="shared" si="7"/>
        <v>0</v>
      </c>
      <c r="K29" s="736">
        <f t="shared" si="7"/>
        <v>0</v>
      </c>
      <c r="L29" s="736">
        <f t="shared" si="7"/>
        <v>0</v>
      </c>
      <c r="M29" s="736">
        <f t="shared" si="7"/>
        <v>0</v>
      </c>
      <c r="N29" s="736">
        <f t="shared" si="7"/>
        <v>0</v>
      </c>
      <c r="O29" s="723">
        <f>SUM(E29:N29)</f>
        <v>137653900</v>
      </c>
      <c r="P29" s="724">
        <f>SUM(P26:P28)</f>
        <v>6710200</v>
      </c>
      <c r="Q29" s="724">
        <f t="shared" ref="Q29:AG29" si="8">SUM(Q26:Q28)</f>
        <v>4935200</v>
      </c>
      <c r="R29" s="724">
        <f t="shared" si="8"/>
        <v>3035200</v>
      </c>
      <c r="S29" s="724">
        <f t="shared" si="8"/>
        <v>3525200</v>
      </c>
      <c r="T29" s="724">
        <f t="shared" si="8"/>
        <v>3570200</v>
      </c>
      <c r="U29" s="724">
        <f t="shared" si="8"/>
        <v>5740200</v>
      </c>
      <c r="V29" s="724">
        <f t="shared" si="8"/>
        <v>4820200</v>
      </c>
      <c r="W29" s="724">
        <f t="shared" si="8"/>
        <v>5890200</v>
      </c>
      <c r="X29" s="724">
        <f t="shared" si="8"/>
        <v>3325200</v>
      </c>
      <c r="Y29" s="724">
        <f t="shared" si="8"/>
        <v>3845200</v>
      </c>
      <c r="Z29" s="724">
        <f t="shared" si="8"/>
        <v>4135200</v>
      </c>
      <c r="AA29" s="724">
        <f t="shared" si="8"/>
        <v>4850200</v>
      </c>
      <c r="AB29" s="724">
        <f t="shared" si="8"/>
        <v>3435200</v>
      </c>
      <c r="AC29" s="724">
        <f t="shared" si="8"/>
        <v>4125200</v>
      </c>
      <c r="AD29" s="724">
        <f t="shared" si="8"/>
        <v>3717700</v>
      </c>
      <c r="AE29" s="724">
        <f t="shared" si="8"/>
        <v>5940200</v>
      </c>
      <c r="AF29" s="724">
        <f t="shared" si="8"/>
        <v>5520200</v>
      </c>
      <c r="AG29" s="724">
        <f t="shared" si="8"/>
        <v>60533000</v>
      </c>
      <c r="AH29" s="724">
        <f t="shared" si="2"/>
        <v>137653900</v>
      </c>
    </row>
    <row r="30" spans="1:36" x14ac:dyDescent="0.25">
      <c r="A30" s="702"/>
      <c r="B30" s="702"/>
      <c r="C30" s="702"/>
      <c r="D30" s="728"/>
      <c r="E30" s="728"/>
      <c r="F30" s="728"/>
      <c r="G30" s="728"/>
      <c r="H30" s="728"/>
      <c r="I30" s="728"/>
      <c r="J30" s="728"/>
      <c r="K30" s="728"/>
      <c r="L30" s="739"/>
      <c r="M30" s="739"/>
      <c r="N30" s="739"/>
      <c r="O30" s="740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  <c r="AF30" s="628"/>
      <c r="AG30" s="628"/>
      <c r="AH30" s="718"/>
    </row>
    <row r="31" spans="1:36" x14ac:dyDescent="0.25">
      <c r="A31" s="851" t="s">
        <v>4</v>
      </c>
      <c r="B31" s="852"/>
      <c r="C31" s="853"/>
      <c r="D31" s="736">
        <f>D29+D23+D18+D12</f>
        <v>1929416450</v>
      </c>
      <c r="E31" s="736">
        <f t="shared" ref="E31:N31" si="9">E29+E23+E18+E12</f>
        <v>203147970</v>
      </c>
      <c r="F31" s="736">
        <f t="shared" si="9"/>
        <v>882755280</v>
      </c>
      <c r="G31" s="736">
        <f t="shared" si="9"/>
        <v>74691500</v>
      </c>
      <c r="H31" s="736">
        <f t="shared" si="9"/>
        <v>55000000</v>
      </c>
      <c r="I31" s="736">
        <f t="shared" si="9"/>
        <v>358617900</v>
      </c>
      <c r="J31" s="736">
        <f t="shared" si="9"/>
        <v>162290000</v>
      </c>
      <c r="K31" s="736">
        <f t="shared" si="9"/>
        <v>0</v>
      </c>
      <c r="L31" s="736">
        <f t="shared" si="9"/>
        <v>0</v>
      </c>
      <c r="M31" s="736">
        <f t="shared" si="9"/>
        <v>69788100</v>
      </c>
      <c r="N31" s="736">
        <f t="shared" si="9"/>
        <v>123125700</v>
      </c>
      <c r="O31" s="723">
        <f>O29+O23+O18+O12</f>
        <v>1929416450</v>
      </c>
      <c r="P31" s="724">
        <f>P12+P18+P23+P29</f>
        <v>132840900</v>
      </c>
      <c r="Q31" s="724">
        <f t="shared" ref="Q31:AG31" si="10">Q12+Q18+Q23+Q29</f>
        <v>69640100</v>
      </c>
      <c r="R31" s="724">
        <f t="shared" si="10"/>
        <v>104780700</v>
      </c>
      <c r="S31" s="724">
        <f t="shared" si="10"/>
        <v>143312000</v>
      </c>
      <c r="T31" s="724">
        <f t="shared" si="10"/>
        <v>82552950</v>
      </c>
      <c r="U31" s="724">
        <f t="shared" si="10"/>
        <v>116443850</v>
      </c>
      <c r="V31" s="724">
        <f t="shared" si="10"/>
        <v>92653850</v>
      </c>
      <c r="W31" s="724">
        <f t="shared" si="10"/>
        <v>111091950</v>
      </c>
      <c r="X31" s="724">
        <f t="shared" si="10"/>
        <v>60751750</v>
      </c>
      <c r="Y31" s="724">
        <f t="shared" si="10"/>
        <v>114932100</v>
      </c>
      <c r="Z31" s="724">
        <f t="shared" si="10"/>
        <v>103327200</v>
      </c>
      <c r="AA31" s="724">
        <f t="shared" si="10"/>
        <v>100468500</v>
      </c>
      <c r="AB31" s="724">
        <f t="shared" si="10"/>
        <v>94910100</v>
      </c>
      <c r="AC31" s="724">
        <f t="shared" si="10"/>
        <v>121764150</v>
      </c>
      <c r="AD31" s="724">
        <f t="shared" si="10"/>
        <v>134391300</v>
      </c>
      <c r="AE31" s="724">
        <f t="shared" si="10"/>
        <v>131936250</v>
      </c>
      <c r="AF31" s="724">
        <f t="shared" si="10"/>
        <v>121646300</v>
      </c>
      <c r="AG31" s="724">
        <f t="shared" si="10"/>
        <v>91972500</v>
      </c>
      <c r="AH31" s="724">
        <f t="shared" si="2"/>
        <v>1929416450</v>
      </c>
      <c r="AJ31" s="681">
        <f>AH29+AH23+AH18+AH12</f>
        <v>1929416450</v>
      </c>
    </row>
    <row r="32" spans="1:36" x14ac:dyDescent="0.25">
      <c r="A32" s="702"/>
      <c r="B32" s="702"/>
      <c r="C32" s="702"/>
      <c r="D32" s="703"/>
      <c r="E32" s="703"/>
      <c r="F32" s="703"/>
      <c r="G32" s="703"/>
      <c r="H32" s="703"/>
      <c r="I32" s="703"/>
      <c r="J32" s="703"/>
      <c r="K32" s="703"/>
      <c r="L32" s="702"/>
      <c r="M32" s="702"/>
      <c r="N32" s="702"/>
      <c r="O32" s="702"/>
    </row>
    <row r="33" spans="1:25" hidden="1" x14ac:dyDescent="0.25">
      <c r="A33" s="741" t="s">
        <v>454</v>
      </c>
      <c r="B33" s="742"/>
      <c r="C33" s="742"/>
      <c r="D33" s="742"/>
      <c r="E33" s="742"/>
      <c r="F33" s="742"/>
      <c r="G33" s="742"/>
      <c r="H33" s="742"/>
      <c r="I33" s="742"/>
      <c r="J33" s="742"/>
      <c r="K33" s="742"/>
      <c r="L33" s="743"/>
      <c r="M33" s="744"/>
      <c r="N33" s="743"/>
      <c r="O33" s="743"/>
    </row>
    <row r="34" spans="1:25" x14ac:dyDescent="0.25">
      <c r="A34" s="745"/>
      <c r="B34" s="845"/>
      <c r="C34" s="845"/>
      <c r="D34" s="845"/>
      <c r="E34" s="746"/>
      <c r="F34" s="746"/>
      <c r="G34" s="746"/>
      <c r="H34" s="746"/>
      <c r="I34" s="746"/>
      <c r="J34" s="746"/>
      <c r="K34" s="746"/>
      <c r="L34" s="745"/>
      <c r="M34" s="745"/>
      <c r="N34" s="745"/>
      <c r="O34" s="745"/>
    </row>
    <row r="35" spans="1:25" x14ac:dyDescent="0.25">
      <c r="A35" s="745"/>
      <c r="B35" s="745"/>
      <c r="C35" s="745"/>
      <c r="D35" s="745"/>
      <c r="E35" s="745"/>
      <c r="F35" s="777">
        <f>E31+F31</f>
        <v>1085903250</v>
      </c>
      <c r="G35" s="745"/>
      <c r="H35" s="745"/>
      <c r="I35" s="745"/>
      <c r="J35" s="777"/>
      <c r="K35" s="745"/>
      <c r="L35" s="745"/>
      <c r="M35" s="745"/>
      <c r="N35" s="747"/>
      <c r="O35" s="745"/>
    </row>
    <row r="36" spans="1:25" x14ac:dyDescent="0.25">
      <c r="J36" s="681"/>
      <c r="O36" s="748"/>
      <c r="Y36" s="681"/>
    </row>
    <row r="37" spans="1:25" x14ac:dyDescent="0.25">
      <c r="J37" s="681"/>
      <c r="Y37" s="681"/>
    </row>
    <row r="38" spans="1:25" x14ac:dyDescent="0.25">
      <c r="O38" s="681"/>
    </row>
    <row r="39" spans="1:25" x14ac:dyDescent="0.25">
      <c r="I39" s="681">
        <f>D31-AH31</f>
        <v>0</v>
      </c>
    </row>
    <row r="40" spans="1:25" x14ac:dyDescent="0.25">
      <c r="Y40" s="681"/>
    </row>
    <row r="41" spans="1:25" x14ac:dyDescent="0.25">
      <c r="Y41" s="681"/>
    </row>
    <row r="42" spans="1:25" x14ac:dyDescent="0.25">
      <c r="Y42" s="681"/>
    </row>
    <row r="43" spans="1:25" x14ac:dyDescent="0.25">
      <c r="Y43" s="792"/>
    </row>
  </sheetData>
  <mergeCells count="16">
    <mergeCell ref="A1:O1"/>
    <mergeCell ref="A2:O2"/>
    <mergeCell ref="A3:O3"/>
    <mergeCell ref="A4:O4"/>
    <mergeCell ref="A6:A7"/>
    <mergeCell ref="B6:B7"/>
    <mergeCell ref="C6:C7"/>
    <mergeCell ref="D6:D7"/>
    <mergeCell ref="E6:O6"/>
    <mergeCell ref="B34:D34"/>
    <mergeCell ref="A8:C8"/>
    <mergeCell ref="A9:A12"/>
    <mergeCell ref="A14:A18"/>
    <mergeCell ref="A20:A23"/>
    <mergeCell ref="A25:A29"/>
    <mergeCell ref="A31:C31"/>
  </mergeCells>
  <pageMargins left="0.25" right="0.25" top="0.75" bottom="0.75" header="0.3" footer="0.3"/>
  <pageSetup paperSize="9" scale="65" fitToHeight="0" orientation="landscape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Z102"/>
  <sheetViews>
    <sheetView topLeftCell="B7" zoomScale="85" zoomScaleNormal="85" workbookViewId="0">
      <pane xSplit="6" ySplit="2" topLeftCell="BK9" activePane="bottomRight" state="frozen"/>
      <selection activeCell="B7" sqref="B7"/>
      <selection pane="topRight" activeCell="H7" sqref="H7"/>
      <selection pane="bottomLeft" activeCell="B9" sqref="B9"/>
      <selection pane="bottomRight" activeCell="X83" sqref="X83"/>
    </sheetView>
  </sheetViews>
  <sheetFormatPr defaultColWidth="9.140625" defaultRowHeight="24" customHeight="1" x14ac:dyDescent="0.25"/>
  <cols>
    <col min="1" max="1" width="6" style="39" hidden="1" customWidth="1"/>
    <col min="2" max="2" width="10.85546875" style="351" customWidth="1"/>
    <col min="3" max="3" width="37.28515625" style="39" customWidth="1"/>
    <col min="4" max="4" width="12.140625" style="39" customWidth="1"/>
    <col min="5" max="5" width="15.28515625" style="351" customWidth="1"/>
    <col min="6" max="6" width="10.7109375" style="351" customWidth="1"/>
    <col min="7" max="7" width="17" style="82" customWidth="1"/>
    <col min="8" max="8" width="18" style="82" customWidth="1"/>
    <col min="9" max="9" width="17.5703125" style="82" customWidth="1"/>
    <col min="10" max="10" width="11.7109375" style="82" customWidth="1"/>
    <col min="11" max="11" width="15.140625" style="82" customWidth="1"/>
    <col min="12" max="12" width="12.5703125" style="82" customWidth="1"/>
    <col min="13" max="13" width="11.7109375" style="82" customWidth="1"/>
    <col min="14" max="14" width="5.7109375" style="82" customWidth="1"/>
    <col min="15" max="15" width="7.42578125" style="39" customWidth="1"/>
    <col min="16" max="16" width="12.28515625" style="39" customWidth="1"/>
    <col min="17" max="17" width="8.42578125" style="39" customWidth="1"/>
    <col min="18" max="21" width="9.85546875" style="39" customWidth="1"/>
    <col min="22" max="22" width="16.5703125" style="39" customWidth="1"/>
    <col min="23" max="23" width="16" style="39" customWidth="1"/>
    <col min="24" max="24" width="18.140625" style="39" customWidth="1"/>
    <col min="25" max="25" width="17.140625" style="39" customWidth="1"/>
    <col min="26" max="26" width="12.28515625" style="39" customWidth="1"/>
    <col min="27" max="27" width="16.7109375" style="82" customWidth="1"/>
    <col min="28" max="28" width="8.28515625" style="39" customWidth="1"/>
    <col min="29" max="29" width="14.28515625" style="39" customWidth="1"/>
    <col min="30" max="30" width="8.5703125" style="39" customWidth="1"/>
    <col min="31" max="31" width="15.5703125" style="39" customWidth="1"/>
    <col min="32" max="32" width="12" style="39" customWidth="1"/>
    <col min="33" max="33" width="14" style="39" customWidth="1"/>
    <col min="34" max="34" width="7.85546875" style="39" customWidth="1"/>
    <col min="35" max="35" width="15.5703125" style="39" customWidth="1"/>
    <col min="36" max="36" width="11.85546875" style="39" customWidth="1"/>
    <col min="37" max="37" width="15.28515625" style="39" customWidth="1"/>
    <col min="38" max="38" width="8.42578125" style="39" customWidth="1"/>
    <col min="39" max="39" width="15.5703125" style="39" customWidth="1"/>
    <col min="40" max="40" width="10.28515625" style="39" customWidth="1"/>
    <col min="41" max="41" width="14.7109375" style="39" customWidth="1"/>
    <col min="42" max="42" width="7.42578125" style="39" customWidth="1"/>
    <col min="43" max="43" width="14.28515625" style="39" customWidth="1"/>
    <col min="44" max="44" width="9" style="39" customWidth="1"/>
    <col min="45" max="45" width="13.85546875" style="39" customWidth="1"/>
    <col min="46" max="46" width="9.5703125" style="39" customWidth="1"/>
    <col min="47" max="47" width="14.7109375" style="39" customWidth="1"/>
    <col min="48" max="48" width="7.7109375" style="39" customWidth="1"/>
    <col min="49" max="49" width="17.28515625" style="39" customWidth="1"/>
    <col min="50" max="50" width="9.140625" style="39" customWidth="1"/>
    <col min="51" max="51" width="15.5703125" style="39" customWidth="1"/>
    <col min="52" max="52" width="9.28515625" style="39" customWidth="1"/>
    <col min="53" max="53" width="14.42578125" style="39" customWidth="1"/>
    <col min="54" max="54" width="9.5703125" style="39" customWidth="1"/>
    <col min="55" max="55" width="15.5703125" style="39" customWidth="1"/>
    <col min="56" max="56" width="9.7109375" style="39" customWidth="1"/>
    <col min="57" max="57" width="14.5703125" style="39" customWidth="1"/>
    <col min="58" max="58" width="10.42578125" style="39" customWidth="1"/>
    <col min="59" max="59" width="15.5703125" style="39" customWidth="1"/>
    <col min="60" max="60" width="11.42578125" style="39" customWidth="1"/>
    <col min="61" max="61" width="16.7109375" style="39" customWidth="1"/>
    <col min="62" max="62" width="15" style="39" customWidth="1"/>
    <col min="63" max="63" width="17.28515625" style="39" customWidth="1"/>
    <col min="64" max="64" width="8.42578125" style="39" hidden="1" customWidth="1"/>
    <col min="65" max="65" width="15" style="39" hidden="1" customWidth="1"/>
    <col min="66" max="66" width="17" style="39" hidden="1" customWidth="1"/>
    <col min="67" max="67" width="9.140625" style="39" hidden="1" customWidth="1"/>
    <col min="68" max="68" width="27.42578125" style="67" customWidth="1"/>
    <col min="69" max="69" width="9.140625" style="39" customWidth="1"/>
    <col min="70" max="70" width="16.7109375" style="39" customWidth="1"/>
    <col min="71" max="71" width="18.28515625" style="39" customWidth="1"/>
    <col min="72" max="72" width="18" style="39" customWidth="1"/>
    <col min="73" max="73" width="16.7109375" style="39" customWidth="1"/>
    <col min="74" max="74" width="19" style="39" customWidth="1"/>
    <col min="75" max="75" width="17" style="39" customWidth="1"/>
    <col min="76" max="77" width="19" style="39" customWidth="1"/>
    <col min="78" max="78" width="18.140625" style="39" customWidth="1"/>
    <col min="79" max="81" width="9.140625" style="39" customWidth="1"/>
    <col min="82" max="16384" width="9.140625" style="39"/>
  </cols>
  <sheetData>
    <row r="1" spans="1:78" ht="18.75" hidden="1" customHeight="1" x14ac:dyDescent="0.25">
      <c r="A1" s="873"/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</row>
    <row r="2" spans="1:78" ht="15.75" hidden="1" x14ac:dyDescent="0.25">
      <c r="A2" s="872" t="s">
        <v>407</v>
      </c>
      <c r="B2" s="872"/>
      <c r="C2" s="874" t="s">
        <v>401</v>
      </c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67"/>
      <c r="S2" s="67"/>
      <c r="T2" s="67"/>
      <c r="U2" s="67"/>
      <c r="V2" s="67"/>
      <c r="W2" s="67"/>
      <c r="X2" s="67"/>
      <c r="Y2" s="67"/>
      <c r="Z2" s="351" t="s">
        <v>781</v>
      </c>
      <c r="AA2" s="351">
        <v>8.34</v>
      </c>
      <c r="AB2" s="351"/>
      <c r="AC2" s="351">
        <v>2.85</v>
      </c>
      <c r="AD2" s="351"/>
      <c r="AE2" s="351">
        <v>8.3800000000000008</v>
      </c>
      <c r="AF2" s="351"/>
      <c r="AG2" s="351">
        <v>7.49</v>
      </c>
      <c r="AH2" s="351"/>
      <c r="AI2" s="351">
        <v>3.33</v>
      </c>
      <c r="AJ2" s="351"/>
      <c r="AK2" s="351">
        <v>6.64</v>
      </c>
      <c r="AL2" s="351"/>
      <c r="AM2" s="351">
        <v>3.67</v>
      </c>
      <c r="AN2" s="351"/>
      <c r="AO2" s="351">
        <v>5.0599999999999996</v>
      </c>
      <c r="AP2" s="351"/>
      <c r="AQ2" s="351">
        <v>5.94</v>
      </c>
      <c r="AR2" s="351"/>
      <c r="AS2" s="351">
        <v>6.85</v>
      </c>
      <c r="AT2" s="351"/>
      <c r="AU2" s="351">
        <v>7.45</v>
      </c>
      <c r="AV2" s="351"/>
      <c r="AW2" s="351">
        <v>5.13</v>
      </c>
      <c r="AX2" s="351"/>
      <c r="AY2" s="351">
        <v>4.8600000000000003</v>
      </c>
      <c r="AZ2" s="351"/>
      <c r="BA2" s="351">
        <v>5.79</v>
      </c>
      <c r="BB2" s="351"/>
      <c r="BC2" s="351">
        <v>5.3</v>
      </c>
      <c r="BD2" s="351"/>
      <c r="BE2" s="351">
        <v>3.47</v>
      </c>
      <c r="BF2" s="351"/>
      <c r="BG2" s="351">
        <v>9.42</v>
      </c>
      <c r="BH2" s="351"/>
      <c r="BI2" s="351"/>
      <c r="BJ2" s="351"/>
      <c r="BK2" s="351"/>
    </row>
    <row r="3" spans="1:78" ht="15.75" hidden="1" x14ac:dyDescent="0.25">
      <c r="A3" s="872" t="s">
        <v>403</v>
      </c>
      <c r="B3" s="872"/>
      <c r="C3" s="874" t="s">
        <v>402</v>
      </c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67"/>
      <c r="S3" s="67"/>
      <c r="T3" s="67"/>
      <c r="U3" s="67"/>
      <c r="V3" s="67"/>
      <c r="W3" s="67"/>
      <c r="X3" s="67"/>
      <c r="Y3" s="67"/>
      <c r="Z3" s="351" t="s">
        <v>779</v>
      </c>
      <c r="AA3" s="351">
        <v>48</v>
      </c>
      <c r="AB3" s="351"/>
      <c r="AC3" s="351">
        <v>23</v>
      </c>
      <c r="AD3" s="351"/>
      <c r="AE3" s="351">
        <v>80</v>
      </c>
      <c r="AF3" s="351"/>
      <c r="AG3" s="351">
        <v>105</v>
      </c>
      <c r="AH3" s="351"/>
      <c r="AI3" s="351">
        <v>43</v>
      </c>
      <c r="AJ3" s="351"/>
      <c r="AK3" s="351">
        <v>75</v>
      </c>
      <c r="AL3" s="351"/>
      <c r="AM3" s="351">
        <v>41</v>
      </c>
      <c r="AN3" s="351"/>
      <c r="AO3" s="351">
        <v>101</v>
      </c>
      <c r="AP3" s="351"/>
      <c r="AQ3" s="351">
        <v>8</v>
      </c>
      <c r="AR3" s="351"/>
      <c r="AS3" s="351">
        <v>33</v>
      </c>
      <c r="AT3" s="351"/>
      <c r="AU3" s="351">
        <v>53</v>
      </c>
      <c r="AV3" s="351"/>
      <c r="AW3" s="351">
        <v>52</v>
      </c>
      <c r="AX3" s="351"/>
      <c r="AY3" s="351">
        <v>76</v>
      </c>
      <c r="AZ3" s="351"/>
      <c r="BA3" s="351">
        <v>82</v>
      </c>
      <c r="BB3" s="351"/>
      <c r="BC3" s="351">
        <v>104</v>
      </c>
      <c r="BD3" s="351"/>
      <c r="BE3" s="351">
        <v>147</v>
      </c>
      <c r="BF3" s="351"/>
      <c r="BG3" s="351">
        <v>54</v>
      </c>
      <c r="BH3" s="351"/>
      <c r="BI3" s="351"/>
      <c r="BJ3" s="351"/>
      <c r="BK3" s="351"/>
    </row>
    <row r="4" spans="1:78" ht="15.75" hidden="1" x14ac:dyDescent="0.25">
      <c r="A4" s="872" t="s">
        <v>404</v>
      </c>
      <c r="B4" s="872"/>
      <c r="C4" s="874" t="s">
        <v>746</v>
      </c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67"/>
      <c r="S4" s="67"/>
      <c r="T4" s="67"/>
      <c r="U4" s="67"/>
      <c r="V4" s="67"/>
      <c r="W4" s="67"/>
      <c r="X4" s="67"/>
      <c r="Y4" s="67"/>
      <c r="Z4" s="351" t="s">
        <v>780</v>
      </c>
      <c r="AA4" s="442">
        <f>AA3/1125*100</f>
        <v>4.2666666666666666</v>
      </c>
      <c r="AB4" s="442">
        <f t="shared" ref="AB4:BG4" si="0">AB3/1125*100</f>
        <v>0</v>
      </c>
      <c r="AC4" s="442">
        <f t="shared" si="0"/>
        <v>2.0444444444444447</v>
      </c>
      <c r="AD4" s="442">
        <f t="shared" si="0"/>
        <v>0</v>
      </c>
      <c r="AE4" s="442">
        <f t="shared" si="0"/>
        <v>7.1111111111111107</v>
      </c>
      <c r="AF4" s="442">
        <f t="shared" si="0"/>
        <v>0</v>
      </c>
      <c r="AG4" s="442">
        <f t="shared" si="0"/>
        <v>9.3333333333333339</v>
      </c>
      <c r="AH4" s="442">
        <f t="shared" si="0"/>
        <v>0</v>
      </c>
      <c r="AI4" s="442">
        <f t="shared" si="0"/>
        <v>3.822222222222222</v>
      </c>
      <c r="AJ4" s="442">
        <f t="shared" si="0"/>
        <v>0</v>
      </c>
      <c r="AK4" s="442">
        <f t="shared" si="0"/>
        <v>6.666666666666667</v>
      </c>
      <c r="AL4" s="442">
        <f t="shared" si="0"/>
        <v>0</v>
      </c>
      <c r="AM4" s="442">
        <f t="shared" si="0"/>
        <v>3.6444444444444448</v>
      </c>
      <c r="AN4" s="442">
        <f t="shared" si="0"/>
        <v>0</v>
      </c>
      <c r="AO4" s="442">
        <f t="shared" si="0"/>
        <v>8.9777777777777779</v>
      </c>
      <c r="AP4" s="442">
        <f t="shared" si="0"/>
        <v>0</v>
      </c>
      <c r="AQ4" s="442">
        <f t="shared" si="0"/>
        <v>0.71111111111111114</v>
      </c>
      <c r="AR4" s="442">
        <f t="shared" si="0"/>
        <v>0</v>
      </c>
      <c r="AS4" s="442">
        <f t="shared" si="0"/>
        <v>2.9333333333333331</v>
      </c>
      <c r="AT4" s="442">
        <f t="shared" si="0"/>
        <v>0</v>
      </c>
      <c r="AU4" s="442">
        <f t="shared" si="0"/>
        <v>4.7111111111111112</v>
      </c>
      <c r="AV4" s="442">
        <f t="shared" si="0"/>
        <v>0</v>
      </c>
      <c r="AW4" s="442">
        <f t="shared" si="0"/>
        <v>4.6222222222222218</v>
      </c>
      <c r="AX4" s="442">
        <f t="shared" si="0"/>
        <v>0</v>
      </c>
      <c r="AY4" s="442">
        <f t="shared" si="0"/>
        <v>6.7555555555555546</v>
      </c>
      <c r="AZ4" s="442">
        <f t="shared" si="0"/>
        <v>0</v>
      </c>
      <c r="BA4" s="442">
        <f t="shared" si="0"/>
        <v>7.2888888888888896</v>
      </c>
      <c r="BB4" s="442">
        <f t="shared" si="0"/>
        <v>0</v>
      </c>
      <c r="BC4" s="442">
        <f t="shared" si="0"/>
        <v>9.2444444444444436</v>
      </c>
      <c r="BD4" s="442">
        <f t="shared" si="0"/>
        <v>0</v>
      </c>
      <c r="BE4" s="442">
        <f t="shared" si="0"/>
        <v>13.066666666666665</v>
      </c>
      <c r="BF4" s="442">
        <f t="shared" si="0"/>
        <v>0</v>
      </c>
      <c r="BG4" s="442">
        <f t="shared" si="0"/>
        <v>4.8</v>
      </c>
      <c r="BH4" s="351"/>
      <c r="BI4" s="351"/>
      <c r="BJ4" s="351"/>
      <c r="BK4" s="351"/>
    </row>
    <row r="5" spans="1:78" ht="15.75" hidden="1" x14ac:dyDescent="0.25">
      <c r="A5" s="872" t="s">
        <v>405</v>
      </c>
      <c r="B5" s="872"/>
      <c r="C5" s="874" t="s">
        <v>0</v>
      </c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67"/>
      <c r="S5" s="67"/>
      <c r="T5" s="67"/>
      <c r="U5" s="67"/>
      <c r="V5" s="67"/>
      <c r="W5" s="67"/>
      <c r="X5" s="67"/>
      <c r="Y5" s="67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</row>
    <row r="6" spans="1:78" ht="15.75" hidden="1" x14ac:dyDescent="0.25">
      <c r="A6" s="872" t="s">
        <v>406</v>
      </c>
      <c r="B6" s="872"/>
      <c r="C6" s="874" t="s">
        <v>69</v>
      </c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4"/>
      <c r="O6" s="874"/>
      <c r="P6" s="874"/>
      <c r="Q6" s="874"/>
      <c r="R6" s="67"/>
      <c r="S6" s="67"/>
      <c r="T6" s="67"/>
      <c r="U6" s="67"/>
      <c r="V6" s="67"/>
      <c r="W6" s="67"/>
      <c r="X6" s="67"/>
      <c r="Y6" s="67"/>
    </row>
    <row r="7" spans="1:78" s="106" customFormat="1" ht="29.25" customHeight="1" x14ac:dyDescent="0.25">
      <c r="A7" s="865"/>
      <c r="B7" s="866"/>
      <c r="C7" s="866"/>
      <c r="D7" s="866"/>
      <c r="E7" s="867"/>
      <c r="F7" s="879" t="s">
        <v>11</v>
      </c>
      <c r="G7" s="880"/>
      <c r="H7" s="865" t="s">
        <v>400</v>
      </c>
      <c r="I7" s="866"/>
      <c r="J7" s="866"/>
      <c r="K7" s="866"/>
      <c r="L7" s="866"/>
      <c r="M7" s="866"/>
      <c r="N7" s="866"/>
      <c r="O7" s="866"/>
      <c r="P7" s="866"/>
      <c r="Q7" s="867"/>
      <c r="R7" s="865" t="s">
        <v>66</v>
      </c>
      <c r="S7" s="866"/>
      <c r="T7" s="866"/>
      <c r="U7" s="867"/>
      <c r="V7" s="865" t="s">
        <v>6</v>
      </c>
      <c r="W7" s="866"/>
      <c r="X7" s="866"/>
      <c r="Y7" s="867"/>
      <c r="Z7" s="869" t="s">
        <v>432</v>
      </c>
      <c r="AA7" s="870"/>
      <c r="AB7" s="869" t="s">
        <v>433</v>
      </c>
      <c r="AC7" s="870"/>
      <c r="AD7" s="869" t="s">
        <v>434</v>
      </c>
      <c r="AE7" s="870"/>
      <c r="AF7" s="869" t="s">
        <v>435</v>
      </c>
      <c r="AG7" s="870"/>
      <c r="AH7" s="869" t="s">
        <v>436</v>
      </c>
      <c r="AI7" s="870"/>
      <c r="AJ7" s="869" t="s">
        <v>437</v>
      </c>
      <c r="AK7" s="870"/>
      <c r="AL7" s="869" t="s">
        <v>438</v>
      </c>
      <c r="AM7" s="870"/>
      <c r="AN7" s="869" t="s">
        <v>439</v>
      </c>
      <c r="AO7" s="870"/>
      <c r="AP7" s="869" t="s">
        <v>440</v>
      </c>
      <c r="AQ7" s="870"/>
      <c r="AR7" s="869" t="s">
        <v>441</v>
      </c>
      <c r="AS7" s="870"/>
      <c r="AT7" s="869" t="s">
        <v>442</v>
      </c>
      <c r="AU7" s="870"/>
      <c r="AV7" s="869" t="s">
        <v>443</v>
      </c>
      <c r="AW7" s="870"/>
      <c r="AX7" s="869" t="s">
        <v>444</v>
      </c>
      <c r="AY7" s="870"/>
      <c r="AZ7" s="869" t="s">
        <v>445</v>
      </c>
      <c r="BA7" s="870"/>
      <c r="BB7" s="869" t="s">
        <v>446</v>
      </c>
      <c r="BC7" s="870"/>
      <c r="BD7" s="869" t="s">
        <v>447</v>
      </c>
      <c r="BE7" s="870"/>
      <c r="BF7" s="871" t="s">
        <v>448</v>
      </c>
      <c r="BG7" s="871"/>
      <c r="BH7" s="868" t="s">
        <v>449</v>
      </c>
      <c r="BI7" s="868"/>
      <c r="BJ7" s="868" t="s">
        <v>18</v>
      </c>
      <c r="BK7" s="868"/>
      <c r="BL7" s="402" t="s">
        <v>588</v>
      </c>
      <c r="BM7" s="402" t="s">
        <v>451</v>
      </c>
      <c r="BN7" s="402" t="s">
        <v>452</v>
      </c>
      <c r="BO7" s="402"/>
      <c r="BP7" s="290" t="s">
        <v>481</v>
      </c>
      <c r="BR7" s="863" t="s">
        <v>494</v>
      </c>
      <c r="BS7" s="863"/>
      <c r="BT7" s="863"/>
      <c r="BU7" s="863"/>
      <c r="BV7" s="863"/>
      <c r="BW7" s="863" t="s">
        <v>495</v>
      </c>
      <c r="BX7" s="863"/>
      <c r="BY7" s="863"/>
      <c r="BZ7" s="864" t="s">
        <v>18</v>
      </c>
    </row>
    <row r="8" spans="1:78" ht="52.5" customHeight="1" x14ac:dyDescent="0.25">
      <c r="A8" s="571" t="s">
        <v>46</v>
      </c>
      <c r="B8" s="572" t="s">
        <v>21</v>
      </c>
      <c r="C8" s="354" t="s">
        <v>12</v>
      </c>
      <c r="D8" s="354" t="s">
        <v>15</v>
      </c>
      <c r="E8" s="572" t="s">
        <v>19</v>
      </c>
      <c r="F8" s="572" t="s">
        <v>20</v>
      </c>
      <c r="G8" s="571" t="s">
        <v>16</v>
      </c>
      <c r="H8" s="144" t="s">
        <v>455</v>
      </c>
      <c r="I8" s="144" t="s">
        <v>456</v>
      </c>
      <c r="J8" s="144" t="s">
        <v>457</v>
      </c>
      <c r="K8" s="144" t="s">
        <v>458</v>
      </c>
      <c r="L8" s="144" t="s">
        <v>459</v>
      </c>
      <c r="M8" s="144" t="s">
        <v>460</v>
      </c>
      <c r="N8" s="144" t="s">
        <v>461</v>
      </c>
      <c r="O8" s="144" t="s">
        <v>462</v>
      </c>
      <c r="P8" s="144" t="s">
        <v>463</v>
      </c>
      <c r="Q8" s="144" t="s">
        <v>464</v>
      </c>
      <c r="R8" s="553" t="s">
        <v>7</v>
      </c>
      <c r="S8" s="553" t="s">
        <v>8</v>
      </c>
      <c r="T8" s="553" t="s">
        <v>9</v>
      </c>
      <c r="U8" s="553" t="s">
        <v>10</v>
      </c>
      <c r="V8" s="354" t="s">
        <v>7</v>
      </c>
      <c r="W8" s="354" t="s">
        <v>8</v>
      </c>
      <c r="X8" s="354" t="s">
        <v>9</v>
      </c>
      <c r="Y8" s="354" t="s">
        <v>10</v>
      </c>
      <c r="Z8" s="290" t="s">
        <v>15</v>
      </c>
      <c r="AA8" s="290" t="s">
        <v>16</v>
      </c>
      <c r="AB8" s="290" t="s">
        <v>15</v>
      </c>
      <c r="AC8" s="290" t="s">
        <v>16</v>
      </c>
      <c r="AD8" s="290" t="s">
        <v>15</v>
      </c>
      <c r="AE8" s="290" t="s">
        <v>16</v>
      </c>
      <c r="AF8" s="290" t="s">
        <v>15</v>
      </c>
      <c r="AG8" s="290" t="s">
        <v>16</v>
      </c>
      <c r="AH8" s="290" t="s">
        <v>15</v>
      </c>
      <c r="AI8" s="290" t="s">
        <v>16</v>
      </c>
      <c r="AJ8" s="290" t="s">
        <v>15</v>
      </c>
      <c r="AK8" s="290" t="s">
        <v>16</v>
      </c>
      <c r="AL8" s="290" t="s">
        <v>15</v>
      </c>
      <c r="AM8" s="290" t="s">
        <v>16</v>
      </c>
      <c r="AN8" s="290" t="s">
        <v>15</v>
      </c>
      <c r="AO8" s="290" t="s">
        <v>16</v>
      </c>
      <c r="AP8" s="290" t="s">
        <v>15</v>
      </c>
      <c r="AQ8" s="290" t="s">
        <v>16</v>
      </c>
      <c r="AR8" s="290" t="s">
        <v>15</v>
      </c>
      <c r="AS8" s="290" t="s">
        <v>16</v>
      </c>
      <c r="AT8" s="290" t="s">
        <v>15</v>
      </c>
      <c r="AU8" s="290" t="s">
        <v>16</v>
      </c>
      <c r="AV8" s="290" t="s">
        <v>15</v>
      </c>
      <c r="AW8" s="290" t="s">
        <v>16</v>
      </c>
      <c r="AX8" s="290" t="s">
        <v>15</v>
      </c>
      <c r="AY8" s="290" t="s">
        <v>16</v>
      </c>
      <c r="AZ8" s="290" t="s">
        <v>15</v>
      </c>
      <c r="BA8" s="290" t="s">
        <v>16</v>
      </c>
      <c r="BB8" s="290" t="s">
        <v>15</v>
      </c>
      <c r="BC8" s="290" t="s">
        <v>16</v>
      </c>
      <c r="BD8" s="290" t="s">
        <v>15</v>
      </c>
      <c r="BE8" s="290" t="s">
        <v>16</v>
      </c>
      <c r="BF8" s="290" t="s">
        <v>15</v>
      </c>
      <c r="BG8" s="290" t="s">
        <v>16</v>
      </c>
      <c r="BH8" s="290" t="s">
        <v>15</v>
      </c>
      <c r="BI8" s="290" t="s">
        <v>16</v>
      </c>
      <c r="BJ8" s="290" t="s">
        <v>15</v>
      </c>
      <c r="BK8" s="290" t="s">
        <v>16</v>
      </c>
      <c r="BL8" s="82"/>
      <c r="BM8" s="82"/>
      <c r="BN8" s="82"/>
      <c r="BO8" s="82"/>
      <c r="BP8" s="85"/>
      <c r="BR8" s="118" t="s">
        <v>485</v>
      </c>
      <c r="BS8" s="357" t="s">
        <v>486</v>
      </c>
      <c r="BT8" s="357" t="s">
        <v>487</v>
      </c>
      <c r="BU8" s="358" t="s">
        <v>488</v>
      </c>
      <c r="BV8" s="359" t="s">
        <v>489</v>
      </c>
      <c r="BW8" s="357" t="s">
        <v>490</v>
      </c>
      <c r="BX8" s="357" t="s">
        <v>491</v>
      </c>
      <c r="BY8" s="359" t="s">
        <v>492</v>
      </c>
      <c r="BZ8" s="864"/>
    </row>
    <row r="9" spans="1:78" ht="30.75" customHeight="1" x14ac:dyDescent="0.25">
      <c r="A9" s="876" t="s">
        <v>65</v>
      </c>
      <c r="B9" s="364">
        <v>11000</v>
      </c>
      <c r="C9" s="459" t="s">
        <v>69</v>
      </c>
      <c r="D9" s="144"/>
      <c r="E9" s="290"/>
      <c r="F9" s="290"/>
      <c r="G9" s="156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290"/>
      <c r="S9" s="290"/>
      <c r="T9" s="290"/>
      <c r="U9" s="290"/>
      <c r="V9" s="290"/>
      <c r="W9" s="290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85"/>
      <c r="BM9" s="85"/>
      <c r="BN9" s="85"/>
      <c r="BO9" s="117"/>
      <c r="BP9" s="85"/>
      <c r="BR9" s="113"/>
      <c r="BS9" s="113"/>
      <c r="BT9" s="113"/>
      <c r="BU9" s="113"/>
      <c r="BV9" s="113"/>
      <c r="BW9" s="113"/>
      <c r="BX9" s="113"/>
      <c r="BY9" s="113"/>
      <c r="BZ9" s="217">
        <f>BV9+BY9</f>
        <v>0</v>
      </c>
    </row>
    <row r="10" spans="1:78" s="106" customFormat="1" ht="25.35" customHeight="1" x14ac:dyDescent="0.25">
      <c r="A10" s="877"/>
      <c r="B10" s="215">
        <v>11100</v>
      </c>
      <c r="C10" s="167" t="s">
        <v>70</v>
      </c>
      <c r="D10" s="167" t="s">
        <v>72</v>
      </c>
      <c r="E10" s="167">
        <f>62.64*100000</f>
        <v>6264000</v>
      </c>
      <c r="F10" s="214">
        <f>BJ10</f>
        <v>17</v>
      </c>
      <c r="G10" s="156">
        <f>E10*F10</f>
        <v>106488000</v>
      </c>
      <c r="H10" s="156">
        <f>G10*0.5</f>
        <v>53244000</v>
      </c>
      <c r="I10" s="156">
        <f>G10*0.5</f>
        <v>53244000</v>
      </c>
      <c r="J10" s="156">
        <f>G10*0</f>
        <v>0</v>
      </c>
      <c r="K10" s="156">
        <f>G10*0</f>
        <v>0</v>
      </c>
      <c r="L10" s="156">
        <f>G10*0</f>
        <v>0</v>
      </c>
      <c r="M10" s="156">
        <f>G10*0</f>
        <v>0</v>
      </c>
      <c r="N10" s="156">
        <f>G10*0</f>
        <v>0</v>
      </c>
      <c r="O10" s="156">
        <f>G10*0</f>
        <v>0</v>
      </c>
      <c r="P10" s="156">
        <f>G10*0</f>
        <v>0</v>
      </c>
      <c r="Q10" s="156">
        <f>G10*0</f>
        <v>0</v>
      </c>
      <c r="R10" s="156">
        <v>4.25</v>
      </c>
      <c r="S10" s="156">
        <v>4.25</v>
      </c>
      <c r="T10" s="156">
        <v>4.25</v>
      </c>
      <c r="U10" s="156">
        <v>4.25</v>
      </c>
      <c r="V10" s="156">
        <f>R10*6264000</f>
        <v>26622000</v>
      </c>
      <c r="W10" s="156">
        <f>S10*6264000</f>
        <v>26622000</v>
      </c>
      <c r="X10" s="156">
        <f>T10*6264000</f>
        <v>26622000</v>
      </c>
      <c r="Y10" s="156">
        <f>U10*6264000</f>
        <v>26622000</v>
      </c>
      <c r="Z10" s="156">
        <v>1</v>
      </c>
      <c r="AA10" s="156">
        <f>Z10*6264000</f>
        <v>6264000</v>
      </c>
      <c r="AB10" s="156">
        <v>1</v>
      </c>
      <c r="AC10" s="156">
        <f>AB10*6264000</f>
        <v>6264000</v>
      </c>
      <c r="AD10" s="156">
        <v>1</v>
      </c>
      <c r="AE10" s="156">
        <f>AD10*6264000</f>
        <v>6264000</v>
      </c>
      <c r="AF10" s="156">
        <v>1</v>
      </c>
      <c r="AG10" s="156">
        <f>AF10*6264000</f>
        <v>6264000</v>
      </c>
      <c r="AH10" s="156">
        <v>1</v>
      </c>
      <c r="AI10" s="156">
        <f>AH10*6264000</f>
        <v>6264000</v>
      </c>
      <c r="AJ10" s="156">
        <v>1</v>
      </c>
      <c r="AK10" s="156">
        <f>AJ10*6264000</f>
        <v>6264000</v>
      </c>
      <c r="AL10" s="156">
        <v>1</v>
      </c>
      <c r="AM10" s="156">
        <f>AL10*6264000</f>
        <v>6264000</v>
      </c>
      <c r="AN10" s="156">
        <v>1</v>
      </c>
      <c r="AO10" s="156">
        <f>AN10*6264000</f>
        <v>6264000</v>
      </c>
      <c r="AP10" s="156">
        <v>1</v>
      </c>
      <c r="AQ10" s="156">
        <f>AP10*6264000</f>
        <v>6264000</v>
      </c>
      <c r="AR10" s="156">
        <v>1</v>
      </c>
      <c r="AS10" s="156">
        <f>AR10*6264000</f>
        <v>6264000</v>
      </c>
      <c r="AT10" s="156">
        <v>1</v>
      </c>
      <c r="AU10" s="156">
        <f>AT10*6264000</f>
        <v>6264000</v>
      </c>
      <c r="AV10" s="156">
        <v>1</v>
      </c>
      <c r="AW10" s="156">
        <f>AV10*6264000</f>
        <v>6264000</v>
      </c>
      <c r="AX10" s="156">
        <v>1</v>
      </c>
      <c r="AY10" s="156">
        <f>AX10*6264000</f>
        <v>6264000</v>
      </c>
      <c r="AZ10" s="156">
        <v>1</v>
      </c>
      <c r="BA10" s="156">
        <f>AZ10*6264000</f>
        <v>6264000</v>
      </c>
      <c r="BB10" s="156">
        <v>1</v>
      </c>
      <c r="BC10" s="156">
        <f>BB10*6264000</f>
        <v>6264000</v>
      </c>
      <c r="BD10" s="156">
        <v>1</v>
      </c>
      <c r="BE10" s="156">
        <f>BD10*6264000</f>
        <v>6264000</v>
      </c>
      <c r="BF10" s="156">
        <v>1</v>
      </c>
      <c r="BG10" s="156">
        <f>BF10*6264000</f>
        <v>6264000</v>
      </c>
      <c r="BH10" s="216">
        <v>0</v>
      </c>
      <c r="BI10" s="156">
        <f>BH10*6264000</f>
        <v>0</v>
      </c>
      <c r="BJ10" s="216">
        <f>Z10+AB10+AD10+AF10+AH10+AJ10+AL10+AN10+AP10+AR10+AT10+AV10+AX10+AZ10+BB10+BD10+BF10+BH10</f>
        <v>17</v>
      </c>
      <c r="BK10" s="156">
        <f>AA10+AC10+AE10+AG10+AI10+AK10+AM10+AO10+AQ10+AS10+AU10+AW10+AY10+BA10+BC10+BE10+BG10+BI10</f>
        <v>106488000</v>
      </c>
      <c r="BL10" s="156"/>
      <c r="BM10" s="156"/>
      <c r="BN10" s="156" t="s">
        <v>453</v>
      </c>
      <c r="BO10" s="374"/>
      <c r="BP10" s="341" t="s">
        <v>470</v>
      </c>
      <c r="BR10" s="375"/>
      <c r="BS10" s="375"/>
      <c r="BT10" s="375">
        <f>G10</f>
        <v>106488000</v>
      </c>
      <c r="BU10" s="375"/>
      <c r="BV10" s="375">
        <f>BR10+BS10+BT10+BU10</f>
        <v>106488000</v>
      </c>
      <c r="BW10" s="375"/>
      <c r="BX10" s="375"/>
      <c r="BY10" s="375">
        <f>BW10+BX10</f>
        <v>0</v>
      </c>
      <c r="BZ10" s="573">
        <f t="shared" ref="BZ10:BZ72" si="1">BV10+BY10</f>
        <v>106488000</v>
      </c>
    </row>
    <row r="11" spans="1:78" ht="27" customHeight="1" x14ac:dyDescent="0.25">
      <c r="A11" s="877"/>
      <c r="B11" s="60">
        <v>11110</v>
      </c>
      <c r="C11" s="574" t="s">
        <v>71</v>
      </c>
      <c r="D11" s="167" t="s">
        <v>73</v>
      </c>
      <c r="E11" s="167">
        <f>0.05*100000</f>
        <v>5000</v>
      </c>
      <c r="F11" s="214">
        <f>BJ11</f>
        <v>0</v>
      </c>
      <c r="G11" s="156">
        <f>E11*F11</f>
        <v>0</v>
      </c>
      <c r="H11" s="156">
        <f>G11*0.203</f>
        <v>0</v>
      </c>
      <c r="I11" s="156">
        <f>G11*0.6</f>
        <v>0</v>
      </c>
      <c r="J11" s="156">
        <f>G11*0</f>
        <v>0</v>
      </c>
      <c r="K11" s="156">
        <f>G11*0.196</f>
        <v>0</v>
      </c>
      <c r="L11" s="156">
        <f>G11*0.001</f>
        <v>0</v>
      </c>
      <c r="M11" s="156">
        <f>G11*0</f>
        <v>0</v>
      </c>
      <c r="N11" s="156">
        <f>G11*0</f>
        <v>0</v>
      </c>
      <c r="O11" s="156">
        <f>G11*0</f>
        <v>0</v>
      </c>
      <c r="P11" s="156">
        <f>G11*0</f>
        <v>0</v>
      </c>
      <c r="Q11" s="156">
        <f>G11*0</f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f>R11*5000</f>
        <v>0</v>
      </c>
      <c r="W11" s="156">
        <f>S11*5000</f>
        <v>0</v>
      </c>
      <c r="X11" s="156">
        <f>T11*5000</f>
        <v>0</v>
      </c>
      <c r="Y11" s="156">
        <f>U11*5000</f>
        <v>0</v>
      </c>
      <c r="Z11" s="156">
        <v>0</v>
      </c>
      <c r="AA11" s="156">
        <f>Z11*5000</f>
        <v>0</v>
      </c>
      <c r="AB11" s="156">
        <v>0</v>
      </c>
      <c r="AC11" s="156">
        <f>AB11*5000</f>
        <v>0</v>
      </c>
      <c r="AD11" s="156">
        <v>0</v>
      </c>
      <c r="AE11" s="156">
        <f>AD11*5000</f>
        <v>0</v>
      </c>
      <c r="AF11" s="156">
        <v>0</v>
      </c>
      <c r="AG11" s="156">
        <f>AF11*5000</f>
        <v>0</v>
      </c>
      <c r="AH11" s="156">
        <v>0</v>
      </c>
      <c r="AI11" s="156">
        <f>AH11*5000</f>
        <v>0</v>
      </c>
      <c r="AJ11" s="156">
        <v>0</v>
      </c>
      <c r="AK11" s="156">
        <f>AJ11*5000</f>
        <v>0</v>
      </c>
      <c r="AL11" s="156">
        <v>0</v>
      </c>
      <c r="AM11" s="156">
        <f>AL11*5000</f>
        <v>0</v>
      </c>
      <c r="AN11" s="156">
        <v>0</v>
      </c>
      <c r="AO11" s="156">
        <f>AN11*5000</f>
        <v>0</v>
      </c>
      <c r="AP11" s="156">
        <v>0</v>
      </c>
      <c r="AQ11" s="156">
        <f>AP11*5000</f>
        <v>0</v>
      </c>
      <c r="AR11" s="156">
        <v>0</v>
      </c>
      <c r="AS11" s="156">
        <f>AR11*5000</f>
        <v>0</v>
      </c>
      <c r="AT11" s="156">
        <v>0</v>
      </c>
      <c r="AU11" s="156">
        <f>AT11*5000</f>
        <v>0</v>
      </c>
      <c r="AV11" s="156">
        <v>0</v>
      </c>
      <c r="AW11" s="156">
        <f>AV11*5000</f>
        <v>0</v>
      </c>
      <c r="AX11" s="156">
        <v>0</v>
      </c>
      <c r="AY11" s="156">
        <f>AX11*5000</f>
        <v>0</v>
      </c>
      <c r="AZ11" s="156">
        <v>0</v>
      </c>
      <c r="BA11" s="156">
        <f>AZ11*5000</f>
        <v>0</v>
      </c>
      <c r="BB11" s="156">
        <v>0</v>
      </c>
      <c r="BC11" s="156">
        <f>BB11*5000</f>
        <v>0</v>
      </c>
      <c r="BD11" s="156">
        <v>0</v>
      </c>
      <c r="BE11" s="156">
        <f>BD11*5000</f>
        <v>0</v>
      </c>
      <c r="BF11" s="156">
        <v>0</v>
      </c>
      <c r="BG11" s="156">
        <f>BF11*5000</f>
        <v>0</v>
      </c>
      <c r="BH11" s="216">
        <v>0</v>
      </c>
      <c r="BI11" s="156">
        <f>BH11*5000</f>
        <v>0</v>
      </c>
      <c r="BJ11" s="216">
        <f>Z11+AB11+AD11+AF11+AH11+AJ11+AL11+AN11+AP11+AR11+AT11+AV11+AX11+AZ11+BB11+BD11+BF11+BH11</f>
        <v>0</v>
      </c>
      <c r="BK11" s="156">
        <f>AA11+AC11+AE11+AG11+AI11+AK11+AM11+AO11+AQ11+AS11+AU11+AW11+AY11+BA11+BC11+BE11+BG11+BI11</f>
        <v>0</v>
      </c>
      <c r="BL11" s="85"/>
      <c r="BM11" s="85"/>
      <c r="BN11" s="85"/>
      <c r="BO11" s="117"/>
      <c r="BP11" s="321" t="s">
        <v>470</v>
      </c>
      <c r="BR11" s="113"/>
      <c r="BS11" s="113"/>
      <c r="BT11" s="113"/>
      <c r="BU11" s="113"/>
      <c r="BV11" s="113"/>
      <c r="BW11" s="113"/>
      <c r="BX11" s="113"/>
      <c r="BY11" s="113">
        <f>BW11+BX11</f>
        <v>0</v>
      </c>
      <c r="BZ11" s="217">
        <f t="shared" si="1"/>
        <v>0</v>
      </c>
    </row>
    <row r="12" spans="1:78" s="579" customFormat="1" ht="32.25" customHeight="1" x14ac:dyDescent="0.25">
      <c r="A12" s="877"/>
      <c r="B12" s="62"/>
      <c r="C12" s="564" t="s">
        <v>36</v>
      </c>
      <c r="D12" s="139"/>
      <c r="E12" s="170"/>
      <c r="F12" s="575">
        <f>SUM(F10:F11)</f>
        <v>17</v>
      </c>
      <c r="G12" s="170">
        <f>SUM(G10:G11)</f>
        <v>106488000</v>
      </c>
      <c r="H12" s="170">
        <f t="shared" ref="H12:Q12" si="2">SUM(H10:H11)</f>
        <v>53244000</v>
      </c>
      <c r="I12" s="170">
        <f>SUM(I10:I11)</f>
        <v>53244000</v>
      </c>
      <c r="J12" s="170">
        <f>SUM(J10:J11)</f>
        <v>0</v>
      </c>
      <c r="K12" s="170">
        <f t="shared" si="2"/>
        <v>0</v>
      </c>
      <c r="L12" s="170">
        <f t="shared" si="2"/>
        <v>0</v>
      </c>
      <c r="M12" s="170">
        <f t="shared" si="2"/>
        <v>0</v>
      </c>
      <c r="N12" s="170">
        <f t="shared" si="2"/>
        <v>0</v>
      </c>
      <c r="O12" s="170">
        <f t="shared" si="2"/>
        <v>0</v>
      </c>
      <c r="P12" s="170">
        <f t="shared" si="2"/>
        <v>0</v>
      </c>
      <c r="Q12" s="170">
        <f t="shared" si="2"/>
        <v>0</v>
      </c>
      <c r="R12" s="170">
        <f t="shared" ref="R12:Y12" si="3">SUM(R10:R11)</f>
        <v>4.25</v>
      </c>
      <c r="S12" s="170">
        <f t="shared" si="3"/>
        <v>4.25</v>
      </c>
      <c r="T12" s="170">
        <f t="shared" si="3"/>
        <v>4.25</v>
      </c>
      <c r="U12" s="170">
        <f t="shared" si="3"/>
        <v>4.25</v>
      </c>
      <c r="V12" s="170">
        <f t="shared" si="3"/>
        <v>26622000</v>
      </c>
      <c r="W12" s="170">
        <f t="shared" si="3"/>
        <v>26622000</v>
      </c>
      <c r="X12" s="170">
        <f t="shared" si="3"/>
        <v>26622000</v>
      </c>
      <c r="Y12" s="170">
        <f t="shared" si="3"/>
        <v>26622000</v>
      </c>
      <c r="Z12" s="170">
        <f t="shared" ref="Z12:BK12" si="4">SUM(Z10:Z11)</f>
        <v>1</v>
      </c>
      <c r="AA12" s="170">
        <f t="shared" si="4"/>
        <v>6264000</v>
      </c>
      <c r="AB12" s="170">
        <f t="shared" si="4"/>
        <v>1</v>
      </c>
      <c r="AC12" s="170">
        <f t="shared" si="4"/>
        <v>6264000</v>
      </c>
      <c r="AD12" s="170">
        <f t="shared" si="4"/>
        <v>1</v>
      </c>
      <c r="AE12" s="170">
        <f t="shared" si="4"/>
        <v>6264000</v>
      </c>
      <c r="AF12" s="170">
        <f t="shared" si="4"/>
        <v>1</v>
      </c>
      <c r="AG12" s="170">
        <f t="shared" si="4"/>
        <v>6264000</v>
      </c>
      <c r="AH12" s="170">
        <f t="shared" si="4"/>
        <v>1</v>
      </c>
      <c r="AI12" s="170">
        <f t="shared" si="4"/>
        <v>6264000</v>
      </c>
      <c r="AJ12" s="170">
        <f t="shared" si="4"/>
        <v>1</v>
      </c>
      <c r="AK12" s="170">
        <f t="shared" si="4"/>
        <v>6264000</v>
      </c>
      <c r="AL12" s="170">
        <f t="shared" si="4"/>
        <v>1</v>
      </c>
      <c r="AM12" s="170">
        <f t="shared" si="4"/>
        <v>6264000</v>
      </c>
      <c r="AN12" s="170">
        <f t="shared" si="4"/>
        <v>1</v>
      </c>
      <c r="AO12" s="170">
        <f t="shared" si="4"/>
        <v>6264000</v>
      </c>
      <c r="AP12" s="170">
        <f t="shared" si="4"/>
        <v>1</v>
      </c>
      <c r="AQ12" s="170">
        <f t="shared" si="4"/>
        <v>6264000</v>
      </c>
      <c r="AR12" s="170">
        <f t="shared" si="4"/>
        <v>1</v>
      </c>
      <c r="AS12" s="170">
        <f t="shared" si="4"/>
        <v>6264000</v>
      </c>
      <c r="AT12" s="170">
        <f t="shared" si="4"/>
        <v>1</v>
      </c>
      <c r="AU12" s="170">
        <f t="shared" si="4"/>
        <v>6264000</v>
      </c>
      <c r="AV12" s="170">
        <f t="shared" si="4"/>
        <v>1</v>
      </c>
      <c r="AW12" s="170">
        <f t="shared" si="4"/>
        <v>6264000</v>
      </c>
      <c r="AX12" s="170">
        <f t="shared" si="4"/>
        <v>1</v>
      </c>
      <c r="AY12" s="170">
        <f t="shared" si="4"/>
        <v>6264000</v>
      </c>
      <c r="AZ12" s="170">
        <f t="shared" si="4"/>
        <v>1</v>
      </c>
      <c r="BA12" s="170">
        <f t="shared" si="4"/>
        <v>6264000</v>
      </c>
      <c r="BB12" s="170">
        <f t="shared" si="4"/>
        <v>1</v>
      </c>
      <c r="BC12" s="170">
        <f t="shared" si="4"/>
        <v>6264000</v>
      </c>
      <c r="BD12" s="170">
        <f t="shared" si="4"/>
        <v>1</v>
      </c>
      <c r="BE12" s="170">
        <f t="shared" si="4"/>
        <v>6264000</v>
      </c>
      <c r="BF12" s="170">
        <f t="shared" si="4"/>
        <v>1</v>
      </c>
      <c r="BG12" s="170">
        <f t="shared" si="4"/>
        <v>6264000</v>
      </c>
      <c r="BH12" s="170">
        <f t="shared" si="4"/>
        <v>0</v>
      </c>
      <c r="BI12" s="170">
        <f t="shared" si="4"/>
        <v>0</v>
      </c>
      <c r="BJ12" s="170">
        <f t="shared" si="4"/>
        <v>17</v>
      </c>
      <c r="BK12" s="170">
        <f t="shared" si="4"/>
        <v>106488000</v>
      </c>
      <c r="BL12" s="139"/>
      <c r="BM12" s="576"/>
      <c r="BN12" s="139"/>
      <c r="BO12" s="577"/>
      <c r="BP12" s="576"/>
      <c r="BQ12" s="67"/>
      <c r="BR12" s="578">
        <f t="shared" ref="BR12:BY12" si="5">SUM(BR10:BR11)</f>
        <v>0</v>
      </c>
      <c r="BS12" s="578">
        <f t="shared" si="5"/>
        <v>0</v>
      </c>
      <c r="BT12" s="578">
        <f t="shared" si="5"/>
        <v>106488000</v>
      </c>
      <c r="BU12" s="578">
        <f t="shared" si="5"/>
        <v>0</v>
      </c>
      <c r="BV12" s="578">
        <f t="shared" si="5"/>
        <v>106488000</v>
      </c>
      <c r="BW12" s="578">
        <f t="shared" si="5"/>
        <v>0</v>
      </c>
      <c r="BX12" s="578">
        <f t="shared" si="5"/>
        <v>0</v>
      </c>
      <c r="BY12" s="578">
        <f t="shared" si="5"/>
        <v>0</v>
      </c>
      <c r="BZ12" s="578">
        <f t="shared" si="1"/>
        <v>106488000</v>
      </c>
    </row>
    <row r="13" spans="1:78" ht="32.25" customHeight="1" x14ac:dyDescent="0.25">
      <c r="A13" s="877"/>
      <c r="B13" s="559">
        <v>11200</v>
      </c>
      <c r="C13" s="459" t="s">
        <v>74</v>
      </c>
      <c r="D13" s="144"/>
      <c r="E13" s="290"/>
      <c r="F13" s="156"/>
      <c r="G13" s="156"/>
      <c r="H13" s="156"/>
      <c r="I13" s="156"/>
      <c r="J13" s="156"/>
      <c r="K13" s="156"/>
      <c r="L13" s="156"/>
      <c r="M13" s="156"/>
      <c r="N13" s="156"/>
      <c r="O13" s="290"/>
      <c r="P13" s="290"/>
      <c r="Q13" s="290"/>
      <c r="R13" s="156"/>
      <c r="S13" s="156"/>
      <c r="T13" s="156"/>
      <c r="U13" s="156"/>
      <c r="V13" s="156"/>
      <c r="W13" s="156"/>
      <c r="X13" s="167"/>
      <c r="Y13" s="167"/>
      <c r="Z13" s="156"/>
      <c r="AA13" s="167"/>
      <c r="AB13" s="156"/>
      <c r="AC13" s="167"/>
      <c r="AD13" s="156"/>
      <c r="AE13" s="167"/>
      <c r="AF13" s="156"/>
      <c r="AG13" s="167"/>
      <c r="AH13" s="156"/>
      <c r="AI13" s="167"/>
      <c r="AJ13" s="156"/>
      <c r="AK13" s="167"/>
      <c r="AL13" s="156"/>
      <c r="AM13" s="167"/>
      <c r="AN13" s="156"/>
      <c r="AO13" s="167"/>
      <c r="AP13" s="156"/>
      <c r="AQ13" s="167"/>
      <c r="AR13" s="156"/>
      <c r="AS13" s="167"/>
      <c r="AT13" s="156"/>
      <c r="AU13" s="167"/>
      <c r="AV13" s="156"/>
      <c r="AW13" s="167"/>
      <c r="AX13" s="156"/>
      <c r="AY13" s="167"/>
      <c r="AZ13" s="156"/>
      <c r="BA13" s="167"/>
      <c r="BB13" s="156"/>
      <c r="BC13" s="167"/>
      <c r="BD13" s="156"/>
      <c r="BE13" s="167"/>
      <c r="BF13" s="156"/>
      <c r="BG13" s="167"/>
      <c r="BH13" s="156"/>
      <c r="BI13" s="167"/>
      <c r="BJ13" s="156"/>
      <c r="BK13" s="156"/>
      <c r="BL13" s="85"/>
      <c r="BM13" s="85" t="s">
        <v>449</v>
      </c>
      <c r="BN13" s="85" t="s">
        <v>449</v>
      </c>
      <c r="BO13" s="117"/>
      <c r="BP13" s="85"/>
      <c r="BR13" s="113"/>
      <c r="BS13" s="113"/>
      <c r="BT13" s="113"/>
      <c r="BU13" s="113"/>
      <c r="BV13" s="113"/>
      <c r="BW13" s="113"/>
      <c r="BX13" s="113"/>
      <c r="BY13" s="113"/>
      <c r="BZ13" s="217">
        <f t="shared" si="1"/>
        <v>0</v>
      </c>
    </row>
    <row r="14" spans="1:78" ht="15.75" x14ac:dyDescent="0.25">
      <c r="A14" s="877"/>
      <c r="B14" s="215">
        <v>11210</v>
      </c>
      <c r="C14" s="167" t="s">
        <v>75</v>
      </c>
      <c r="D14" s="167" t="s">
        <v>79</v>
      </c>
      <c r="E14" s="167">
        <f>0.075*100000</f>
        <v>7500</v>
      </c>
      <c r="F14" s="214">
        <f>BJ14</f>
        <v>150</v>
      </c>
      <c r="G14" s="174">
        <f t="shared" ref="G14:G28" si="6">E14*F14</f>
        <v>1125000</v>
      </c>
      <c r="H14" s="156">
        <f>G14*0.2</f>
        <v>225000</v>
      </c>
      <c r="I14" s="156">
        <f>G14*0.8</f>
        <v>900000</v>
      </c>
      <c r="J14" s="156">
        <f t="shared" ref="J14:J28" si="7">G14*0</f>
        <v>0</v>
      </c>
      <c r="K14" s="156">
        <f t="shared" ref="K14:K28" si="8">G14*0</f>
        <v>0</v>
      </c>
      <c r="L14" s="156">
        <f>G14*0</f>
        <v>0</v>
      </c>
      <c r="M14" s="156">
        <f t="shared" ref="M14:M28" si="9">G14*0</f>
        <v>0</v>
      </c>
      <c r="N14" s="156">
        <f t="shared" ref="N14:N28" si="10">G14*0</f>
        <v>0</v>
      </c>
      <c r="O14" s="156">
        <f t="shared" ref="O14:O28" si="11">G14*0</f>
        <v>0</v>
      </c>
      <c r="P14" s="156">
        <f t="shared" ref="P14:P28" si="12">G14*0</f>
        <v>0</v>
      </c>
      <c r="Q14" s="156">
        <f t="shared" ref="Q14:Q28" si="13">G14*0</f>
        <v>0</v>
      </c>
      <c r="R14" s="156">
        <f>F14*0.1</f>
        <v>15</v>
      </c>
      <c r="S14" s="216">
        <f>F14*0.25</f>
        <v>37.5</v>
      </c>
      <c r="T14" s="216">
        <f>F14*0.35</f>
        <v>52.5</v>
      </c>
      <c r="U14" s="216">
        <f>F14*0.3</f>
        <v>45</v>
      </c>
      <c r="V14" s="156">
        <f>R14*E14</f>
        <v>112500</v>
      </c>
      <c r="W14" s="156">
        <f>S14*E14</f>
        <v>281250</v>
      </c>
      <c r="X14" s="156">
        <f>T14*E14</f>
        <v>393750</v>
      </c>
      <c r="Y14" s="156">
        <f>U14*E14</f>
        <v>337500</v>
      </c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214">
        <v>150</v>
      </c>
      <c r="BI14" s="156">
        <f>BH14*7500</f>
        <v>1125000</v>
      </c>
      <c r="BJ14" s="216">
        <f>Z14+AB14+AD14+AF14+AH14+AJ14+AL14+AN14+AP14+AR14+AT14+AV14+AX14+AZ14+BB14+BD14+BF14+BH14</f>
        <v>150</v>
      </c>
      <c r="BK14" s="174">
        <f t="shared" ref="BK14:BK25" si="14">AA14+AC14+AE14+AG14+AI14+AK14+AM14+AO14+AQ14+AS14+AU14+AW14+AY14+BA14+BC14+BE14+BG14+BI14</f>
        <v>1125000</v>
      </c>
      <c r="BL14" s="85"/>
      <c r="BM14" s="85"/>
      <c r="BN14" s="85"/>
      <c r="BO14" s="117"/>
      <c r="BP14" s="321" t="s">
        <v>825</v>
      </c>
      <c r="BR14" s="113"/>
      <c r="BS14" s="113">
        <f>G14</f>
        <v>1125000</v>
      </c>
      <c r="BT14" s="113"/>
      <c r="BU14" s="113"/>
      <c r="BV14" s="113">
        <f>BR14+BS14+BT14+BU14</f>
        <v>1125000</v>
      </c>
      <c r="BW14" s="113"/>
      <c r="BX14" s="113"/>
      <c r="BY14" s="113">
        <f>BW14+BX14</f>
        <v>0</v>
      </c>
      <c r="BZ14" s="217">
        <f t="shared" si="1"/>
        <v>1125000</v>
      </c>
    </row>
    <row r="15" spans="1:78" ht="15.75" x14ac:dyDescent="0.25">
      <c r="A15" s="877"/>
      <c r="B15" s="215">
        <v>11220</v>
      </c>
      <c r="C15" s="167" t="s">
        <v>76</v>
      </c>
      <c r="D15" s="167" t="s">
        <v>79</v>
      </c>
      <c r="E15" s="776">
        <v>500</v>
      </c>
      <c r="F15" s="214">
        <f t="shared" ref="F15:F28" si="15">BJ15</f>
        <v>72</v>
      </c>
      <c r="G15" s="156">
        <f t="shared" si="6"/>
        <v>36000</v>
      </c>
      <c r="H15" s="156">
        <f t="shared" ref="H15:H28" si="16">G15*0.2</f>
        <v>7200</v>
      </c>
      <c r="I15" s="156">
        <f t="shared" ref="I15:I28" si="17">G15*0.8</f>
        <v>28800</v>
      </c>
      <c r="J15" s="156">
        <f t="shared" si="7"/>
        <v>0</v>
      </c>
      <c r="K15" s="156">
        <f t="shared" si="8"/>
        <v>0</v>
      </c>
      <c r="L15" s="156">
        <f t="shared" ref="L15:L28" si="18">G15*0</f>
        <v>0</v>
      </c>
      <c r="M15" s="156">
        <f t="shared" si="9"/>
        <v>0</v>
      </c>
      <c r="N15" s="156">
        <f t="shared" si="10"/>
        <v>0</v>
      </c>
      <c r="O15" s="156">
        <f t="shared" si="11"/>
        <v>0</v>
      </c>
      <c r="P15" s="156">
        <f t="shared" si="12"/>
        <v>0</v>
      </c>
      <c r="Q15" s="156">
        <f t="shared" si="13"/>
        <v>0</v>
      </c>
      <c r="R15" s="156">
        <f t="shared" ref="R15:R28" si="19">F15*0.1</f>
        <v>7.2</v>
      </c>
      <c r="S15" s="216">
        <f t="shared" ref="S15:S28" si="20">F15*0.25</f>
        <v>18</v>
      </c>
      <c r="T15" s="216">
        <f t="shared" ref="T15:T28" si="21">F15*0.35</f>
        <v>25.2</v>
      </c>
      <c r="U15" s="216">
        <f t="shared" ref="U15:U28" si="22">F15*0.3</f>
        <v>21.599999999999998</v>
      </c>
      <c r="V15" s="156">
        <f t="shared" ref="V15:V28" si="23">R15*E15</f>
        <v>3600</v>
      </c>
      <c r="W15" s="156">
        <f t="shared" ref="W15:W28" si="24">S15*E15</f>
        <v>9000</v>
      </c>
      <c r="X15" s="156">
        <f t="shared" ref="X15:X28" si="25">T15*E15</f>
        <v>12600</v>
      </c>
      <c r="Y15" s="156">
        <f t="shared" ref="Y15:Y28" si="26">U15*E15</f>
        <v>10799.999999999998</v>
      </c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214">
        <v>72</v>
      </c>
      <c r="BI15" s="156">
        <f>BH15*500</f>
        <v>36000</v>
      </c>
      <c r="BJ15" s="216">
        <f t="shared" ref="BJ15:BJ28" si="27">Z15+AB15+AD15+AF15+AH15+AJ15+AL15+AN15+AP15+AR15+AT15+AV15+AX15+AZ15+BB15+BD15+BF15+BH15</f>
        <v>72</v>
      </c>
      <c r="BK15" s="156">
        <f t="shared" si="14"/>
        <v>36000</v>
      </c>
      <c r="BL15" s="85"/>
      <c r="BM15" s="85"/>
      <c r="BN15" s="85"/>
      <c r="BO15" s="117"/>
      <c r="BP15" s="321" t="s">
        <v>825</v>
      </c>
      <c r="BR15" s="113"/>
      <c r="BS15" s="113">
        <f t="shared" ref="BS15:BS28" si="28">G15</f>
        <v>36000</v>
      </c>
      <c r="BT15" s="113"/>
      <c r="BU15" s="113"/>
      <c r="BV15" s="113">
        <f t="shared" ref="BV15:BV28" si="29">BR15+BS15+BT15+BU15</f>
        <v>36000</v>
      </c>
      <c r="BW15" s="113"/>
      <c r="BX15" s="113"/>
      <c r="BY15" s="113">
        <f>BW15+BX15</f>
        <v>0</v>
      </c>
      <c r="BZ15" s="217">
        <f t="shared" si="1"/>
        <v>36000</v>
      </c>
    </row>
    <row r="16" spans="1:78" ht="15.75" x14ac:dyDescent="0.25">
      <c r="A16" s="877"/>
      <c r="B16" s="215">
        <v>11230</v>
      </c>
      <c r="C16" s="167" t="s">
        <v>77</v>
      </c>
      <c r="D16" s="167" t="s">
        <v>79</v>
      </c>
      <c r="E16" s="776">
        <v>500</v>
      </c>
      <c r="F16" s="214">
        <f t="shared" si="15"/>
        <v>72</v>
      </c>
      <c r="G16" s="156">
        <f t="shared" si="6"/>
        <v>36000</v>
      </c>
      <c r="H16" s="156">
        <f t="shared" si="16"/>
        <v>7200</v>
      </c>
      <c r="I16" s="156">
        <f t="shared" si="17"/>
        <v>28800</v>
      </c>
      <c r="J16" s="156">
        <f t="shared" si="7"/>
        <v>0</v>
      </c>
      <c r="K16" s="156">
        <f t="shared" si="8"/>
        <v>0</v>
      </c>
      <c r="L16" s="156">
        <f t="shared" si="18"/>
        <v>0</v>
      </c>
      <c r="M16" s="156">
        <f t="shared" si="9"/>
        <v>0</v>
      </c>
      <c r="N16" s="156">
        <f t="shared" si="10"/>
        <v>0</v>
      </c>
      <c r="O16" s="156">
        <f t="shared" si="11"/>
        <v>0</v>
      </c>
      <c r="P16" s="156">
        <f t="shared" si="12"/>
        <v>0</v>
      </c>
      <c r="Q16" s="156">
        <f t="shared" si="13"/>
        <v>0</v>
      </c>
      <c r="R16" s="156">
        <f t="shared" si="19"/>
        <v>7.2</v>
      </c>
      <c r="S16" s="216">
        <f t="shared" si="20"/>
        <v>18</v>
      </c>
      <c r="T16" s="216">
        <f t="shared" si="21"/>
        <v>25.2</v>
      </c>
      <c r="U16" s="216">
        <f t="shared" si="22"/>
        <v>21.599999999999998</v>
      </c>
      <c r="V16" s="156">
        <f t="shared" si="23"/>
        <v>3600</v>
      </c>
      <c r="W16" s="156">
        <f t="shared" si="24"/>
        <v>9000</v>
      </c>
      <c r="X16" s="156">
        <f t="shared" si="25"/>
        <v>12600</v>
      </c>
      <c r="Y16" s="156">
        <f t="shared" si="26"/>
        <v>10799.999999999998</v>
      </c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214">
        <v>72</v>
      </c>
      <c r="BI16" s="156">
        <f>BH16*500</f>
        <v>36000</v>
      </c>
      <c r="BJ16" s="216">
        <f t="shared" si="27"/>
        <v>72</v>
      </c>
      <c r="BK16" s="156">
        <f t="shared" si="14"/>
        <v>36000</v>
      </c>
      <c r="BL16" s="85"/>
      <c r="BM16" s="85"/>
      <c r="BN16" s="85"/>
      <c r="BO16" s="117"/>
      <c r="BP16" s="321" t="s">
        <v>825</v>
      </c>
      <c r="BR16" s="113"/>
      <c r="BS16" s="113">
        <f t="shared" si="28"/>
        <v>36000</v>
      </c>
      <c r="BT16" s="113"/>
      <c r="BU16" s="113"/>
      <c r="BV16" s="113">
        <f t="shared" si="29"/>
        <v>36000</v>
      </c>
      <c r="BW16" s="113"/>
      <c r="BX16" s="113"/>
      <c r="BY16" s="113">
        <f>BW16+BX16</f>
        <v>0</v>
      </c>
      <c r="BZ16" s="217">
        <f t="shared" si="1"/>
        <v>36000</v>
      </c>
    </row>
    <row r="17" spans="1:78" ht="15.75" x14ac:dyDescent="0.25">
      <c r="A17" s="877"/>
      <c r="B17" s="215">
        <v>11240</v>
      </c>
      <c r="C17" s="167" t="s">
        <v>78</v>
      </c>
      <c r="D17" s="167" t="s">
        <v>79</v>
      </c>
      <c r="E17" s="776">
        <v>500</v>
      </c>
      <c r="F17" s="214">
        <f t="shared" si="15"/>
        <v>72</v>
      </c>
      <c r="G17" s="156">
        <f t="shared" si="6"/>
        <v>36000</v>
      </c>
      <c r="H17" s="156">
        <f t="shared" si="16"/>
        <v>7200</v>
      </c>
      <c r="I17" s="156">
        <f t="shared" si="17"/>
        <v>28800</v>
      </c>
      <c r="J17" s="156">
        <f t="shared" si="7"/>
        <v>0</v>
      </c>
      <c r="K17" s="156">
        <f t="shared" si="8"/>
        <v>0</v>
      </c>
      <c r="L17" s="156">
        <f t="shared" si="18"/>
        <v>0</v>
      </c>
      <c r="M17" s="156">
        <f t="shared" si="9"/>
        <v>0</v>
      </c>
      <c r="N17" s="156">
        <f t="shared" si="10"/>
        <v>0</v>
      </c>
      <c r="O17" s="156">
        <f t="shared" si="11"/>
        <v>0</v>
      </c>
      <c r="P17" s="156">
        <f t="shared" si="12"/>
        <v>0</v>
      </c>
      <c r="Q17" s="156">
        <f t="shared" si="13"/>
        <v>0</v>
      </c>
      <c r="R17" s="156">
        <f t="shared" si="19"/>
        <v>7.2</v>
      </c>
      <c r="S17" s="216">
        <f t="shared" si="20"/>
        <v>18</v>
      </c>
      <c r="T17" s="216">
        <f t="shared" si="21"/>
        <v>25.2</v>
      </c>
      <c r="U17" s="216">
        <f t="shared" si="22"/>
        <v>21.599999999999998</v>
      </c>
      <c r="V17" s="156">
        <f t="shared" si="23"/>
        <v>3600</v>
      </c>
      <c r="W17" s="156">
        <f t="shared" si="24"/>
        <v>9000</v>
      </c>
      <c r="X17" s="156">
        <f t="shared" si="25"/>
        <v>12600</v>
      </c>
      <c r="Y17" s="156">
        <f t="shared" si="26"/>
        <v>10799.999999999998</v>
      </c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214">
        <v>72</v>
      </c>
      <c r="BI17" s="156">
        <f t="shared" ref="BI17:BI27" si="30">BH17*500</f>
        <v>36000</v>
      </c>
      <c r="BJ17" s="216">
        <f t="shared" si="27"/>
        <v>72</v>
      </c>
      <c r="BK17" s="156">
        <f t="shared" si="14"/>
        <v>36000</v>
      </c>
      <c r="BL17" s="85"/>
      <c r="BM17" s="85"/>
      <c r="BN17" s="85"/>
      <c r="BO17" s="117"/>
      <c r="BP17" s="321" t="s">
        <v>825</v>
      </c>
      <c r="BR17" s="113"/>
      <c r="BS17" s="113">
        <f t="shared" si="28"/>
        <v>36000</v>
      </c>
      <c r="BT17" s="113"/>
      <c r="BU17" s="113"/>
      <c r="BV17" s="113">
        <f t="shared" si="29"/>
        <v>36000</v>
      </c>
      <c r="BW17" s="113"/>
      <c r="BX17" s="113"/>
      <c r="BY17" s="113">
        <f>BW17+BX17</f>
        <v>0</v>
      </c>
      <c r="BZ17" s="217">
        <f t="shared" si="1"/>
        <v>36000</v>
      </c>
    </row>
    <row r="18" spans="1:78" ht="15.75" x14ac:dyDescent="0.25">
      <c r="A18" s="877"/>
      <c r="B18" s="215"/>
      <c r="C18" s="316" t="s">
        <v>498</v>
      </c>
      <c r="D18" s="167" t="s">
        <v>79</v>
      </c>
      <c r="E18" s="776">
        <v>500</v>
      </c>
      <c r="F18" s="214">
        <f t="shared" si="15"/>
        <v>140</v>
      </c>
      <c r="G18" s="156">
        <f t="shared" si="6"/>
        <v>70000</v>
      </c>
      <c r="H18" s="156">
        <f>G18*0.2</f>
        <v>14000</v>
      </c>
      <c r="I18" s="156">
        <f t="shared" si="17"/>
        <v>56000</v>
      </c>
      <c r="J18" s="156">
        <f t="shared" si="7"/>
        <v>0</v>
      </c>
      <c r="K18" s="156">
        <f t="shared" si="8"/>
        <v>0</v>
      </c>
      <c r="L18" s="156">
        <f t="shared" si="18"/>
        <v>0</v>
      </c>
      <c r="M18" s="156">
        <f t="shared" si="9"/>
        <v>0</v>
      </c>
      <c r="N18" s="156">
        <f t="shared" si="10"/>
        <v>0</v>
      </c>
      <c r="O18" s="156">
        <f t="shared" si="11"/>
        <v>0</v>
      </c>
      <c r="P18" s="156">
        <f t="shared" si="12"/>
        <v>0</v>
      </c>
      <c r="Q18" s="156">
        <f t="shared" si="13"/>
        <v>0</v>
      </c>
      <c r="R18" s="156">
        <f t="shared" si="19"/>
        <v>14</v>
      </c>
      <c r="S18" s="216">
        <f t="shared" si="20"/>
        <v>35</v>
      </c>
      <c r="T18" s="216">
        <f t="shared" si="21"/>
        <v>49</v>
      </c>
      <c r="U18" s="216">
        <f t="shared" si="22"/>
        <v>42</v>
      </c>
      <c r="V18" s="156">
        <f t="shared" si="23"/>
        <v>7000</v>
      </c>
      <c r="W18" s="156">
        <f t="shared" si="24"/>
        <v>17500</v>
      </c>
      <c r="X18" s="156">
        <f t="shared" si="25"/>
        <v>24500</v>
      </c>
      <c r="Y18" s="156">
        <f t="shared" si="26"/>
        <v>21000</v>
      </c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214">
        <v>140</v>
      </c>
      <c r="BI18" s="156">
        <f t="shared" si="30"/>
        <v>70000</v>
      </c>
      <c r="BJ18" s="216">
        <f t="shared" si="27"/>
        <v>140</v>
      </c>
      <c r="BK18" s="156">
        <f t="shared" si="14"/>
        <v>70000</v>
      </c>
      <c r="BL18" s="85"/>
      <c r="BM18" s="85"/>
      <c r="BN18" s="85"/>
      <c r="BO18" s="117"/>
      <c r="BP18" s="321" t="s">
        <v>825</v>
      </c>
      <c r="BR18" s="113"/>
      <c r="BS18" s="113">
        <f t="shared" si="28"/>
        <v>70000</v>
      </c>
      <c r="BT18" s="113"/>
      <c r="BU18" s="113"/>
      <c r="BV18" s="113">
        <f t="shared" si="29"/>
        <v>70000</v>
      </c>
      <c r="BW18" s="113"/>
      <c r="BX18" s="113"/>
      <c r="BY18" s="113"/>
      <c r="BZ18" s="217"/>
    </row>
    <row r="19" spans="1:78" ht="15.75" x14ac:dyDescent="0.25">
      <c r="A19" s="877"/>
      <c r="B19" s="215"/>
      <c r="C19" s="316" t="s">
        <v>499</v>
      </c>
      <c r="D19" s="167" t="s">
        <v>79</v>
      </c>
      <c r="E19" s="776">
        <v>500</v>
      </c>
      <c r="F19" s="214">
        <f t="shared" si="15"/>
        <v>140</v>
      </c>
      <c r="G19" s="156">
        <f t="shared" si="6"/>
        <v>70000</v>
      </c>
      <c r="H19" s="156">
        <f t="shared" si="16"/>
        <v>14000</v>
      </c>
      <c r="I19" s="156">
        <f t="shared" si="17"/>
        <v>56000</v>
      </c>
      <c r="J19" s="156">
        <f t="shared" si="7"/>
        <v>0</v>
      </c>
      <c r="K19" s="156">
        <f t="shared" si="8"/>
        <v>0</v>
      </c>
      <c r="L19" s="156">
        <f t="shared" si="18"/>
        <v>0</v>
      </c>
      <c r="M19" s="156">
        <f t="shared" si="9"/>
        <v>0</v>
      </c>
      <c r="N19" s="156">
        <f t="shared" si="10"/>
        <v>0</v>
      </c>
      <c r="O19" s="156">
        <f t="shared" si="11"/>
        <v>0</v>
      </c>
      <c r="P19" s="156">
        <f t="shared" si="12"/>
        <v>0</v>
      </c>
      <c r="Q19" s="156">
        <f t="shared" si="13"/>
        <v>0</v>
      </c>
      <c r="R19" s="156">
        <f t="shared" si="19"/>
        <v>14</v>
      </c>
      <c r="S19" s="216">
        <f t="shared" si="20"/>
        <v>35</v>
      </c>
      <c r="T19" s="216">
        <f t="shared" si="21"/>
        <v>49</v>
      </c>
      <c r="U19" s="216">
        <f t="shared" si="22"/>
        <v>42</v>
      </c>
      <c r="V19" s="156">
        <f t="shared" si="23"/>
        <v>7000</v>
      </c>
      <c r="W19" s="156">
        <f t="shared" si="24"/>
        <v>17500</v>
      </c>
      <c r="X19" s="156">
        <f t="shared" si="25"/>
        <v>24500</v>
      </c>
      <c r="Y19" s="156">
        <f t="shared" si="26"/>
        <v>21000</v>
      </c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214">
        <v>140</v>
      </c>
      <c r="BI19" s="156">
        <f t="shared" si="30"/>
        <v>70000</v>
      </c>
      <c r="BJ19" s="216">
        <f t="shared" si="27"/>
        <v>140</v>
      </c>
      <c r="BK19" s="156">
        <f t="shared" si="14"/>
        <v>70000</v>
      </c>
      <c r="BL19" s="85"/>
      <c r="BM19" s="85"/>
      <c r="BN19" s="85"/>
      <c r="BO19" s="117"/>
      <c r="BP19" s="321" t="s">
        <v>825</v>
      </c>
      <c r="BR19" s="113"/>
      <c r="BS19" s="113">
        <f t="shared" si="28"/>
        <v>70000</v>
      </c>
      <c r="BT19" s="113"/>
      <c r="BU19" s="113"/>
      <c r="BV19" s="113">
        <f t="shared" si="29"/>
        <v>70000</v>
      </c>
      <c r="BW19" s="113"/>
      <c r="BX19" s="113"/>
      <c r="BY19" s="113"/>
      <c r="BZ19" s="217"/>
    </row>
    <row r="20" spans="1:78" ht="15.75" x14ac:dyDescent="0.25">
      <c r="A20" s="877"/>
      <c r="B20" s="215"/>
      <c r="C20" s="316" t="s">
        <v>500</v>
      </c>
      <c r="D20" s="167" t="s">
        <v>79</v>
      </c>
      <c r="E20" s="776">
        <v>500</v>
      </c>
      <c r="F20" s="214">
        <f t="shared" si="15"/>
        <v>140</v>
      </c>
      <c r="G20" s="156">
        <f t="shared" si="6"/>
        <v>70000</v>
      </c>
      <c r="H20" s="156">
        <f t="shared" si="16"/>
        <v>14000</v>
      </c>
      <c r="I20" s="156">
        <f t="shared" si="17"/>
        <v>56000</v>
      </c>
      <c r="J20" s="156">
        <f t="shared" si="7"/>
        <v>0</v>
      </c>
      <c r="K20" s="156">
        <f t="shared" si="8"/>
        <v>0</v>
      </c>
      <c r="L20" s="156">
        <f t="shared" si="18"/>
        <v>0</v>
      </c>
      <c r="M20" s="156">
        <f t="shared" si="9"/>
        <v>0</v>
      </c>
      <c r="N20" s="156">
        <f t="shared" si="10"/>
        <v>0</v>
      </c>
      <c r="O20" s="156">
        <f t="shared" si="11"/>
        <v>0</v>
      </c>
      <c r="P20" s="156">
        <f t="shared" si="12"/>
        <v>0</v>
      </c>
      <c r="Q20" s="156">
        <f t="shared" si="13"/>
        <v>0</v>
      </c>
      <c r="R20" s="156">
        <f t="shared" si="19"/>
        <v>14</v>
      </c>
      <c r="S20" s="216">
        <f t="shared" si="20"/>
        <v>35</v>
      </c>
      <c r="T20" s="216">
        <f t="shared" si="21"/>
        <v>49</v>
      </c>
      <c r="U20" s="216">
        <f t="shared" si="22"/>
        <v>42</v>
      </c>
      <c r="V20" s="156">
        <f t="shared" si="23"/>
        <v>7000</v>
      </c>
      <c r="W20" s="156">
        <f t="shared" si="24"/>
        <v>17500</v>
      </c>
      <c r="X20" s="156">
        <f t="shared" si="25"/>
        <v>24500</v>
      </c>
      <c r="Y20" s="156">
        <f t="shared" si="26"/>
        <v>21000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214">
        <v>140</v>
      </c>
      <c r="BI20" s="156">
        <f t="shared" si="30"/>
        <v>70000</v>
      </c>
      <c r="BJ20" s="216">
        <f t="shared" si="27"/>
        <v>140</v>
      </c>
      <c r="BK20" s="156">
        <f t="shared" si="14"/>
        <v>70000</v>
      </c>
      <c r="BL20" s="85"/>
      <c r="BM20" s="85"/>
      <c r="BN20" s="85"/>
      <c r="BO20" s="117"/>
      <c r="BP20" s="321" t="s">
        <v>825</v>
      </c>
      <c r="BR20" s="113"/>
      <c r="BS20" s="113">
        <f t="shared" si="28"/>
        <v>70000</v>
      </c>
      <c r="BT20" s="113"/>
      <c r="BU20" s="113"/>
      <c r="BV20" s="113">
        <f t="shared" si="29"/>
        <v>70000</v>
      </c>
      <c r="BW20" s="113"/>
      <c r="BX20" s="113"/>
      <c r="BY20" s="113"/>
      <c r="BZ20" s="217"/>
    </row>
    <row r="21" spans="1:78" ht="15.75" x14ac:dyDescent="0.25">
      <c r="A21" s="877"/>
      <c r="B21" s="215"/>
      <c r="C21" s="316" t="s">
        <v>501</v>
      </c>
      <c r="D21" s="167" t="s">
        <v>79</v>
      </c>
      <c r="E21" s="776">
        <v>500</v>
      </c>
      <c r="F21" s="214">
        <f t="shared" si="15"/>
        <v>140</v>
      </c>
      <c r="G21" s="156">
        <f t="shared" si="6"/>
        <v>70000</v>
      </c>
      <c r="H21" s="156">
        <f>G21*0.2</f>
        <v>14000</v>
      </c>
      <c r="I21" s="156">
        <f t="shared" si="17"/>
        <v>56000</v>
      </c>
      <c r="J21" s="156">
        <f t="shared" si="7"/>
        <v>0</v>
      </c>
      <c r="K21" s="156">
        <f t="shared" si="8"/>
        <v>0</v>
      </c>
      <c r="L21" s="156">
        <f t="shared" si="18"/>
        <v>0</v>
      </c>
      <c r="M21" s="156">
        <f t="shared" si="9"/>
        <v>0</v>
      </c>
      <c r="N21" s="156">
        <f t="shared" si="10"/>
        <v>0</v>
      </c>
      <c r="O21" s="156">
        <f t="shared" si="11"/>
        <v>0</v>
      </c>
      <c r="P21" s="156">
        <f t="shared" si="12"/>
        <v>0</v>
      </c>
      <c r="Q21" s="156">
        <f t="shared" si="13"/>
        <v>0</v>
      </c>
      <c r="R21" s="156">
        <f t="shared" si="19"/>
        <v>14</v>
      </c>
      <c r="S21" s="216">
        <f t="shared" si="20"/>
        <v>35</v>
      </c>
      <c r="T21" s="216">
        <f t="shared" si="21"/>
        <v>49</v>
      </c>
      <c r="U21" s="216">
        <f t="shared" si="22"/>
        <v>42</v>
      </c>
      <c r="V21" s="156">
        <f t="shared" si="23"/>
        <v>7000</v>
      </c>
      <c r="W21" s="156">
        <f t="shared" si="24"/>
        <v>17500</v>
      </c>
      <c r="X21" s="156">
        <f t="shared" si="25"/>
        <v>24500</v>
      </c>
      <c r="Y21" s="156">
        <f t="shared" si="26"/>
        <v>21000</v>
      </c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214">
        <v>140</v>
      </c>
      <c r="BI21" s="156">
        <f t="shared" si="30"/>
        <v>70000</v>
      </c>
      <c r="BJ21" s="216">
        <f t="shared" si="27"/>
        <v>140</v>
      </c>
      <c r="BK21" s="156">
        <f t="shared" si="14"/>
        <v>70000</v>
      </c>
      <c r="BL21" s="85"/>
      <c r="BM21" s="85"/>
      <c r="BN21" s="85"/>
      <c r="BO21" s="117"/>
      <c r="BP21" s="321" t="s">
        <v>825</v>
      </c>
      <c r="BR21" s="113"/>
      <c r="BS21" s="113">
        <f t="shared" si="28"/>
        <v>70000</v>
      </c>
      <c r="BT21" s="113"/>
      <c r="BU21" s="113"/>
      <c r="BV21" s="113">
        <f t="shared" si="29"/>
        <v>70000</v>
      </c>
      <c r="BW21" s="113"/>
      <c r="BX21" s="113"/>
      <c r="BY21" s="113"/>
      <c r="BZ21" s="217"/>
    </row>
    <row r="22" spans="1:78" ht="15.75" x14ac:dyDescent="0.25">
      <c r="A22" s="877"/>
      <c r="B22" s="215"/>
      <c r="C22" s="316" t="s">
        <v>734</v>
      </c>
      <c r="D22" s="167" t="s">
        <v>79</v>
      </c>
      <c r="E22" s="776">
        <v>500</v>
      </c>
      <c r="F22" s="214">
        <f t="shared" si="15"/>
        <v>140</v>
      </c>
      <c r="G22" s="156">
        <f t="shared" si="6"/>
        <v>70000</v>
      </c>
      <c r="H22" s="156">
        <f t="shared" si="16"/>
        <v>14000</v>
      </c>
      <c r="I22" s="156">
        <f t="shared" si="17"/>
        <v>56000</v>
      </c>
      <c r="J22" s="156">
        <f t="shared" si="7"/>
        <v>0</v>
      </c>
      <c r="K22" s="156">
        <f t="shared" si="8"/>
        <v>0</v>
      </c>
      <c r="L22" s="156">
        <f t="shared" si="18"/>
        <v>0</v>
      </c>
      <c r="M22" s="156">
        <f t="shared" si="9"/>
        <v>0</v>
      </c>
      <c r="N22" s="156">
        <f t="shared" si="10"/>
        <v>0</v>
      </c>
      <c r="O22" s="156">
        <f t="shared" si="11"/>
        <v>0</v>
      </c>
      <c r="P22" s="156">
        <f t="shared" si="12"/>
        <v>0</v>
      </c>
      <c r="Q22" s="156">
        <f t="shared" si="13"/>
        <v>0</v>
      </c>
      <c r="R22" s="156">
        <f t="shared" si="19"/>
        <v>14</v>
      </c>
      <c r="S22" s="216">
        <f t="shared" si="20"/>
        <v>35</v>
      </c>
      <c r="T22" s="216">
        <f t="shared" si="21"/>
        <v>49</v>
      </c>
      <c r="U22" s="216">
        <f t="shared" si="22"/>
        <v>42</v>
      </c>
      <c r="V22" s="156">
        <f t="shared" si="23"/>
        <v>7000</v>
      </c>
      <c r="W22" s="156">
        <f t="shared" si="24"/>
        <v>17500</v>
      </c>
      <c r="X22" s="156">
        <f t="shared" si="25"/>
        <v>24500</v>
      </c>
      <c r="Y22" s="156">
        <f t="shared" si="26"/>
        <v>21000</v>
      </c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214">
        <v>140</v>
      </c>
      <c r="BI22" s="156">
        <f t="shared" si="30"/>
        <v>70000</v>
      </c>
      <c r="BJ22" s="216">
        <f t="shared" si="27"/>
        <v>140</v>
      </c>
      <c r="BK22" s="156">
        <f t="shared" si="14"/>
        <v>70000</v>
      </c>
      <c r="BL22" s="85"/>
      <c r="BM22" s="85"/>
      <c r="BN22" s="85"/>
      <c r="BO22" s="117"/>
      <c r="BP22" s="321" t="s">
        <v>825</v>
      </c>
      <c r="BR22" s="113"/>
      <c r="BS22" s="113">
        <f t="shared" si="28"/>
        <v>70000</v>
      </c>
      <c r="BT22" s="113"/>
      <c r="BU22" s="113"/>
      <c r="BV22" s="113">
        <f t="shared" si="29"/>
        <v>70000</v>
      </c>
      <c r="BW22" s="113"/>
      <c r="BX22" s="113"/>
      <c r="BY22" s="113"/>
      <c r="BZ22" s="217"/>
    </row>
    <row r="23" spans="1:78" ht="15.75" x14ac:dyDescent="0.25">
      <c r="A23" s="877"/>
      <c r="B23" s="215"/>
      <c r="C23" s="316" t="s">
        <v>502</v>
      </c>
      <c r="D23" s="167" t="s">
        <v>79</v>
      </c>
      <c r="E23" s="776">
        <v>500</v>
      </c>
      <c r="F23" s="214">
        <f t="shared" si="15"/>
        <v>72</v>
      </c>
      <c r="G23" s="156">
        <f t="shared" si="6"/>
        <v>36000</v>
      </c>
      <c r="H23" s="156">
        <f t="shared" si="16"/>
        <v>7200</v>
      </c>
      <c r="I23" s="156">
        <f t="shared" si="17"/>
        <v>28800</v>
      </c>
      <c r="J23" s="156">
        <f t="shared" si="7"/>
        <v>0</v>
      </c>
      <c r="K23" s="156">
        <f t="shared" si="8"/>
        <v>0</v>
      </c>
      <c r="L23" s="156">
        <f t="shared" si="18"/>
        <v>0</v>
      </c>
      <c r="M23" s="156">
        <f t="shared" si="9"/>
        <v>0</v>
      </c>
      <c r="N23" s="156">
        <f t="shared" si="10"/>
        <v>0</v>
      </c>
      <c r="O23" s="156">
        <f t="shared" si="11"/>
        <v>0</v>
      </c>
      <c r="P23" s="156">
        <f t="shared" si="12"/>
        <v>0</v>
      </c>
      <c r="Q23" s="156">
        <f t="shared" si="13"/>
        <v>0</v>
      </c>
      <c r="R23" s="156">
        <f t="shared" si="19"/>
        <v>7.2</v>
      </c>
      <c r="S23" s="216">
        <f t="shared" si="20"/>
        <v>18</v>
      </c>
      <c r="T23" s="216">
        <f t="shared" si="21"/>
        <v>25.2</v>
      </c>
      <c r="U23" s="216">
        <f t="shared" si="22"/>
        <v>21.599999999999998</v>
      </c>
      <c r="V23" s="156">
        <f t="shared" si="23"/>
        <v>3600</v>
      </c>
      <c r="W23" s="156">
        <f t="shared" si="24"/>
        <v>9000</v>
      </c>
      <c r="X23" s="156">
        <f t="shared" si="25"/>
        <v>12600</v>
      </c>
      <c r="Y23" s="156">
        <f t="shared" si="26"/>
        <v>10799.999999999998</v>
      </c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214">
        <v>72</v>
      </c>
      <c r="BI23" s="156">
        <f t="shared" si="30"/>
        <v>36000</v>
      </c>
      <c r="BJ23" s="216">
        <f t="shared" si="27"/>
        <v>72</v>
      </c>
      <c r="BK23" s="156">
        <f t="shared" si="14"/>
        <v>36000</v>
      </c>
      <c r="BL23" s="85"/>
      <c r="BM23" s="85"/>
      <c r="BN23" s="85"/>
      <c r="BO23" s="117"/>
      <c r="BP23" s="321" t="s">
        <v>825</v>
      </c>
      <c r="BR23" s="113"/>
      <c r="BS23" s="113">
        <f t="shared" si="28"/>
        <v>36000</v>
      </c>
      <c r="BT23" s="113"/>
      <c r="BU23" s="113"/>
      <c r="BV23" s="113">
        <f t="shared" si="29"/>
        <v>36000</v>
      </c>
      <c r="BW23" s="113"/>
      <c r="BX23" s="113"/>
      <c r="BY23" s="113"/>
      <c r="BZ23" s="217"/>
    </row>
    <row r="24" spans="1:78" ht="15" customHeight="1" x14ac:dyDescent="0.25">
      <c r="A24" s="877"/>
      <c r="B24" s="215"/>
      <c r="C24" s="316" t="s">
        <v>733</v>
      </c>
      <c r="D24" s="167" t="s">
        <v>79</v>
      </c>
      <c r="E24" s="776">
        <v>500</v>
      </c>
      <c r="F24" s="214">
        <f t="shared" si="15"/>
        <v>36</v>
      </c>
      <c r="G24" s="156">
        <f t="shared" si="6"/>
        <v>18000</v>
      </c>
      <c r="H24" s="156">
        <f t="shared" si="16"/>
        <v>3600</v>
      </c>
      <c r="I24" s="156">
        <f t="shared" si="17"/>
        <v>14400</v>
      </c>
      <c r="J24" s="156">
        <f t="shared" si="7"/>
        <v>0</v>
      </c>
      <c r="K24" s="156">
        <f t="shared" si="8"/>
        <v>0</v>
      </c>
      <c r="L24" s="156">
        <f t="shared" si="18"/>
        <v>0</v>
      </c>
      <c r="M24" s="156">
        <f t="shared" si="9"/>
        <v>0</v>
      </c>
      <c r="N24" s="156">
        <f t="shared" si="10"/>
        <v>0</v>
      </c>
      <c r="O24" s="156">
        <f t="shared" si="11"/>
        <v>0</v>
      </c>
      <c r="P24" s="156">
        <f t="shared" si="12"/>
        <v>0</v>
      </c>
      <c r="Q24" s="156">
        <f t="shared" si="13"/>
        <v>0</v>
      </c>
      <c r="R24" s="156">
        <f t="shared" si="19"/>
        <v>3.6</v>
      </c>
      <c r="S24" s="216">
        <f t="shared" si="20"/>
        <v>9</v>
      </c>
      <c r="T24" s="216">
        <f t="shared" si="21"/>
        <v>12.6</v>
      </c>
      <c r="U24" s="216">
        <f t="shared" si="22"/>
        <v>10.799999999999999</v>
      </c>
      <c r="V24" s="156">
        <f t="shared" si="23"/>
        <v>1800</v>
      </c>
      <c r="W24" s="156">
        <f t="shared" si="24"/>
        <v>4500</v>
      </c>
      <c r="X24" s="156">
        <f t="shared" si="25"/>
        <v>6300</v>
      </c>
      <c r="Y24" s="156">
        <f t="shared" si="26"/>
        <v>5399.9999999999991</v>
      </c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214">
        <v>36</v>
      </c>
      <c r="BI24" s="156">
        <f t="shared" si="30"/>
        <v>18000</v>
      </c>
      <c r="BJ24" s="216">
        <f t="shared" si="27"/>
        <v>36</v>
      </c>
      <c r="BK24" s="156">
        <f t="shared" si="14"/>
        <v>18000</v>
      </c>
      <c r="BL24" s="85"/>
      <c r="BM24" s="85"/>
      <c r="BN24" s="85"/>
      <c r="BO24" s="117"/>
      <c r="BP24" s="321" t="s">
        <v>825</v>
      </c>
      <c r="BR24" s="113"/>
      <c r="BS24" s="113">
        <f t="shared" si="28"/>
        <v>18000</v>
      </c>
      <c r="BT24" s="113"/>
      <c r="BU24" s="113"/>
      <c r="BV24" s="113">
        <f t="shared" si="29"/>
        <v>18000</v>
      </c>
      <c r="BW24" s="113"/>
      <c r="BX24" s="113"/>
      <c r="BY24" s="113"/>
      <c r="BZ24" s="217"/>
    </row>
    <row r="25" spans="1:78" ht="15" customHeight="1" x14ac:dyDescent="0.25">
      <c r="A25" s="877"/>
      <c r="B25" s="215"/>
      <c r="C25" s="316" t="s">
        <v>735</v>
      </c>
      <c r="D25" s="167" t="s">
        <v>79</v>
      </c>
      <c r="E25" s="776">
        <v>500</v>
      </c>
      <c r="F25" s="214">
        <f t="shared" si="15"/>
        <v>72</v>
      </c>
      <c r="G25" s="156">
        <f t="shared" si="6"/>
        <v>36000</v>
      </c>
      <c r="H25" s="156">
        <f>G25*0.2</f>
        <v>7200</v>
      </c>
      <c r="I25" s="156">
        <f t="shared" si="17"/>
        <v>28800</v>
      </c>
      <c r="J25" s="156">
        <f t="shared" si="7"/>
        <v>0</v>
      </c>
      <c r="K25" s="156">
        <f t="shared" si="8"/>
        <v>0</v>
      </c>
      <c r="L25" s="156">
        <f t="shared" si="18"/>
        <v>0</v>
      </c>
      <c r="M25" s="156">
        <f t="shared" si="9"/>
        <v>0</v>
      </c>
      <c r="N25" s="156">
        <f t="shared" si="10"/>
        <v>0</v>
      </c>
      <c r="O25" s="156">
        <f t="shared" si="11"/>
        <v>0</v>
      </c>
      <c r="P25" s="156">
        <f t="shared" si="12"/>
        <v>0</v>
      </c>
      <c r="Q25" s="156">
        <f t="shared" si="13"/>
        <v>0</v>
      </c>
      <c r="R25" s="156">
        <f t="shared" si="19"/>
        <v>7.2</v>
      </c>
      <c r="S25" s="216">
        <f t="shared" si="20"/>
        <v>18</v>
      </c>
      <c r="T25" s="216">
        <f t="shared" si="21"/>
        <v>25.2</v>
      </c>
      <c r="U25" s="216">
        <f t="shared" si="22"/>
        <v>21.599999999999998</v>
      </c>
      <c r="V25" s="156">
        <f t="shared" si="23"/>
        <v>3600</v>
      </c>
      <c r="W25" s="156">
        <f t="shared" si="24"/>
        <v>9000</v>
      </c>
      <c r="X25" s="156">
        <f t="shared" si="25"/>
        <v>12600</v>
      </c>
      <c r="Y25" s="156">
        <f t="shared" si="26"/>
        <v>10799.999999999998</v>
      </c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214">
        <v>72</v>
      </c>
      <c r="BI25" s="156">
        <f t="shared" si="30"/>
        <v>36000</v>
      </c>
      <c r="BJ25" s="216">
        <f t="shared" si="27"/>
        <v>72</v>
      </c>
      <c r="BK25" s="156">
        <f t="shared" si="14"/>
        <v>36000</v>
      </c>
      <c r="BL25" s="85"/>
      <c r="BM25" s="85"/>
      <c r="BN25" s="85"/>
      <c r="BO25" s="117"/>
      <c r="BP25" s="321" t="s">
        <v>825</v>
      </c>
      <c r="BR25" s="113"/>
      <c r="BS25" s="113">
        <f t="shared" si="28"/>
        <v>36000</v>
      </c>
      <c r="BT25" s="113"/>
      <c r="BU25" s="113"/>
      <c r="BV25" s="113">
        <f t="shared" si="29"/>
        <v>36000</v>
      </c>
      <c r="BW25" s="113"/>
      <c r="BX25" s="113"/>
      <c r="BY25" s="113"/>
      <c r="BZ25" s="217"/>
    </row>
    <row r="26" spans="1:78" ht="15" customHeight="1" x14ac:dyDescent="0.25">
      <c r="A26" s="877"/>
      <c r="B26" s="215"/>
      <c r="C26" s="316" t="s">
        <v>675</v>
      </c>
      <c r="D26" s="167" t="s">
        <v>79</v>
      </c>
      <c r="E26" s="776">
        <v>500</v>
      </c>
      <c r="F26" s="214">
        <f t="shared" si="15"/>
        <v>19</v>
      </c>
      <c r="G26" s="156">
        <f t="shared" si="6"/>
        <v>9500</v>
      </c>
      <c r="H26" s="156">
        <f t="shared" si="16"/>
        <v>1900</v>
      </c>
      <c r="I26" s="156">
        <f t="shared" si="17"/>
        <v>7600</v>
      </c>
      <c r="J26" s="156">
        <f t="shared" si="7"/>
        <v>0</v>
      </c>
      <c r="K26" s="156">
        <f t="shared" si="8"/>
        <v>0</v>
      </c>
      <c r="L26" s="156">
        <f t="shared" si="18"/>
        <v>0</v>
      </c>
      <c r="M26" s="156">
        <f t="shared" si="9"/>
        <v>0</v>
      </c>
      <c r="N26" s="156">
        <f t="shared" si="10"/>
        <v>0</v>
      </c>
      <c r="O26" s="156">
        <f t="shared" si="11"/>
        <v>0</v>
      </c>
      <c r="P26" s="156">
        <f t="shared" si="12"/>
        <v>0</v>
      </c>
      <c r="Q26" s="156">
        <f t="shared" si="13"/>
        <v>0</v>
      </c>
      <c r="R26" s="156">
        <f t="shared" si="19"/>
        <v>1.9000000000000001</v>
      </c>
      <c r="S26" s="216">
        <f t="shared" si="20"/>
        <v>4.75</v>
      </c>
      <c r="T26" s="216">
        <f t="shared" si="21"/>
        <v>6.6499999999999995</v>
      </c>
      <c r="U26" s="216">
        <f t="shared" si="22"/>
        <v>5.7</v>
      </c>
      <c r="V26" s="156">
        <f t="shared" si="23"/>
        <v>950.00000000000011</v>
      </c>
      <c r="W26" s="156">
        <f t="shared" si="24"/>
        <v>2375</v>
      </c>
      <c r="X26" s="156">
        <f t="shared" si="25"/>
        <v>3324.9999999999995</v>
      </c>
      <c r="Y26" s="156">
        <f t="shared" si="26"/>
        <v>2850</v>
      </c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214">
        <v>19</v>
      </c>
      <c r="BI26" s="156">
        <f t="shared" si="30"/>
        <v>9500</v>
      </c>
      <c r="BJ26" s="216">
        <f t="shared" si="27"/>
        <v>19</v>
      </c>
      <c r="BK26" s="156">
        <f>AA26+AC26+AE26+AG26+AI26+AK26+AM26+AO26+AQ26+AS26+AU26+AW26+AY26+BA26+BC26+BE26+BG26+BI26</f>
        <v>9500</v>
      </c>
      <c r="BL26" s="85"/>
      <c r="BM26" s="85"/>
      <c r="BN26" s="85"/>
      <c r="BO26" s="117"/>
      <c r="BP26" s="321" t="s">
        <v>825</v>
      </c>
      <c r="BR26" s="113"/>
      <c r="BS26" s="113">
        <f t="shared" si="28"/>
        <v>9500</v>
      </c>
      <c r="BT26" s="113"/>
      <c r="BU26" s="113"/>
      <c r="BV26" s="113">
        <f t="shared" si="29"/>
        <v>9500</v>
      </c>
      <c r="BW26" s="113"/>
      <c r="BX26" s="113"/>
      <c r="BY26" s="113"/>
      <c r="BZ26" s="217"/>
    </row>
    <row r="27" spans="1:78" ht="32.25" customHeight="1" x14ac:dyDescent="0.25">
      <c r="A27" s="877"/>
      <c r="B27" s="215"/>
      <c r="C27" s="316" t="s">
        <v>813</v>
      </c>
      <c r="D27" s="167" t="s">
        <v>79</v>
      </c>
      <c r="E27" s="776">
        <v>500</v>
      </c>
      <c r="F27" s="214">
        <f t="shared" si="15"/>
        <v>660</v>
      </c>
      <c r="G27" s="156">
        <f t="shared" si="6"/>
        <v>330000</v>
      </c>
      <c r="H27" s="156">
        <f>G27*0.2</f>
        <v>66000</v>
      </c>
      <c r="I27" s="156">
        <f t="shared" si="17"/>
        <v>264000</v>
      </c>
      <c r="J27" s="156">
        <f t="shared" si="7"/>
        <v>0</v>
      </c>
      <c r="K27" s="156">
        <f t="shared" si="8"/>
        <v>0</v>
      </c>
      <c r="L27" s="156">
        <f t="shared" si="18"/>
        <v>0</v>
      </c>
      <c r="M27" s="156">
        <f t="shared" si="9"/>
        <v>0</v>
      </c>
      <c r="N27" s="156">
        <f t="shared" si="10"/>
        <v>0</v>
      </c>
      <c r="O27" s="156">
        <f t="shared" si="11"/>
        <v>0</v>
      </c>
      <c r="P27" s="156">
        <f t="shared" si="12"/>
        <v>0</v>
      </c>
      <c r="Q27" s="156">
        <f t="shared" si="13"/>
        <v>0</v>
      </c>
      <c r="R27" s="156">
        <f t="shared" si="19"/>
        <v>66</v>
      </c>
      <c r="S27" s="216">
        <f t="shared" si="20"/>
        <v>165</v>
      </c>
      <c r="T27" s="216">
        <f t="shared" si="21"/>
        <v>230.99999999999997</v>
      </c>
      <c r="U27" s="216">
        <f t="shared" si="22"/>
        <v>198</v>
      </c>
      <c r="V27" s="156">
        <f t="shared" si="23"/>
        <v>33000</v>
      </c>
      <c r="W27" s="156">
        <f t="shared" si="24"/>
        <v>82500</v>
      </c>
      <c r="X27" s="156">
        <f t="shared" si="25"/>
        <v>115499.99999999999</v>
      </c>
      <c r="Y27" s="156">
        <f t="shared" si="26"/>
        <v>99000</v>
      </c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214">
        <v>660</v>
      </c>
      <c r="BI27" s="156">
        <f t="shared" si="30"/>
        <v>330000</v>
      </c>
      <c r="BJ27" s="216">
        <f t="shared" si="27"/>
        <v>660</v>
      </c>
      <c r="BK27" s="156">
        <f>AA27+AC27+AE27+AG27+AI27+AK27+AM27+AO27+AQ27+AS27+AU27+AW27+AY27+BA27+BC27+BE27+BG27+BI27</f>
        <v>330000</v>
      </c>
      <c r="BL27" s="85"/>
      <c r="BM27" s="85"/>
      <c r="BN27" s="85"/>
      <c r="BO27" s="117"/>
      <c r="BP27" s="321" t="s">
        <v>825</v>
      </c>
      <c r="BR27" s="113"/>
      <c r="BS27" s="113">
        <f t="shared" si="28"/>
        <v>330000</v>
      </c>
      <c r="BT27" s="113"/>
      <c r="BU27" s="113"/>
      <c r="BV27" s="113">
        <f t="shared" si="29"/>
        <v>330000</v>
      </c>
      <c r="BW27" s="113"/>
      <c r="BX27" s="113"/>
      <c r="BY27" s="113"/>
      <c r="BZ27" s="217"/>
    </row>
    <row r="28" spans="1:78" ht="15.75" x14ac:dyDescent="0.25">
      <c r="A28" s="877"/>
      <c r="B28" s="215"/>
      <c r="C28" s="316" t="s">
        <v>682</v>
      </c>
      <c r="D28" s="167" t="s">
        <v>79</v>
      </c>
      <c r="E28" s="776">
        <v>500</v>
      </c>
      <c r="F28" s="214">
        <f t="shared" si="15"/>
        <v>140</v>
      </c>
      <c r="G28" s="156">
        <f t="shared" si="6"/>
        <v>70000</v>
      </c>
      <c r="H28" s="156">
        <f t="shared" si="16"/>
        <v>14000</v>
      </c>
      <c r="I28" s="156">
        <f t="shared" si="17"/>
        <v>56000</v>
      </c>
      <c r="J28" s="156">
        <f t="shared" si="7"/>
        <v>0</v>
      </c>
      <c r="K28" s="156">
        <f t="shared" si="8"/>
        <v>0</v>
      </c>
      <c r="L28" s="156">
        <f t="shared" si="18"/>
        <v>0</v>
      </c>
      <c r="M28" s="156">
        <f t="shared" si="9"/>
        <v>0</v>
      </c>
      <c r="N28" s="156">
        <f t="shared" si="10"/>
        <v>0</v>
      </c>
      <c r="O28" s="156">
        <f t="shared" si="11"/>
        <v>0</v>
      </c>
      <c r="P28" s="156">
        <f t="shared" si="12"/>
        <v>0</v>
      </c>
      <c r="Q28" s="156">
        <f t="shared" si="13"/>
        <v>0</v>
      </c>
      <c r="R28" s="156">
        <f t="shared" si="19"/>
        <v>14</v>
      </c>
      <c r="S28" s="216">
        <f t="shared" si="20"/>
        <v>35</v>
      </c>
      <c r="T28" s="216">
        <f t="shared" si="21"/>
        <v>49</v>
      </c>
      <c r="U28" s="216">
        <f t="shared" si="22"/>
        <v>42</v>
      </c>
      <c r="V28" s="156">
        <f t="shared" si="23"/>
        <v>7000</v>
      </c>
      <c r="W28" s="156">
        <f t="shared" si="24"/>
        <v>17500</v>
      </c>
      <c r="X28" s="156">
        <f t="shared" si="25"/>
        <v>24500</v>
      </c>
      <c r="Y28" s="156">
        <f t="shared" si="26"/>
        <v>21000</v>
      </c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214">
        <v>140</v>
      </c>
      <c r="BI28" s="156">
        <f>BH28*500</f>
        <v>70000</v>
      </c>
      <c r="BJ28" s="216">
        <f t="shared" si="27"/>
        <v>140</v>
      </c>
      <c r="BK28" s="156">
        <f>AA28+AC28+AE28+AG28+AI28+AK28+AM28+AO28+AQ28+AS28+AU28+AW28+AY28+BA28+BC28+BE28+BG28+BI28</f>
        <v>70000</v>
      </c>
      <c r="BL28" s="85"/>
      <c r="BM28" s="85"/>
      <c r="BN28" s="85"/>
      <c r="BO28" s="117"/>
      <c r="BP28" s="321" t="s">
        <v>825</v>
      </c>
      <c r="BR28" s="113"/>
      <c r="BS28" s="113">
        <f t="shared" si="28"/>
        <v>70000</v>
      </c>
      <c r="BT28" s="113"/>
      <c r="BU28" s="113"/>
      <c r="BV28" s="113">
        <f t="shared" si="29"/>
        <v>70000</v>
      </c>
      <c r="BW28" s="113"/>
      <c r="BX28" s="113"/>
      <c r="BY28" s="113"/>
      <c r="BZ28" s="217"/>
    </row>
    <row r="29" spans="1:78" s="579" customFormat="1" ht="32.25" customHeight="1" x14ac:dyDescent="0.25">
      <c r="A29" s="877"/>
      <c r="B29" s="62"/>
      <c r="C29" s="139" t="s">
        <v>36</v>
      </c>
      <c r="D29" s="139"/>
      <c r="E29" s="580">
        <v>500</v>
      </c>
      <c r="F29" s="575">
        <f t="shared" ref="F29:AK29" si="31">SUM(F14:F28)</f>
        <v>2065</v>
      </c>
      <c r="G29" s="170">
        <f t="shared" si="31"/>
        <v>2082500</v>
      </c>
      <c r="H29" s="170">
        <f t="shared" si="31"/>
        <v>416500</v>
      </c>
      <c r="I29" s="170">
        <f t="shared" si="31"/>
        <v>1666000</v>
      </c>
      <c r="J29" s="170">
        <f t="shared" si="31"/>
        <v>0</v>
      </c>
      <c r="K29" s="170">
        <f t="shared" si="31"/>
        <v>0</v>
      </c>
      <c r="L29" s="170">
        <f t="shared" si="31"/>
        <v>0</v>
      </c>
      <c r="M29" s="170">
        <f t="shared" si="31"/>
        <v>0</v>
      </c>
      <c r="N29" s="170">
        <f t="shared" si="31"/>
        <v>0</v>
      </c>
      <c r="O29" s="170">
        <f t="shared" si="31"/>
        <v>0</v>
      </c>
      <c r="P29" s="170">
        <f t="shared" si="31"/>
        <v>0</v>
      </c>
      <c r="Q29" s="170">
        <f t="shared" si="31"/>
        <v>0</v>
      </c>
      <c r="R29" s="575">
        <f t="shared" si="31"/>
        <v>206.5</v>
      </c>
      <c r="S29" s="575">
        <f t="shared" si="31"/>
        <v>516.25</v>
      </c>
      <c r="T29" s="575">
        <f t="shared" si="31"/>
        <v>722.75</v>
      </c>
      <c r="U29" s="575">
        <f t="shared" si="31"/>
        <v>619.5</v>
      </c>
      <c r="V29" s="170">
        <f t="shared" si="31"/>
        <v>208250</v>
      </c>
      <c r="W29" s="170">
        <f t="shared" si="31"/>
        <v>520625</v>
      </c>
      <c r="X29" s="170">
        <f t="shared" si="31"/>
        <v>728875</v>
      </c>
      <c r="Y29" s="170">
        <f t="shared" si="31"/>
        <v>624750</v>
      </c>
      <c r="Z29" s="170">
        <f t="shared" si="31"/>
        <v>0</v>
      </c>
      <c r="AA29" s="170">
        <f t="shared" si="31"/>
        <v>0</v>
      </c>
      <c r="AB29" s="170">
        <f t="shared" si="31"/>
        <v>0</v>
      </c>
      <c r="AC29" s="170">
        <f t="shared" si="31"/>
        <v>0</v>
      </c>
      <c r="AD29" s="170">
        <f t="shared" si="31"/>
        <v>0</v>
      </c>
      <c r="AE29" s="170">
        <f t="shared" si="31"/>
        <v>0</v>
      </c>
      <c r="AF29" s="170">
        <f t="shared" si="31"/>
        <v>0</v>
      </c>
      <c r="AG29" s="170">
        <f t="shared" si="31"/>
        <v>0</v>
      </c>
      <c r="AH29" s="170">
        <f t="shared" si="31"/>
        <v>0</v>
      </c>
      <c r="AI29" s="170">
        <f t="shared" si="31"/>
        <v>0</v>
      </c>
      <c r="AJ29" s="170">
        <f t="shared" si="31"/>
        <v>0</v>
      </c>
      <c r="AK29" s="170">
        <f t="shared" si="31"/>
        <v>0</v>
      </c>
      <c r="AL29" s="170">
        <f t="shared" ref="AL29:BH29" si="32">SUM(AL14:AL28)</f>
        <v>0</v>
      </c>
      <c r="AM29" s="170">
        <f t="shared" si="32"/>
        <v>0</v>
      </c>
      <c r="AN29" s="170">
        <f t="shared" si="32"/>
        <v>0</v>
      </c>
      <c r="AO29" s="170">
        <f t="shared" si="32"/>
        <v>0</v>
      </c>
      <c r="AP29" s="170">
        <f t="shared" si="32"/>
        <v>0</v>
      </c>
      <c r="AQ29" s="170">
        <f t="shared" si="32"/>
        <v>0</v>
      </c>
      <c r="AR29" s="170">
        <f t="shared" si="32"/>
        <v>0</v>
      </c>
      <c r="AS29" s="170">
        <f t="shared" si="32"/>
        <v>0</v>
      </c>
      <c r="AT29" s="170">
        <f t="shared" si="32"/>
        <v>0</v>
      </c>
      <c r="AU29" s="170">
        <f t="shared" si="32"/>
        <v>0</v>
      </c>
      <c r="AV29" s="170">
        <f t="shared" si="32"/>
        <v>0</v>
      </c>
      <c r="AW29" s="170">
        <f t="shared" si="32"/>
        <v>0</v>
      </c>
      <c r="AX29" s="170">
        <f t="shared" si="32"/>
        <v>0</v>
      </c>
      <c r="AY29" s="170">
        <f t="shared" si="32"/>
        <v>0</v>
      </c>
      <c r="AZ29" s="170">
        <f t="shared" si="32"/>
        <v>0</v>
      </c>
      <c r="BA29" s="170">
        <f t="shared" si="32"/>
        <v>0</v>
      </c>
      <c r="BB29" s="170">
        <f t="shared" si="32"/>
        <v>0</v>
      </c>
      <c r="BC29" s="170">
        <f t="shared" si="32"/>
        <v>0</v>
      </c>
      <c r="BD29" s="170">
        <f t="shared" si="32"/>
        <v>0</v>
      </c>
      <c r="BE29" s="170">
        <f t="shared" si="32"/>
        <v>0</v>
      </c>
      <c r="BF29" s="170">
        <f t="shared" si="32"/>
        <v>0</v>
      </c>
      <c r="BG29" s="170">
        <f t="shared" si="32"/>
        <v>0</v>
      </c>
      <c r="BH29" s="170">
        <f t="shared" si="32"/>
        <v>2065</v>
      </c>
      <c r="BI29" s="170">
        <f>SUM(BI14:BI28)</f>
        <v>2082500</v>
      </c>
      <c r="BJ29" s="170">
        <f>SUM(BJ14:BJ28)</f>
        <v>2065</v>
      </c>
      <c r="BK29" s="170">
        <f>SUM(BK14:BK28)</f>
        <v>2082500</v>
      </c>
      <c r="BL29" s="139"/>
      <c r="BM29" s="576"/>
      <c r="BN29" s="139"/>
      <c r="BO29" s="577"/>
      <c r="BP29" s="576"/>
      <c r="BQ29" s="67"/>
      <c r="BR29" s="566">
        <f t="shared" ref="BR29:BY29" si="33">SUM(BR14:BR17)</f>
        <v>0</v>
      </c>
      <c r="BS29" s="566">
        <f>SUM(BS14:BS28)</f>
        <v>2082500</v>
      </c>
      <c r="BT29" s="566">
        <f t="shared" si="33"/>
        <v>0</v>
      </c>
      <c r="BU29" s="566">
        <f t="shared" si="33"/>
        <v>0</v>
      </c>
      <c r="BV29" s="566">
        <f>SUM(BV14:BV28)</f>
        <v>2082500</v>
      </c>
      <c r="BW29" s="566">
        <f t="shared" si="33"/>
        <v>0</v>
      </c>
      <c r="BX29" s="566">
        <f t="shared" si="33"/>
        <v>0</v>
      </c>
      <c r="BY29" s="566">
        <f t="shared" si="33"/>
        <v>0</v>
      </c>
      <c r="BZ29" s="566">
        <f t="shared" si="1"/>
        <v>2082500</v>
      </c>
    </row>
    <row r="30" spans="1:78" ht="32.25" customHeight="1" x14ac:dyDescent="0.25">
      <c r="A30" s="877"/>
      <c r="B30" s="215">
        <v>11300</v>
      </c>
      <c r="C30" s="562" t="s">
        <v>80</v>
      </c>
      <c r="D30" s="144"/>
      <c r="E30" s="290"/>
      <c r="F30" s="216"/>
      <c r="G30" s="174"/>
      <c r="H30" s="156"/>
      <c r="I30" s="156"/>
      <c r="J30" s="156"/>
      <c r="K30" s="156"/>
      <c r="L30" s="156"/>
      <c r="M30" s="156"/>
      <c r="N30" s="156"/>
      <c r="O30" s="290"/>
      <c r="P30" s="290"/>
      <c r="Q30" s="290"/>
      <c r="R30" s="156"/>
      <c r="S30" s="156"/>
      <c r="T30" s="156"/>
      <c r="U30" s="156"/>
      <c r="V30" s="290"/>
      <c r="W30" s="290"/>
      <c r="X30" s="167"/>
      <c r="Y30" s="167"/>
      <c r="Z30" s="156"/>
      <c r="AA30" s="167"/>
      <c r="AB30" s="156"/>
      <c r="AC30" s="167"/>
      <c r="AD30" s="156"/>
      <c r="AE30" s="167"/>
      <c r="AF30" s="156"/>
      <c r="AG30" s="167"/>
      <c r="AH30" s="156"/>
      <c r="AI30" s="167"/>
      <c r="AJ30" s="156"/>
      <c r="AK30" s="167"/>
      <c r="AL30" s="156"/>
      <c r="AM30" s="167"/>
      <c r="AN30" s="156"/>
      <c r="AO30" s="167"/>
      <c r="AP30" s="156"/>
      <c r="AQ30" s="167"/>
      <c r="AR30" s="156"/>
      <c r="AS30" s="167"/>
      <c r="AT30" s="156"/>
      <c r="AU30" s="167"/>
      <c r="AV30" s="156"/>
      <c r="AW30" s="167"/>
      <c r="AX30" s="156"/>
      <c r="AY30" s="167"/>
      <c r="AZ30" s="156"/>
      <c r="BA30" s="167"/>
      <c r="BB30" s="156"/>
      <c r="BC30" s="167"/>
      <c r="BD30" s="156"/>
      <c r="BE30" s="167"/>
      <c r="BF30" s="156"/>
      <c r="BG30" s="167"/>
      <c r="BH30" s="156"/>
      <c r="BI30" s="167"/>
      <c r="BJ30" s="156"/>
      <c r="BK30" s="156"/>
      <c r="BL30" s="85"/>
      <c r="BM30" s="85" t="s">
        <v>72</v>
      </c>
      <c r="BN30" s="85" t="s">
        <v>72</v>
      </c>
      <c r="BO30" s="117"/>
      <c r="BP30" s="85"/>
      <c r="BR30" s="113"/>
      <c r="BS30" s="113"/>
      <c r="BT30" s="113"/>
      <c r="BU30" s="113"/>
      <c r="BV30" s="113"/>
      <c r="BW30" s="113"/>
      <c r="BX30" s="113"/>
      <c r="BY30" s="113"/>
      <c r="BZ30" s="217">
        <f t="shared" si="1"/>
        <v>0</v>
      </c>
    </row>
    <row r="31" spans="1:78" ht="32.25" customHeight="1" x14ac:dyDescent="0.25">
      <c r="A31" s="877"/>
      <c r="B31" s="215">
        <v>11310</v>
      </c>
      <c r="C31" s="167" t="s">
        <v>81</v>
      </c>
      <c r="D31" s="167" t="s">
        <v>79</v>
      </c>
      <c r="E31" s="167">
        <f>0.03*100000</f>
        <v>3000</v>
      </c>
      <c r="F31" s="214">
        <f>BJ31</f>
        <v>340</v>
      </c>
      <c r="G31" s="174">
        <f>E31*F31</f>
        <v>1020000</v>
      </c>
      <c r="H31" s="156">
        <f>G31*0.2</f>
        <v>204000</v>
      </c>
      <c r="I31" s="156">
        <f>G31*0.8</f>
        <v>816000</v>
      </c>
      <c r="J31" s="156">
        <f>G31*0</f>
        <v>0</v>
      </c>
      <c r="K31" s="156">
        <f>G31*0</f>
        <v>0</v>
      </c>
      <c r="L31" s="156">
        <f>G31*0</f>
        <v>0</v>
      </c>
      <c r="M31" s="156">
        <f>G31*0</f>
        <v>0</v>
      </c>
      <c r="N31" s="156">
        <f>G31*0</f>
        <v>0</v>
      </c>
      <c r="O31" s="156">
        <f>G31*0</f>
        <v>0</v>
      </c>
      <c r="P31" s="156">
        <f>G31*0</f>
        <v>0</v>
      </c>
      <c r="Q31" s="156">
        <f>G31*0</f>
        <v>0</v>
      </c>
      <c r="R31" s="156">
        <f>F31*0.1</f>
        <v>34</v>
      </c>
      <c r="S31" s="216">
        <f>F31*0.25</f>
        <v>85</v>
      </c>
      <c r="T31" s="216">
        <f>F31*0.35</f>
        <v>118.99999999999999</v>
      </c>
      <c r="U31" s="216">
        <f>F31*0.3</f>
        <v>102</v>
      </c>
      <c r="V31" s="156">
        <f>R31*E31</f>
        <v>102000</v>
      </c>
      <c r="W31" s="156">
        <f>S31*E31</f>
        <v>255000</v>
      </c>
      <c r="X31" s="156">
        <f>T31*E31</f>
        <v>356999.99999999994</v>
      </c>
      <c r="Y31" s="156">
        <f>U31*E31</f>
        <v>306000</v>
      </c>
      <c r="Z31" s="156">
        <v>20</v>
      </c>
      <c r="AA31" s="156">
        <f>Z31*3000</f>
        <v>60000</v>
      </c>
      <c r="AB31" s="156">
        <v>20</v>
      </c>
      <c r="AC31" s="156">
        <f>AB31*3000</f>
        <v>60000</v>
      </c>
      <c r="AD31" s="156">
        <v>20</v>
      </c>
      <c r="AE31" s="156">
        <f>AD31*3000</f>
        <v>60000</v>
      </c>
      <c r="AF31" s="156">
        <v>20</v>
      </c>
      <c r="AG31" s="156">
        <f>AF31*3000</f>
        <v>60000</v>
      </c>
      <c r="AH31" s="156">
        <v>20</v>
      </c>
      <c r="AI31" s="156">
        <f>AH31*3000</f>
        <v>60000</v>
      </c>
      <c r="AJ31" s="156">
        <v>20</v>
      </c>
      <c r="AK31" s="156">
        <f>AJ31*3000</f>
        <v>60000</v>
      </c>
      <c r="AL31" s="156">
        <v>20</v>
      </c>
      <c r="AM31" s="156">
        <f>AL31*3000</f>
        <v>60000</v>
      </c>
      <c r="AN31" s="156">
        <v>20</v>
      </c>
      <c r="AO31" s="156">
        <f>AN31*3000</f>
        <v>60000</v>
      </c>
      <c r="AP31" s="156">
        <v>20</v>
      </c>
      <c r="AQ31" s="156">
        <f>AP31*3000</f>
        <v>60000</v>
      </c>
      <c r="AR31" s="156">
        <v>20</v>
      </c>
      <c r="AS31" s="156">
        <f>AR31*3000</f>
        <v>60000</v>
      </c>
      <c r="AT31" s="156">
        <v>20</v>
      </c>
      <c r="AU31" s="156">
        <f>AT31*3000</f>
        <v>60000</v>
      </c>
      <c r="AV31" s="156">
        <v>20</v>
      </c>
      <c r="AW31" s="156">
        <f>AV31*3000</f>
        <v>60000</v>
      </c>
      <c r="AX31" s="156">
        <v>20</v>
      </c>
      <c r="AY31" s="156">
        <f>AX31*3000</f>
        <v>60000</v>
      </c>
      <c r="AZ31" s="156">
        <v>20</v>
      </c>
      <c r="BA31" s="156">
        <f>AZ31*3000</f>
        <v>60000</v>
      </c>
      <c r="BB31" s="156">
        <v>20</v>
      </c>
      <c r="BC31" s="156">
        <f>BB31*3000</f>
        <v>60000</v>
      </c>
      <c r="BD31" s="156">
        <v>20</v>
      </c>
      <c r="BE31" s="156">
        <f>BD31*3000</f>
        <v>60000</v>
      </c>
      <c r="BF31" s="156">
        <v>20</v>
      </c>
      <c r="BG31" s="156">
        <f>BF31*3000</f>
        <v>60000</v>
      </c>
      <c r="BH31" s="216">
        <v>0</v>
      </c>
      <c r="BI31" s="156">
        <f>BH31*5000</f>
        <v>0</v>
      </c>
      <c r="BJ31" s="216">
        <f t="shared" ref="BJ31:BK33" si="34">Z31+AB31+AD31+AF31+AH31+AJ31+AL31+AN31+AP31+AR31+AT31+AV31+AX31+AZ31+BB31+BD31+BF31+BH31</f>
        <v>340</v>
      </c>
      <c r="BK31" s="174">
        <f t="shared" si="34"/>
        <v>1020000</v>
      </c>
      <c r="BL31" s="85"/>
      <c r="BM31" s="85"/>
      <c r="BN31" s="85"/>
      <c r="BO31" s="117"/>
      <c r="BP31" s="321" t="s">
        <v>467</v>
      </c>
      <c r="BR31" s="113"/>
      <c r="BS31" s="113">
        <f>G31</f>
        <v>1020000</v>
      </c>
      <c r="BT31" s="113"/>
      <c r="BU31" s="113"/>
      <c r="BV31" s="113">
        <f>BR31+BS31+BT31+BU31</f>
        <v>1020000</v>
      </c>
      <c r="BW31" s="113"/>
      <c r="BX31" s="113"/>
      <c r="BY31" s="113">
        <f>BW31+BX31</f>
        <v>0</v>
      </c>
      <c r="BZ31" s="217">
        <f t="shared" si="1"/>
        <v>1020000</v>
      </c>
    </row>
    <row r="32" spans="1:78" ht="32.25" customHeight="1" x14ac:dyDescent="0.25">
      <c r="A32" s="877"/>
      <c r="B32" s="215">
        <v>11320</v>
      </c>
      <c r="C32" s="167" t="s">
        <v>82</v>
      </c>
      <c r="D32" s="167" t="s">
        <v>79</v>
      </c>
      <c r="E32" s="167">
        <f>0.0075*100000</f>
        <v>750</v>
      </c>
      <c r="F32" s="214">
        <f>BJ32</f>
        <v>136</v>
      </c>
      <c r="G32" s="174">
        <f>E32*F32</f>
        <v>102000</v>
      </c>
      <c r="H32" s="156">
        <f>G32*0.2</f>
        <v>20400</v>
      </c>
      <c r="I32" s="156">
        <f>G32*0.8</f>
        <v>81600</v>
      </c>
      <c r="J32" s="156">
        <f>G32*0</f>
        <v>0</v>
      </c>
      <c r="K32" s="156">
        <f>G32*0</f>
        <v>0</v>
      </c>
      <c r="L32" s="156">
        <f>G32*0</f>
        <v>0</v>
      </c>
      <c r="M32" s="156">
        <f>G32*0</f>
        <v>0</v>
      </c>
      <c r="N32" s="156">
        <f>G32*0</f>
        <v>0</v>
      </c>
      <c r="O32" s="156">
        <f>G32*0</f>
        <v>0</v>
      </c>
      <c r="P32" s="156">
        <f>G32*0</f>
        <v>0</v>
      </c>
      <c r="Q32" s="156">
        <f>G32*0</f>
        <v>0</v>
      </c>
      <c r="R32" s="156">
        <f t="shared" ref="R32:R33" si="35">F32*0.1</f>
        <v>13.600000000000001</v>
      </c>
      <c r="S32" s="216">
        <f t="shared" ref="S32:S33" si="36">F32*0.25</f>
        <v>34</v>
      </c>
      <c r="T32" s="216">
        <f t="shared" ref="T32:T33" si="37">F32*0.35</f>
        <v>47.599999999999994</v>
      </c>
      <c r="U32" s="216">
        <f t="shared" ref="U32:U33" si="38">F32*0.3</f>
        <v>40.799999999999997</v>
      </c>
      <c r="V32" s="156">
        <f t="shared" ref="V32:V33" si="39">R32*E32</f>
        <v>10200.000000000002</v>
      </c>
      <c r="W32" s="156">
        <f t="shared" ref="W32:W33" si="40">S32*E32</f>
        <v>25500</v>
      </c>
      <c r="X32" s="156">
        <f t="shared" ref="X32:X33" si="41">T32*E32</f>
        <v>35699.999999999993</v>
      </c>
      <c r="Y32" s="156">
        <f t="shared" ref="Y32:Y33" si="42">U32*E32</f>
        <v>30599.999999999996</v>
      </c>
      <c r="Z32" s="156">
        <v>8</v>
      </c>
      <c r="AA32" s="156">
        <f>Z32*750</f>
        <v>6000</v>
      </c>
      <c r="AB32" s="156">
        <v>8</v>
      </c>
      <c r="AC32" s="156">
        <f>AB32*750</f>
        <v>6000</v>
      </c>
      <c r="AD32" s="156">
        <v>8</v>
      </c>
      <c r="AE32" s="156">
        <f>AD32*750</f>
        <v>6000</v>
      </c>
      <c r="AF32" s="156">
        <v>8</v>
      </c>
      <c r="AG32" s="156">
        <f>AF32*750</f>
        <v>6000</v>
      </c>
      <c r="AH32" s="156">
        <v>8</v>
      </c>
      <c r="AI32" s="156">
        <f>AH32*750</f>
        <v>6000</v>
      </c>
      <c r="AJ32" s="156">
        <v>8</v>
      </c>
      <c r="AK32" s="156">
        <f>AJ32*750</f>
        <v>6000</v>
      </c>
      <c r="AL32" s="156">
        <v>8</v>
      </c>
      <c r="AM32" s="156">
        <f>AL32*750</f>
        <v>6000</v>
      </c>
      <c r="AN32" s="156">
        <v>8</v>
      </c>
      <c r="AO32" s="156">
        <f>AN32*750</f>
        <v>6000</v>
      </c>
      <c r="AP32" s="156">
        <v>8</v>
      </c>
      <c r="AQ32" s="156">
        <f>AP32*750</f>
        <v>6000</v>
      </c>
      <c r="AR32" s="156">
        <v>8</v>
      </c>
      <c r="AS32" s="156">
        <f>AR32*750</f>
        <v>6000</v>
      </c>
      <c r="AT32" s="156">
        <v>8</v>
      </c>
      <c r="AU32" s="156">
        <f>AT32*750</f>
        <v>6000</v>
      </c>
      <c r="AV32" s="156">
        <v>8</v>
      </c>
      <c r="AW32" s="156">
        <f>AV32*750</f>
        <v>6000</v>
      </c>
      <c r="AX32" s="156">
        <v>8</v>
      </c>
      <c r="AY32" s="156">
        <f>AX32*750</f>
        <v>6000</v>
      </c>
      <c r="AZ32" s="156">
        <v>8</v>
      </c>
      <c r="BA32" s="156">
        <f>AZ32*750</f>
        <v>6000</v>
      </c>
      <c r="BB32" s="156">
        <v>8</v>
      </c>
      <c r="BC32" s="156">
        <f>BB32*750</f>
        <v>6000</v>
      </c>
      <c r="BD32" s="156">
        <v>8</v>
      </c>
      <c r="BE32" s="156">
        <f>BD32*750</f>
        <v>6000</v>
      </c>
      <c r="BF32" s="156">
        <v>8</v>
      </c>
      <c r="BG32" s="156">
        <f>BF32*750</f>
        <v>6000</v>
      </c>
      <c r="BH32" s="216">
        <v>0</v>
      </c>
      <c r="BI32" s="156">
        <f>BH32*750</f>
        <v>0</v>
      </c>
      <c r="BJ32" s="216">
        <f t="shared" si="34"/>
        <v>136</v>
      </c>
      <c r="BK32" s="156">
        <f t="shared" si="34"/>
        <v>102000</v>
      </c>
      <c r="BL32" s="85"/>
      <c r="BM32" s="85"/>
      <c r="BN32" s="85"/>
      <c r="BO32" s="117"/>
      <c r="BP32" s="321" t="s">
        <v>467</v>
      </c>
      <c r="BR32" s="113"/>
      <c r="BS32" s="113">
        <f>G32</f>
        <v>102000</v>
      </c>
      <c r="BT32" s="113"/>
      <c r="BU32" s="113"/>
      <c r="BV32" s="113">
        <f>BR32+BS32+BT32+BU32</f>
        <v>102000</v>
      </c>
      <c r="BW32" s="113"/>
      <c r="BX32" s="113"/>
      <c r="BY32" s="113">
        <f>BW32+BX32</f>
        <v>0</v>
      </c>
      <c r="BZ32" s="217">
        <f t="shared" si="1"/>
        <v>102000</v>
      </c>
    </row>
    <row r="33" spans="1:78" ht="32.25" customHeight="1" x14ac:dyDescent="0.25">
      <c r="A33" s="877"/>
      <c r="B33" s="215">
        <v>11330</v>
      </c>
      <c r="C33" s="167" t="s">
        <v>83</v>
      </c>
      <c r="D33" s="167" t="s">
        <v>79</v>
      </c>
      <c r="E33" s="167">
        <f>0.0075*100000</f>
        <v>750</v>
      </c>
      <c r="F33" s="214">
        <f>BJ33</f>
        <v>136</v>
      </c>
      <c r="G33" s="174">
        <f>E33*F33</f>
        <v>102000</v>
      </c>
      <c r="H33" s="156">
        <f>G33*0.2</f>
        <v>20400</v>
      </c>
      <c r="I33" s="156">
        <f>G33*0.8</f>
        <v>81600</v>
      </c>
      <c r="J33" s="156">
        <f>G33*0</f>
        <v>0</v>
      </c>
      <c r="K33" s="156">
        <f>G33*0</f>
        <v>0</v>
      </c>
      <c r="L33" s="156">
        <f>G33*0</f>
        <v>0</v>
      </c>
      <c r="M33" s="156">
        <f>G33*0</f>
        <v>0</v>
      </c>
      <c r="N33" s="156">
        <f>G33*0</f>
        <v>0</v>
      </c>
      <c r="O33" s="156">
        <f>G33*0</f>
        <v>0</v>
      </c>
      <c r="P33" s="156">
        <f>G33*0</f>
        <v>0</v>
      </c>
      <c r="Q33" s="156">
        <f>G33*0</f>
        <v>0</v>
      </c>
      <c r="R33" s="156">
        <f t="shared" si="35"/>
        <v>13.600000000000001</v>
      </c>
      <c r="S33" s="216">
        <f t="shared" si="36"/>
        <v>34</v>
      </c>
      <c r="T33" s="216">
        <f t="shared" si="37"/>
        <v>47.599999999999994</v>
      </c>
      <c r="U33" s="216">
        <f t="shared" si="38"/>
        <v>40.799999999999997</v>
      </c>
      <c r="V33" s="156">
        <f t="shared" si="39"/>
        <v>10200.000000000002</v>
      </c>
      <c r="W33" s="156">
        <f t="shared" si="40"/>
        <v>25500</v>
      </c>
      <c r="X33" s="156">
        <f t="shared" si="41"/>
        <v>35699.999999999993</v>
      </c>
      <c r="Y33" s="156">
        <f t="shared" si="42"/>
        <v>30599.999999999996</v>
      </c>
      <c r="Z33" s="156">
        <v>8</v>
      </c>
      <c r="AA33" s="156">
        <f>Z33*750</f>
        <v>6000</v>
      </c>
      <c r="AB33" s="156">
        <v>8</v>
      </c>
      <c r="AC33" s="156">
        <f>AB33*750</f>
        <v>6000</v>
      </c>
      <c r="AD33" s="156">
        <v>8</v>
      </c>
      <c r="AE33" s="156">
        <f>AD33*750</f>
        <v>6000</v>
      </c>
      <c r="AF33" s="156">
        <v>8</v>
      </c>
      <c r="AG33" s="156">
        <f>AF33*750</f>
        <v>6000</v>
      </c>
      <c r="AH33" s="156">
        <v>8</v>
      </c>
      <c r="AI33" s="156">
        <f>AH33*750</f>
        <v>6000</v>
      </c>
      <c r="AJ33" s="156">
        <v>8</v>
      </c>
      <c r="AK33" s="156">
        <f>AJ33*750</f>
        <v>6000</v>
      </c>
      <c r="AL33" s="156">
        <v>8</v>
      </c>
      <c r="AM33" s="156">
        <f>AL33*750</f>
        <v>6000</v>
      </c>
      <c r="AN33" s="156">
        <v>8</v>
      </c>
      <c r="AO33" s="156">
        <f>AN33*750</f>
        <v>6000</v>
      </c>
      <c r="AP33" s="156">
        <v>8</v>
      </c>
      <c r="AQ33" s="156">
        <f>AP33*750</f>
        <v>6000</v>
      </c>
      <c r="AR33" s="156">
        <v>8</v>
      </c>
      <c r="AS33" s="156">
        <f>AR33*750</f>
        <v>6000</v>
      </c>
      <c r="AT33" s="156">
        <v>8</v>
      </c>
      <c r="AU33" s="156">
        <f>AT33*750</f>
        <v>6000</v>
      </c>
      <c r="AV33" s="156">
        <v>8</v>
      </c>
      <c r="AW33" s="156">
        <f>AV33*750</f>
        <v>6000</v>
      </c>
      <c r="AX33" s="156">
        <v>8</v>
      </c>
      <c r="AY33" s="156">
        <f>AX33*750</f>
        <v>6000</v>
      </c>
      <c r="AZ33" s="156">
        <v>8</v>
      </c>
      <c r="BA33" s="156">
        <f>AZ33*750</f>
        <v>6000</v>
      </c>
      <c r="BB33" s="156">
        <v>8</v>
      </c>
      <c r="BC33" s="156">
        <f>BB33*750</f>
        <v>6000</v>
      </c>
      <c r="BD33" s="156">
        <v>8</v>
      </c>
      <c r="BE33" s="156">
        <f>BD33*750</f>
        <v>6000</v>
      </c>
      <c r="BF33" s="156">
        <v>8</v>
      </c>
      <c r="BG33" s="156">
        <f>BF33*750</f>
        <v>6000</v>
      </c>
      <c r="BH33" s="216">
        <v>0</v>
      </c>
      <c r="BI33" s="156">
        <f>BH33*750</f>
        <v>0</v>
      </c>
      <c r="BJ33" s="216">
        <f t="shared" si="34"/>
        <v>136</v>
      </c>
      <c r="BK33" s="156">
        <f t="shared" si="34"/>
        <v>102000</v>
      </c>
      <c r="BL33" s="85"/>
      <c r="BM33" s="85"/>
      <c r="BN33" s="85"/>
      <c r="BO33" s="117"/>
      <c r="BP33" s="321" t="s">
        <v>467</v>
      </c>
      <c r="BR33" s="113"/>
      <c r="BS33" s="113">
        <f>G33</f>
        <v>102000</v>
      </c>
      <c r="BT33" s="113"/>
      <c r="BU33" s="113"/>
      <c r="BV33" s="113">
        <f>BR33+BS33+BT33+BU33</f>
        <v>102000</v>
      </c>
      <c r="BW33" s="113"/>
      <c r="BX33" s="113"/>
      <c r="BY33" s="113">
        <f>BW33+BX33</f>
        <v>0</v>
      </c>
      <c r="BZ33" s="217">
        <f t="shared" si="1"/>
        <v>102000</v>
      </c>
    </row>
    <row r="34" spans="1:78" s="579" customFormat="1" ht="32.25" customHeight="1" x14ac:dyDescent="0.25">
      <c r="A34" s="877"/>
      <c r="B34" s="62"/>
      <c r="C34" s="139" t="s">
        <v>36</v>
      </c>
      <c r="D34" s="139"/>
      <c r="E34" s="170"/>
      <c r="F34" s="575">
        <f t="shared" ref="F34:AK34" si="43">SUM(F31:F33)</f>
        <v>612</v>
      </c>
      <c r="G34" s="170">
        <f t="shared" si="43"/>
        <v>1224000</v>
      </c>
      <c r="H34" s="170">
        <f t="shared" si="43"/>
        <v>244800</v>
      </c>
      <c r="I34" s="170">
        <f t="shared" si="43"/>
        <v>979200</v>
      </c>
      <c r="J34" s="170">
        <f t="shared" si="43"/>
        <v>0</v>
      </c>
      <c r="K34" s="170">
        <f t="shared" si="43"/>
        <v>0</v>
      </c>
      <c r="L34" s="170">
        <f t="shared" si="43"/>
        <v>0</v>
      </c>
      <c r="M34" s="170">
        <f t="shared" si="43"/>
        <v>0</v>
      </c>
      <c r="N34" s="170">
        <f t="shared" si="43"/>
        <v>0</v>
      </c>
      <c r="O34" s="170">
        <f t="shared" si="43"/>
        <v>0</v>
      </c>
      <c r="P34" s="170">
        <f t="shared" si="43"/>
        <v>0</v>
      </c>
      <c r="Q34" s="170">
        <f t="shared" si="43"/>
        <v>0</v>
      </c>
      <c r="R34" s="575">
        <f t="shared" si="43"/>
        <v>61.2</v>
      </c>
      <c r="S34" s="575">
        <f>SUM(S31:S33)</f>
        <v>153</v>
      </c>
      <c r="T34" s="575">
        <f t="shared" si="43"/>
        <v>214.19999999999996</v>
      </c>
      <c r="U34" s="575">
        <f t="shared" si="43"/>
        <v>183.60000000000002</v>
      </c>
      <c r="V34" s="170">
        <f t="shared" si="43"/>
        <v>122400</v>
      </c>
      <c r="W34" s="170">
        <f t="shared" si="43"/>
        <v>306000</v>
      </c>
      <c r="X34" s="170">
        <f t="shared" si="43"/>
        <v>428399.99999999994</v>
      </c>
      <c r="Y34" s="170">
        <f t="shared" si="43"/>
        <v>367200</v>
      </c>
      <c r="Z34" s="170">
        <f t="shared" si="43"/>
        <v>36</v>
      </c>
      <c r="AA34" s="170">
        <f t="shared" si="43"/>
        <v>72000</v>
      </c>
      <c r="AB34" s="170">
        <f t="shared" si="43"/>
        <v>36</v>
      </c>
      <c r="AC34" s="170">
        <f t="shared" si="43"/>
        <v>72000</v>
      </c>
      <c r="AD34" s="170">
        <f t="shared" si="43"/>
        <v>36</v>
      </c>
      <c r="AE34" s="170">
        <f t="shared" si="43"/>
        <v>72000</v>
      </c>
      <c r="AF34" s="170">
        <f t="shared" si="43"/>
        <v>36</v>
      </c>
      <c r="AG34" s="170">
        <f t="shared" si="43"/>
        <v>72000</v>
      </c>
      <c r="AH34" s="170">
        <f t="shared" si="43"/>
        <v>36</v>
      </c>
      <c r="AI34" s="170">
        <f t="shared" si="43"/>
        <v>72000</v>
      </c>
      <c r="AJ34" s="170">
        <f t="shared" si="43"/>
        <v>36</v>
      </c>
      <c r="AK34" s="170">
        <f t="shared" si="43"/>
        <v>72000</v>
      </c>
      <c r="AL34" s="170">
        <f t="shared" ref="AL34:BK34" si="44">SUM(AL31:AL33)</f>
        <v>36</v>
      </c>
      <c r="AM34" s="170">
        <f t="shared" si="44"/>
        <v>72000</v>
      </c>
      <c r="AN34" s="170">
        <f t="shared" si="44"/>
        <v>36</v>
      </c>
      <c r="AO34" s="170">
        <f t="shared" si="44"/>
        <v>72000</v>
      </c>
      <c r="AP34" s="170">
        <f t="shared" si="44"/>
        <v>36</v>
      </c>
      <c r="AQ34" s="170">
        <f t="shared" si="44"/>
        <v>72000</v>
      </c>
      <c r="AR34" s="170">
        <f t="shared" si="44"/>
        <v>36</v>
      </c>
      <c r="AS34" s="170">
        <f t="shared" si="44"/>
        <v>72000</v>
      </c>
      <c r="AT34" s="170">
        <f t="shared" si="44"/>
        <v>36</v>
      </c>
      <c r="AU34" s="170">
        <f t="shared" si="44"/>
        <v>72000</v>
      </c>
      <c r="AV34" s="170">
        <f t="shared" si="44"/>
        <v>36</v>
      </c>
      <c r="AW34" s="170">
        <f t="shared" si="44"/>
        <v>72000</v>
      </c>
      <c r="AX34" s="170">
        <f t="shared" si="44"/>
        <v>36</v>
      </c>
      <c r="AY34" s="170">
        <f t="shared" si="44"/>
        <v>72000</v>
      </c>
      <c r="AZ34" s="170">
        <f t="shared" si="44"/>
        <v>36</v>
      </c>
      <c r="BA34" s="170">
        <f t="shared" si="44"/>
        <v>72000</v>
      </c>
      <c r="BB34" s="170">
        <f t="shared" si="44"/>
        <v>36</v>
      </c>
      <c r="BC34" s="170">
        <f t="shared" si="44"/>
        <v>72000</v>
      </c>
      <c r="BD34" s="170">
        <f t="shared" si="44"/>
        <v>36</v>
      </c>
      <c r="BE34" s="170">
        <f t="shared" si="44"/>
        <v>72000</v>
      </c>
      <c r="BF34" s="170">
        <f t="shared" si="44"/>
        <v>36</v>
      </c>
      <c r="BG34" s="170">
        <f t="shared" si="44"/>
        <v>72000</v>
      </c>
      <c r="BH34" s="575">
        <f t="shared" si="44"/>
        <v>0</v>
      </c>
      <c r="BI34" s="170">
        <f t="shared" si="44"/>
        <v>0</v>
      </c>
      <c r="BJ34" s="575">
        <f t="shared" si="44"/>
        <v>612</v>
      </c>
      <c r="BK34" s="170">
        <f t="shared" si="44"/>
        <v>1224000</v>
      </c>
      <c r="BL34" s="139"/>
      <c r="BM34" s="576"/>
      <c r="BN34" s="139"/>
      <c r="BO34" s="577"/>
      <c r="BP34" s="576"/>
      <c r="BR34" s="566">
        <f t="shared" ref="BR34:BY34" si="45">SUM(BR31:BR33)</f>
        <v>0</v>
      </c>
      <c r="BS34" s="566">
        <f t="shared" si="45"/>
        <v>1224000</v>
      </c>
      <c r="BT34" s="566">
        <f t="shared" si="45"/>
        <v>0</v>
      </c>
      <c r="BU34" s="566">
        <f t="shared" si="45"/>
        <v>0</v>
      </c>
      <c r="BV34" s="566">
        <f t="shared" si="45"/>
        <v>1224000</v>
      </c>
      <c r="BW34" s="566">
        <f t="shared" si="45"/>
        <v>0</v>
      </c>
      <c r="BX34" s="566">
        <f t="shared" si="45"/>
        <v>0</v>
      </c>
      <c r="BY34" s="566">
        <f t="shared" si="45"/>
        <v>0</v>
      </c>
      <c r="BZ34" s="566">
        <f t="shared" si="1"/>
        <v>1224000</v>
      </c>
    </row>
    <row r="35" spans="1:78" ht="32.25" customHeight="1" x14ac:dyDescent="0.25">
      <c r="A35" s="877"/>
      <c r="B35" s="215">
        <v>11400</v>
      </c>
      <c r="C35" s="562" t="s">
        <v>84</v>
      </c>
      <c r="D35" s="144"/>
      <c r="E35" s="290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290"/>
      <c r="W35" s="290"/>
      <c r="X35" s="167"/>
      <c r="Y35" s="167"/>
      <c r="Z35" s="156"/>
      <c r="AA35" s="167"/>
      <c r="AB35" s="156"/>
      <c r="AC35" s="167"/>
      <c r="AD35" s="156"/>
      <c r="AE35" s="167"/>
      <c r="AF35" s="156"/>
      <c r="AG35" s="167"/>
      <c r="AH35" s="156"/>
      <c r="AI35" s="167"/>
      <c r="AJ35" s="156"/>
      <c r="AK35" s="167"/>
      <c r="AL35" s="156"/>
      <c r="AM35" s="167"/>
      <c r="AN35" s="156"/>
      <c r="AO35" s="167"/>
      <c r="AP35" s="156"/>
      <c r="AQ35" s="167"/>
      <c r="AR35" s="156"/>
      <c r="AS35" s="167"/>
      <c r="AT35" s="156"/>
      <c r="AU35" s="167"/>
      <c r="AV35" s="156"/>
      <c r="AW35" s="167"/>
      <c r="AX35" s="156"/>
      <c r="AY35" s="167"/>
      <c r="AZ35" s="156"/>
      <c r="BA35" s="167"/>
      <c r="BB35" s="156"/>
      <c r="BC35" s="167"/>
      <c r="BD35" s="156"/>
      <c r="BE35" s="167"/>
      <c r="BF35" s="156"/>
      <c r="BG35" s="167"/>
      <c r="BH35" s="156"/>
      <c r="BI35" s="167"/>
      <c r="BJ35" s="216"/>
      <c r="BK35" s="156"/>
      <c r="BL35" s="85"/>
      <c r="BN35" s="85" t="s">
        <v>72</v>
      </c>
      <c r="BO35" s="117"/>
      <c r="BP35" s="85"/>
      <c r="BR35" s="113"/>
      <c r="BS35" s="113"/>
      <c r="BT35" s="113"/>
      <c r="BU35" s="113"/>
      <c r="BV35" s="113"/>
      <c r="BW35" s="113"/>
      <c r="BX35" s="113"/>
      <c r="BY35" s="113"/>
      <c r="BZ35" s="217">
        <f t="shared" si="1"/>
        <v>0</v>
      </c>
    </row>
    <row r="36" spans="1:78" ht="32.25" customHeight="1" x14ac:dyDescent="0.25">
      <c r="A36" s="877"/>
      <c r="B36" s="215">
        <v>11410</v>
      </c>
      <c r="C36" s="167" t="s">
        <v>85</v>
      </c>
      <c r="D36" s="167" t="s">
        <v>79</v>
      </c>
      <c r="E36" s="167">
        <f>0.0015*100000</f>
        <v>150</v>
      </c>
      <c r="F36" s="214">
        <f>BJ36</f>
        <v>65</v>
      </c>
      <c r="G36" s="156">
        <f t="shared" ref="G36:G43" si="46">E36*F36</f>
        <v>9750</v>
      </c>
      <c r="H36" s="156">
        <f t="shared" ref="H36:H43" si="47">G36*0.2</f>
        <v>1950</v>
      </c>
      <c r="I36" s="156">
        <f t="shared" ref="I36:I43" si="48">G36*0.8</f>
        <v>7800</v>
      </c>
      <c r="J36" s="156">
        <f>G36*0</f>
        <v>0</v>
      </c>
      <c r="K36" s="156"/>
      <c r="L36" s="156"/>
      <c r="M36" s="156">
        <f>G36*0</f>
        <v>0</v>
      </c>
      <c r="N36" s="156">
        <f>G36*0</f>
        <v>0</v>
      </c>
      <c r="O36" s="156">
        <f>G36*0</f>
        <v>0</v>
      </c>
      <c r="P36" s="156">
        <f>G36*0</f>
        <v>0</v>
      </c>
      <c r="Q36" s="156">
        <f>G36*0</f>
        <v>0</v>
      </c>
      <c r="R36" s="156">
        <f t="shared" ref="R36" si="49">F36*0.1</f>
        <v>6.5</v>
      </c>
      <c r="S36" s="216">
        <f t="shared" ref="S36" si="50">F36*0.25</f>
        <v>16.25</v>
      </c>
      <c r="T36" s="216">
        <f t="shared" ref="T36" si="51">F36*0.35</f>
        <v>22.75</v>
      </c>
      <c r="U36" s="216">
        <f t="shared" ref="U36" si="52">F36*0.3</f>
        <v>19.5</v>
      </c>
      <c r="V36" s="156">
        <f t="shared" ref="V36" si="53">R36*E36</f>
        <v>975</v>
      </c>
      <c r="W36" s="156">
        <f t="shared" ref="W36" si="54">S36*E36</f>
        <v>2437.5</v>
      </c>
      <c r="X36" s="156">
        <f t="shared" ref="X36" si="55">T36*E36</f>
        <v>3412.5</v>
      </c>
      <c r="Y36" s="156">
        <f t="shared" ref="Y36" si="56">U36*E36</f>
        <v>2925</v>
      </c>
      <c r="Z36" s="156">
        <v>0</v>
      </c>
      <c r="AA36" s="156">
        <f>Z36*150</f>
        <v>0</v>
      </c>
      <c r="AB36" s="156">
        <v>0</v>
      </c>
      <c r="AC36" s="156">
        <f>AB36*150</f>
        <v>0</v>
      </c>
      <c r="AD36" s="156">
        <v>0</v>
      </c>
      <c r="AE36" s="156">
        <f>AD36*150</f>
        <v>0</v>
      </c>
      <c r="AF36" s="156">
        <v>0</v>
      </c>
      <c r="AG36" s="156">
        <f>AF36*150</f>
        <v>0</v>
      </c>
      <c r="AH36" s="156">
        <v>0</v>
      </c>
      <c r="AI36" s="156">
        <f>AH36*150</f>
        <v>0</v>
      </c>
      <c r="AJ36" s="156">
        <v>0</v>
      </c>
      <c r="AK36" s="156">
        <f>AJ36*150</f>
        <v>0</v>
      </c>
      <c r="AL36" s="156">
        <v>0</v>
      </c>
      <c r="AM36" s="156">
        <f>AL36*150</f>
        <v>0</v>
      </c>
      <c r="AN36" s="156">
        <v>20</v>
      </c>
      <c r="AO36" s="156">
        <f>AN36*150</f>
        <v>3000</v>
      </c>
      <c r="AP36" s="156">
        <v>0</v>
      </c>
      <c r="AQ36" s="156">
        <f>AP36*150</f>
        <v>0</v>
      </c>
      <c r="AR36" s="156">
        <v>0</v>
      </c>
      <c r="AS36" s="156">
        <f>AR36*150</f>
        <v>0</v>
      </c>
      <c r="AT36" s="156">
        <v>0</v>
      </c>
      <c r="AU36" s="156">
        <f>AT36*150</f>
        <v>0</v>
      </c>
      <c r="AV36" s="156">
        <v>0</v>
      </c>
      <c r="AW36" s="156">
        <f>AV36*150</f>
        <v>0</v>
      </c>
      <c r="AX36" s="156">
        <v>0</v>
      </c>
      <c r="AY36" s="156">
        <f>AX36*150</f>
        <v>0</v>
      </c>
      <c r="AZ36" s="156">
        <v>0</v>
      </c>
      <c r="BA36" s="156">
        <f>AZ36*150</f>
        <v>0</v>
      </c>
      <c r="BB36" s="156">
        <v>15</v>
      </c>
      <c r="BC36" s="156">
        <f>BB36*150</f>
        <v>2250</v>
      </c>
      <c r="BD36" s="156">
        <v>30</v>
      </c>
      <c r="BE36" s="156">
        <f>BD36*150</f>
        <v>4500</v>
      </c>
      <c r="BF36" s="156">
        <v>0</v>
      </c>
      <c r="BG36" s="156">
        <f>BF36*150</f>
        <v>0</v>
      </c>
      <c r="BH36" s="216">
        <v>0</v>
      </c>
      <c r="BI36" s="156">
        <f>BH36*150</f>
        <v>0</v>
      </c>
      <c r="BJ36" s="216">
        <f t="shared" ref="BJ36:BK43" si="57">Z36+AB36+AD36+AF36+AH36+AJ36+AL36+AN36+AP36+AR36+AT36+AV36+AX36+AZ36+BB36+BD36+BF36+BH36</f>
        <v>65</v>
      </c>
      <c r="BK36" s="156">
        <f t="shared" si="57"/>
        <v>9750</v>
      </c>
      <c r="BL36" s="85"/>
      <c r="BM36" s="85"/>
      <c r="BN36" s="85"/>
      <c r="BO36" s="117"/>
      <c r="BP36" s="321" t="s">
        <v>467</v>
      </c>
      <c r="BR36" s="113"/>
      <c r="BS36" s="113">
        <f t="shared" ref="BS36:BS43" si="58">G36</f>
        <v>9750</v>
      </c>
      <c r="BT36" s="113"/>
      <c r="BU36" s="113"/>
      <c r="BV36" s="113">
        <f>BR36+BS36+BT36+BU36</f>
        <v>9750</v>
      </c>
      <c r="BW36" s="113"/>
      <c r="BX36" s="113"/>
      <c r="BY36" s="113">
        <f>BW36+BX36</f>
        <v>0</v>
      </c>
      <c r="BZ36" s="217">
        <f t="shared" si="1"/>
        <v>9750</v>
      </c>
    </row>
    <row r="37" spans="1:78" ht="32.25" customHeight="1" x14ac:dyDescent="0.25">
      <c r="A37" s="877"/>
      <c r="B37" s="215">
        <v>11420</v>
      </c>
      <c r="C37" s="167" t="s">
        <v>748</v>
      </c>
      <c r="D37" s="167" t="s">
        <v>79</v>
      </c>
      <c r="E37" s="167">
        <f>0.003*100000</f>
        <v>300</v>
      </c>
      <c r="F37" s="214">
        <f t="shared" ref="F37:F43" si="59">BJ37</f>
        <v>545</v>
      </c>
      <c r="G37" s="156">
        <f t="shared" si="46"/>
        <v>163500</v>
      </c>
      <c r="H37" s="156">
        <f t="shared" si="47"/>
        <v>32700</v>
      </c>
      <c r="I37" s="156">
        <f t="shared" si="48"/>
        <v>130800</v>
      </c>
      <c r="J37" s="156">
        <f>G37*0</f>
        <v>0</v>
      </c>
      <c r="K37" s="156">
        <f>G37*0</f>
        <v>0</v>
      </c>
      <c r="L37" s="156">
        <f>G37*0</f>
        <v>0</v>
      </c>
      <c r="M37" s="156">
        <f>G37*0</f>
        <v>0</v>
      </c>
      <c r="N37" s="156">
        <f>G37*0</f>
        <v>0</v>
      </c>
      <c r="O37" s="156">
        <f>G37*0</f>
        <v>0</v>
      </c>
      <c r="P37" s="156">
        <f>G37*0</f>
        <v>0</v>
      </c>
      <c r="Q37" s="156">
        <f>G37*0</f>
        <v>0</v>
      </c>
      <c r="R37" s="156">
        <f t="shared" ref="R37:R43" si="60">F37*0.1</f>
        <v>54.5</v>
      </c>
      <c r="S37" s="216">
        <f t="shared" ref="S37:S43" si="61">F37*0.25</f>
        <v>136.25</v>
      </c>
      <c r="T37" s="216">
        <f t="shared" ref="T37:T43" si="62">F37*0.35</f>
        <v>190.75</v>
      </c>
      <c r="U37" s="216">
        <f t="shared" ref="U37:U43" si="63">F37*0.3</f>
        <v>163.5</v>
      </c>
      <c r="V37" s="156">
        <f t="shared" ref="V37:V43" si="64">R37*E37</f>
        <v>16350</v>
      </c>
      <c r="W37" s="156">
        <f t="shared" ref="W37:W43" si="65">S37*E37</f>
        <v>40875</v>
      </c>
      <c r="X37" s="156">
        <f t="shared" ref="X37:X43" si="66">T37*E37</f>
        <v>57225</v>
      </c>
      <c r="Y37" s="156">
        <f t="shared" ref="Y37:Y43" si="67">U37*E37</f>
        <v>49050</v>
      </c>
      <c r="Z37" s="156">
        <v>30</v>
      </c>
      <c r="AA37" s="156">
        <f>Z37*300</f>
        <v>9000</v>
      </c>
      <c r="AB37" s="156">
        <v>21</v>
      </c>
      <c r="AC37" s="156">
        <f>AB37*300</f>
        <v>6300</v>
      </c>
      <c r="AD37" s="156">
        <v>30</v>
      </c>
      <c r="AE37" s="156">
        <f>AD37*300</f>
        <v>9000</v>
      </c>
      <c r="AF37" s="156">
        <v>51</v>
      </c>
      <c r="AG37" s="156">
        <f>AF37*300</f>
        <v>15300</v>
      </c>
      <c r="AH37" s="156">
        <v>22</v>
      </c>
      <c r="AI37" s="156">
        <f>AH37*300</f>
        <v>6600</v>
      </c>
      <c r="AJ37" s="156">
        <v>30</v>
      </c>
      <c r="AK37" s="156">
        <f t="shared" ref="AK37:AK43" si="68">AJ37*300</f>
        <v>9000</v>
      </c>
      <c r="AL37" s="156">
        <v>22</v>
      </c>
      <c r="AM37" s="156">
        <f>AL37*300</f>
        <v>6600</v>
      </c>
      <c r="AN37" s="156">
        <v>50</v>
      </c>
      <c r="AO37" s="156">
        <f>AN37*300</f>
        <v>15000</v>
      </c>
      <c r="AP37" s="156">
        <v>6</v>
      </c>
      <c r="AQ37" s="156">
        <f>AP37*300</f>
        <v>1800</v>
      </c>
      <c r="AR37" s="156">
        <v>28</v>
      </c>
      <c r="AS37" s="156">
        <f t="shared" ref="AS37:AS43" si="69">AR37*300</f>
        <v>8400</v>
      </c>
      <c r="AT37" s="156">
        <v>30</v>
      </c>
      <c r="AU37" s="156">
        <f>AT37*300</f>
        <v>9000</v>
      </c>
      <c r="AV37" s="156">
        <v>30</v>
      </c>
      <c r="AW37" s="156">
        <f>AV37*300</f>
        <v>9000</v>
      </c>
      <c r="AX37" s="156">
        <v>30</v>
      </c>
      <c r="AY37" s="156">
        <f>AX37*300</f>
        <v>9000</v>
      </c>
      <c r="AZ37" s="156">
        <v>30</v>
      </c>
      <c r="BA37" s="156">
        <f t="shared" ref="BA37:BA43" si="70">AZ37*300</f>
        <v>9000</v>
      </c>
      <c r="BB37" s="156">
        <v>45</v>
      </c>
      <c r="BC37" s="156">
        <f t="shared" ref="BC37:BC43" si="71">BB37*300</f>
        <v>13500</v>
      </c>
      <c r="BD37" s="156">
        <v>60</v>
      </c>
      <c r="BE37" s="156">
        <f>BD37*300</f>
        <v>18000</v>
      </c>
      <c r="BF37" s="156">
        <v>30</v>
      </c>
      <c r="BG37" s="156">
        <f>BF37*300</f>
        <v>9000</v>
      </c>
      <c r="BH37" s="216">
        <v>0</v>
      </c>
      <c r="BI37" s="156">
        <f t="shared" ref="BI37:BI43" si="72">BH37*300</f>
        <v>0</v>
      </c>
      <c r="BJ37" s="216">
        <f t="shared" si="57"/>
        <v>545</v>
      </c>
      <c r="BK37" s="156">
        <f t="shared" si="57"/>
        <v>163500</v>
      </c>
      <c r="BL37" s="85"/>
      <c r="BM37" s="85"/>
      <c r="BN37" s="85"/>
      <c r="BO37" s="117"/>
      <c r="BP37" s="321" t="s">
        <v>467</v>
      </c>
      <c r="BR37" s="113"/>
      <c r="BS37" s="113">
        <f t="shared" si="58"/>
        <v>163500</v>
      </c>
      <c r="BT37" s="113"/>
      <c r="BU37" s="113"/>
      <c r="BV37" s="176">
        <f t="shared" ref="BV37:BV43" si="73">BR37+BS37+BT37+BU37</f>
        <v>163500</v>
      </c>
      <c r="BW37" s="113"/>
      <c r="BX37" s="113"/>
      <c r="BY37" s="113">
        <f>BW37+BX37</f>
        <v>0</v>
      </c>
      <c r="BZ37" s="177">
        <f t="shared" si="1"/>
        <v>163500</v>
      </c>
    </row>
    <row r="38" spans="1:78" ht="32.25" customHeight="1" x14ac:dyDescent="0.25">
      <c r="A38" s="877"/>
      <c r="B38" s="215">
        <v>11430</v>
      </c>
      <c r="C38" s="167" t="s">
        <v>86</v>
      </c>
      <c r="D38" s="167" t="s">
        <v>79</v>
      </c>
      <c r="E38" s="167">
        <f>0.003*100000</f>
        <v>300</v>
      </c>
      <c r="F38" s="641">
        <f t="shared" si="59"/>
        <v>545</v>
      </c>
      <c r="G38" s="156">
        <f t="shared" si="46"/>
        <v>163500</v>
      </c>
      <c r="H38" s="156">
        <f t="shared" si="47"/>
        <v>32700</v>
      </c>
      <c r="I38" s="156">
        <f t="shared" si="48"/>
        <v>130800</v>
      </c>
      <c r="J38" s="156">
        <f>G38*0</f>
        <v>0</v>
      </c>
      <c r="K38" s="156"/>
      <c r="L38" s="156"/>
      <c r="M38" s="156">
        <f>G38*0</f>
        <v>0</v>
      </c>
      <c r="N38" s="156">
        <f>G38*0</f>
        <v>0</v>
      </c>
      <c r="O38" s="156">
        <f>G38*0</f>
        <v>0</v>
      </c>
      <c r="P38" s="156">
        <f>G38*0</f>
        <v>0</v>
      </c>
      <c r="Q38" s="156">
        <f>G38*0</f>
        <v>0</v>
      </c>
      <c r="R38" s="156">
        <f t="shared" si="60"/>
        <v>54.5</v>
      </c>
      <c r="S38" s="216">
        <f t="shared" si="61"/>
        <v>136.25</v>
      </c>
      <c r="T38" s="216">
        <f t="shared" si="62"/>
        <v>190.75</v>
      </c>
      <c r="U38" s="216">
        <f t="shared" si="63"/>
        <v>163.5</v>
      </c>
      <c r="V38" s="156">
        <f t="shared" si="64"/>
        <v>16350</v>
      </c>
      <c r="W38" s="156">
        <f t="shared" si="65"/>
        <v>40875</v>
      </c>
      <c r="X38" s="156">
        <f t="shared" si="66"/>
        <v>57225</v>
      </c>
      <c r="Y38" s="156">
        <f t="shared" si="67"/>
        <v>49050</v>
      </c>
      <c r="Z38" s="156">
        <v>30</v>
      </c>
      <c r="AA38" s="156">
        <f>Z38*300</f>
        <v>9000</v>
      </c>
      <c r="AB38" s="156">
        <v>21</v>
      </c>
      <c r="AC38" s="156">
        <f>AB38*300</f>
        <v>6300</v>
      </c>
      <c r="AD38" s="156">
        <v>30</v>
      </c>
      <c r="AE38" s="156">
        <f>AD38*300</f>
        <v>9000</v>
      </c>
      <c r="AF38" s="156">
        <v>51</v>
      </c>
      <c r="AG38" s="156">
        <f>AF38*300</f>
        <v>15300</v>
      </c>
      <c r="AH38" s="156">
        <v>22</v>
      </c>
      <c r="AI38" s="156">
        <f>AH38*300</f>
        <v>6600</v>
      </c>
      <c r="AJ38" s="156">
        <v>30</v>
      </c>
      <c r="AK38" s="156">
        <f t="shared" si="68"/>
        <v>9000</v>
      </c>
      <c r="AL38" s="156">
        <v>22</v>
      </c>
      <c r="AM38" s="156">
        <f>AL38*300</f>
        <v>6600</v>
      </c>
      <c r="AN38" s="156">
        <v>50</v>
      </c>
      <c r="AO38" s="156">
        <f>AN38*300</f>
        <v>15000</v>
      </c>
      <c r="AP38" s="156">
        <v>6</v>
      </c>
      <c r="AQ38" s="156">
        <f>AP38*300</f>
        <v>1800</v>
      </c>
      <c r="AR38" s="156">
        <v>28</v>
      </c>
      <c r="AS38" s="156">
        <f t="shared" si="69"/>
        <v>8400</v>
      </c>
      <c r="AT38" s="156">
        <v>30</v>
      </c>
      <c r="AU38" s="156">
        <f>AT38*300</f>
        <v>9000</v>
      </c>
      <c r="AV38" s="156">
        <v>30</v>
      </c>
      <c r="AW38" s="156">
        <f>AV38*300</f>
        <v>9000</v>
      </c>
      <c r="AX38" s="156">
        <v>30</v>
      </c>
      <c r="AY38" s="156">
        <f>AX38*300</f>
        <v>9000</v>
      </c>
      <c r="AZ38" s="156">
        <v>30</v>
      </c>
      <c r="BA38" s="156">
        <f t="shared" si="70"/>
        <v>9000</v>
      </c>
      <c r="BB38" s="156">
        <v>45</v>
      </c>
      <c r="BC38" s="156">
        <f t="shared" si="71"/>
        <v>13500</v>
      </c>
      <c r="BD38" s="156">
        <v>60</v>
      </c>
      <c r="BE38" s="156">
        <f>BD38*300</f>
        <v>18000</v>
      </c>
      <c r="BF38" s="156">
        <v>30</v>
      </c>
      <c r="BG38" s="156">
        <f>BF38*300</f>
        <v>9000</v>
      </c>
      <c r="BH38" s="216">
        <v>0</v>
      </c>
      <c r="BI38" s="156">
        <f t="shared" si="72"/>
        <v>0</v>
      </c>
      <c r="BJ38" s="216">
        <f t="shared" si="57"/>
        <v>545</v>
      </c>
      <c r="BK38" s="156">
        <f t="shared" si="57"/>
        <v>163500</v>
      </c>
      <c r="BL38" s="85"/>
      <c r="BM38" s="85"/>
      <c r="BN38" s="85"/>
      <c r="BO38" s="117"/>
      <c r="BP38" s="321" t="s">
        <v>467</v>
      </c>
      <c r="BR38" s="113"/>
      <c r="BS38" s="113">
        <f t="shared" si="58"/>
        <v>163500</v>
      </c>
      <c r="BT38" s="113"/>
      <c r="BU38" s="113"/>
      <c r="BV38" s="176">
        <f t="shared" si="73"/>
        <v>163500</v>
      </c>
      <c r="BW38" s="113"/>
      <c r="BX38" s="113"/>
      <c r="BY38" s="113">
        <f>BW38+BX38</f>
        <v>0</v>
      </c>
      <c r="BZ38" s="177">
        <f t="shared" si="1"/>
        <v>163500</v>
      </c>
    </row>
    <row r="39" spans="1:78" ht="32.25" customHeight="1" x14ac:dyDescent="0.25">
      <c r="A39" s="877"/>
      <c r="B39" s="215"/>
      <c r="C39" s="581" t="s">
        <v>773</v>
      </c>
      <c r="D39" s="167" t="s">
        <v>79</v>
      </c>
      <c r="E39" s="776">
        <v>600</v>
      </c>
      <c r="F39" s="214">
        <f t="shared" si="59"/>
        <v>650</v>
      </c>
      <c r="G39" s="156">
        <f t="shared" si="46"/>
        <v>390000</v>
      </c>
      <c r="H39" s="156">
        <f>G39*0.2</f>
        <v>78000</v>
      </c>
      <c r="I39" s="156">
        <f>G39*0.8</f>
        <v>312000</v>
      </c>
      <c r="J39" s="156"/>
      <c r="K39" s="156"/>
      <c r="L39" s="156"/>
      <c r="M39" s="156"/>
      <c r="N39" s="156"/>
      <c r="O39" s="156"/>
      <c r="P39" s="156"/>
      <c r="Q39" s="156"/>
      <c r="R39" s="156">
        <f t="shared" si="60"/>
        <v>65</v>
      </c>
      <c r="S39" s="216">
        <f t="shared" si="61"/>
        <v>162.5</v>
      </c>
      <c r="T39" s="216">
        <f t="shared" si="62"/>
        <v>227.49999999999997</v>
      </c>
      <c r="U39" s="216">
        <f t="shared" si="63"/>
        <v>195</v>
      </c>
      <c r="V39" s="156">
        <f t="shared" si="64"/>
        <v>39000</v>
      </c>
      <c r="W39" s="156">
        <f t="shared" si="65"/>
        <v>97500</v>
      </c>
      <c r="X39" s="156">
        <f t="shared" si="66"/>
        <v>136499.99999999997</v>
      </c>
      <c r="Y39" s="156">
        <f t="shared" si="67"/>
        <v>117000</v>
      </c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216">
        <v>650</v>
      </c>
      <c r="BI39" s="156">
        <f>BH39*E39</f>
        <v>390000</v>
      </c>
      <c r="BJ39" s="216">
        <f t="shared" si="57"/>
        <v>650</v>
      </c>
      <c r="BK39" s="156">
        <f>AA39+AC39+AE39+AG39+AI39+AK39+AM39+AO39+AQ39+AS39+AU39+AW39+AY39+BA39+BC39+BE39+BG39+BI39</f>
        <v>390000</v>
      </c>
      <c r="BL39" s="85"/>
      <c r="BM39" s="85"/>
      <c r="BN39" s="85"/>
      <c r="BO39" s="117"/>
      <c r="BP39" s="321" t="s">
        <v>467</v>
      </c>
      <c r="BR39" s="113"/>
      <c r="BS39" s="113">
        <f t="shared" si="58"/>
        <v>390000</v>
      </c>
      <c r="BT39" s="113"/>
      <c r="BU39" s="113"/>
      <c r="BV39" s="176">
        <f t="shared" si="73"/>
        <v>390000</v>
      </c>
      <c r="BW39" s="113"/>
      <c r="BX39" s="113"/>
      <c r="BY39" s="113"/>
      <c r="BZ39" s="177">
        <f t="shared" si="1"/>
        <v>390000</v>
      </c>
    </row>
    <row r="40" spans="1:78" s="163" customFormat="1" ht="32.25" customHeight="1" x14ac:dyDescent="0.25">
      <c r="A40" s="877"/>
      <c r="B40" s="171"/>
      <c r="C40" s="317" t="s">
        <v>503</v>
      </c>
      <c r="D40" s="172" t="s">
        <v>79</v>
      </c>
      <c r="E40" s="172">
        <v>300</v>
      </c>
      <c r="F40" s="214">
        <f t="shared" si="59"/>
        <v>545</v>
      </c>
      <c r="G40" s="156">
        <f t="shared" si="46"/>
        <v>163500</v>
      </c>
      <c r="H40" s="156">
        <f t="shared" si="47"/>
        <v>32700</v>
      </c>
      <c r="I40" s="156">
        <f t="shared" si="48"/>
        <v>130800</v>
      </c>
      <c r="J40" s="156"/>
      <c r="K40" s="156"/>
      <c r="L40" s="156"/>
      <c r="M40" s="156"/>
      <c r="N40" s="156"/>
      <c r="O40" s="156"/>
      <c r="P40" s="156"/>
      <c r="Q40" s="156"/>
      <c r="R40" s="156">
        <f t="shared" si="60"/>
        <v>54.5</v>
      </c>
      <c r="S40" s="216">
        <f t="shared" si="61"/>
        <v>136.25</v>
      </c>
      <c r="T40" s="216">
        <f t="shared" si="62"/>
        <v>190.75</v>
      </c>
      <c r="U40" s="216">
        <f t="shared" si="63"/>
        <v>163.5</v>
      </c>
      <c r="V40" s="156">
        <f t="shared" si="64"/>
        <v>16350</v>
      </c>
      <c r="W40" s="156">
        <f t="shared" si="65"/>
        <v>40875</v>
      </c>
      <c r="X40" s="156">
        <f t="shared" si="66"/>
        <v>57225</v>
      </c>
      <c r="Y40" s="156">
        <f t="shared" si="67"/>
        <v>49050</v>
      </c>
      <c r="Z40" s="156">
        <v>30</v>
      </c>
      <c r="AA40" s="156">
        <f>Z40*300</f>
        <v>9000</v>
      </c>
      <c r="AB40" s="156">
        <v>21</v>
      </c>
      <c r="AC40" s="156">
        <f>AB40*300</f>
        <v>6300</v>
      </c>
      <c r="AD40" s="156">
        <v>30</v>
      </c>
      <c r="AE40" s="156">
        <f>AD40*300</f>
        <v>9000</v>
      </c>
      <c r="AF40" s="156">
        <v>51</v>
      </c>
      <c r="AG40" s="156">
        <f>AF40*300</f>
        <v>15300</v>
      </c>
      <c r="AH40" s="156">
        <v>22</v>
      </c>
      <c r="AI40" s="156">
        <f>AH40*300</f>
        <v>6600</v>
      </c>
      <c r="AJ40" s="156">
        <v>30</v>
      </c>
      <c r="AK40" s="156">
        <f t="shared" si="68"/>
        <v>9000</v>
      </c>
      <c r="AL40" s="156">
        <v>22</v>
      </c>
      <c r="AM40" s="156">
        <f>AL40*300</f>
        <v>6600</v>
      </c>
      <c r="AN40" s="156">
        <v>50</v>
      </c>
      <c r="AO40" s="156">
        <f>AN40*300</f>
        <v>15000</v>
      </c>
      <c r="AP40" s="156">
        <v>6</v>
      </c>
      <c r="AQ40" s="156">
        <f>AP40*300</f>
        <v>1800</v>
      </c>
      <c r="AR40" s="156">
        <v>28</v>
      </c>
      <c r="AS40" s="156">
        <f t="shared" si="69"/>
        <v>8400</v>
      </c>
      <c r="AT40" s="156">
        <v>30</v>
      </c>
      <c r="AU40" s="156">
        <f>AT40*300</f>
        <v>9000</v>
      </c>
      <c r="AV40" s="156">
        <v>30</v>
      </c>
      <c r="AW40" s="156">
        <f>AV40*300</f>
        <v>9000</v>
      </c>
      <c r="AX40" s="156">
        <v>30</v>
      </c>
      <c r="AY40" s="156">
        <f>AX40*300</f>
        <v>9000</v>
      </c>
      <c r="AZ40" s="156">
        <v>30</v>
      </c>
      <c r="BA40" s="156">
        <f t="shared" si="70"/>
        <v>9000</v>
      </c>
      <c r="BB40" s="156">
        <v>45</v>
      </c>
      <c r="BC40" s="156">
        <f t="shared" si="71"/>
        <v>13500</v>
      </c>
      <c r="BD40" s="156">
        <v>60</v>
      </c>
      <c r="BE40" s="156">
        <f>BD40*300</f>
        <v>18000</v>
      </c>
      <c r="BF40" s="156">
        <v>30</v>
      </c>
      <c r="BG40" s="156">
        <f>BF40*300</f>
        <v>9000</v>
      </c>
      <c r="BH40" s="216">
        <v>0</v>
      </c>
      <c r="BI40" s="156">
        <f t="shared" si="72"/>
        <v>0</v>
      </c>
      <c r="BJ40" s="216">
        <f t="shared" si="57"/>
        <v>545</v>
      </c>
      <c r="BK40" s="156">
        <f t="shared" si="57"/>
        <v>163500</v>
      </c>
      <c r="BL40" s="133"/>
      <c r="BM40" s="133"/>
      <c r="BN40" s="133"/>
      <c r="BO40" s="322"/>
      <c r="BP40" s="321" t="s">
        <v>467</v>
      </c>
      <c r="BR40" s="176"/>
      <c r="BS40" s="113">
        <f t="shared" si="58"/>
        <v>163500</v>
      </c>
      <c r="BT40" s="176"/>
      <c r="BU40" s="176"/>
      <c r="BV40" s="176">
        <f t="shared" si="73"/>
        <v>163500</v>
      </c>
      <c r="BW40" s="176"/>
      <c r="BX40" s="176"/>
      <c r="BY40" s="176"/>
      <c r="BZ40" s="177">
        <f t="shared" si="1"/>
        <v>163500</v>
      </c>
    </row>
    <row r="41" spans="1:78" s="163" customFormat="1" ht="32.25" customHeight="1" x14ac:dyDescent="0.25">
      <c r="A41" s="877"/>
      <c r="B41" s="171"/>
      <c r="C41" s="317" t="s">
        <v>771</v>
      </c>
      <c r="D41" s="172" t="s">
        <v>79</v>
      </c>
      <c r="E41" s="172">
        <v>150</v>
      </c>
      <c r="F41" s="214">
        <f t="shared" si="59"/>
        <v>545</v>
      </c>
      <c r="G41" s="156">
        <f t="shared" si="46"/>
        <v>81750</v>
      </c>
      <c r="H41" s="156">
        <f t="shared" si="47"/>
        <v>16350</v>
      </c>
      <c r="I41" s="156">
        <f t="shared" si="48"/>
        <v>65400</v>
      </c>
      <c r="J41" s="156"/>
      <c r="K41" s="156"/>
      <c r="L41" s="156"/>
      <c r="M41" s="156"/>
      <c r="N41" s="156"/>
      <c r="O41" s="156"/>
      <c r="P41" s="156"/>
      <c r="Q41" s="156"/>
      <c r="R41" s="156">
        <f t="shared" si="60"/>
        <v>54.5</v>
      </c>
      <c r="S41" s="216">
        <f t="shared" si="61"/>
        <v>136.25</v>
      </c>
      <c r="T41" s="216">
        <f t="shared" si="62"/>
        <v>190.75</v>
      </c>
      <c r="U41" s="216">
        <f t="shared" si="63"/>
        <v>163.5</v>
      </c>
      <c r="V41" s="156">
        <f t="shared" si="64"/>
        <v>8175</v>
      </c>
      <c r="W41" s="156">
        <f t="shared" si="65"/>
        <v>20437.5</v>
      </c>
      <c r="X41" s="156">
        <f t="shared" si="66"/>
        <v>28612.5</v>
      </c>
      <c r="Y41" s="156">
        <f t="shared" si="67"/>
        <v>24525</v>
      </c>
      <c r="Z41" s="156">
        <v>30</v>
      </c>
      <c r="AA41" s="156">
        <f>Z41*E41</f>
        <v>4500</v>
      </c>
      <c r="AB41" s="156">
        <v>21</v>
      </c>
      <c r="AC41" s="156">
        <f>AB41*150</f>
        <v>3150</v>
      </c>
      <c r="AD41" s="156">
        <v>30</v>
      </c>
      <c r="AE41" s="156">
        <f>AD41*150</f>
        <v>4500</v>
      </c>
      <c r="AF41" s="156">
        <v>51</v>
      </c>
      <c r="AG41" s="156">
        <f>AF41*150</f>
        <v>7650</v>
      </c>
      <c r="AH41" s="156">
        <v>22</v>
      </c>
      <c r="AI41" s="156">
        <f>AH41*150</f>
        <v>3300</v>
      </c>
      <c r="AJ41" s="156">
        <v>30</v>
      </c>
      <c r="AK41" s="156">
        <f>AJ41*150</f>
        <v>4500</v>
      </c>
      <c r="AL41" s="156">
        <v>22</v>
      </c>
      <c r="AM41" s="156">
        <f>AL41*150</f>
        <v>3300</v>
      </c>
      <c r="AN41" s="156">
        <v>50</v>
      </c>
      <c r="AO41" s="156">
        <f>AN41*150</f>
        <v>7500</v>
      </c>
      <c r="AP41" s="156">
        <v>6</v>
      </c>
      <c r="AQ41" s="156">
        <f>AP41*150</f>
        <v>900</v>
      </c>
      <c r="AR41" s="156">
        <v>28</v>
      </c>
      <c r="AS41" s="156">
        <f>AR41*150</f>
        <v>4200</v>
      </c>
      <c r="AT41" s="156">
        <v>30</v>
      </c>
      <c r="AU41" s="156">
        <f>AT41*150</f>
        <v>4500</v>
      </c>
      <c r="AV41" s="156">
        <v>30</v>
      </c>
      <c r="AW41" s="156">
        <f>AV41*150</f>
        <v>4500</v>
      </c>
      <c r="AX41" s="156">
        <v>30</v>
      </c>
      <c r="AY41" s="156">
        <f>AX41*150</f>
        <v>4500</v>
      </c>
      <c r="AZ41" s="156">
        <v>30</v>
      </c>
      <c r="BA41" s="156">
        <f>AZ41*150</f>
        <v>4500</v>
      </c>
      <c r="BB41" s="156">
        <v>45</v>
      </c>
      <c r="BC41" s="156">
        <f>BB41*150</f>
        <v>6750</v>
      </c>
      <c r="BD41" s="156">
        <v>60</v>
      </c>
      <c r="BE41" s="156">
        <f>BD41*150</f>
        <v>9000</v>
      </c>
      <c r="BF41" s="156">
        <v>30</v>
      </c>
      <c r="BG41" s="156">
        <f>BF41*150</f>
        <v>4500</v>
      </c>
      <c r="BH41" s="216">
        <v>0</v>
      </c>
      <c r="BI41" s="156">
        <f t="shared" si="72"/>
        <v>0</v>
      </c>
      <c r="BJ41" s="216">
        <f t="shared" si="57"/>
        <v>545</v>
      </c>
      <c r="BK41" s="156">
        <f t="shared" si="57"/>
        <v>81750</v>
      </c>
      <c r="BL41" s="133"/>
      <c r="BM41" s="133"/>
      <c r="BN41" s="133"/>
      <c r="BO41" s="322"/>
      <c r="BP41" s="321" t="s">
        <v>467</v>
      </c>
      <c r="BR41" s="176"/>
      <c r="BS41" s="113">
        <f t="shared" si="58"/>
        <v>81750</v>
      </c>
      <c r="BT41" s="176"/>
      <c r="BU41" s="176"/>
      <c r="BV41" s="176">
        <f t="shared" si="73"/>
        <v>81750</v>
      </c>
      <c r="BW41" s="176"/>
      <c r="BX41" s="176"/>
      <c r="BY41" s="176"/>
      <c r="BZ41" s="177">
        <f t="shared" si="1"/>
        <v>81750</v>
      </c>
    </row>
    <row r="42" spans="1:78" ht="32.25" customHeight="1" x14ac:dyDescent="0.25">
      <c r="A42" s="877"/>
      <c r="B42" s="215"/>
      <c r="C42" s="318" t="s">
        <v>747</v>
      </c>
      <c r="D42" s="167" t="s">
        <v>79</v>
      </c>
      <c r="E42" s="167">
        <v>300</v>
      </c>
      <c r="F42" s="214">
        <f t="shared" si="59"/>
        <v>545</v>
      </c>
      <c r="G42" s="156">
        <f t="shared" si="46"/>
        <v>163500</v>
      </c>
      <c r="H42" s="156">
        <f t="shared" si="47"/>
        <v>32700</v>
      </c>
      <c r="I42" s="156">
        <f t="shared" si="48"/>
        <v>130800</v>
      </c>
      <c r="J42" s="156"/>
      <c r="K42" s="156"/>
      <c r="L42" s="156"/>
      <c r="M42" s="156"/>
      <c r="N42" s="156"/>
      <c r="O42" s="156"/>
      <c r="P42" s="156"/>
      <c r="Q42" s="156"/>
      <c r="R42" s="156">
        <f t="shared" si="60"/>
        <v>54.5</v>
      </c>
      <c r="S42" s="216">
        <f t="shared" si="61"/>
        <v>136.25</v>
      </c>
      <c r="T42" s="216">
        <f t="shared" si="62"/>
        <v>190.75</v>
      </c>
      <c r="U42" s="216">
        <f t="shared" si="63"/>
        <v>163.5</v>
      </c>
      <c r="V42" s="156">
        <f t="shared" si="64"/>
        <v>16350</v>
      </c>
      <c r="W42" s="156">
        <f t="shared" si="65"/>
        <v>40875</v>
      </c>
      <c r="X42" s="156">
        <f t="shared" si="66"/>
        <v>57225</v>
      </c>
      <c r="Y42" s="156">
        <f t="shared" si="67"/>
        <v>49050</v>
      </c>
      <c r="Z42" s="156">
        <v>30</v>
      </c>
      <c r="AA42" s="156">
        <f>Z42*300</f>
        <v>9000</v>
      </c>
      <c r="AB42" s="156">
        <v>21</v>
      </c>
      <c r="AC42" s="156">
        <f>AB42*300</f>
        <v>6300</v>
      </c>
      <c r="AD42" s="156">
        <v>30</v>
      </c>
      <c r="AE42" s="156">
        <f>AD42*300</f>
        <v>9000</v>
      </c>
      <c r="AF42" s="156">
        <v>51</v>
      </c>
      <c r="AG42" s="156">
        <f>AF42*300</f>
        <v>15300</v>
      </c>
      <c r="AH42" s="156">
        <v>22</v>
      </c>
      <c r="AI42" s="156">
        <f>AH42*300</f>
        <v>6600</v>
      </c>
      <c r="AJ42" s="156">
        <v>30</v>
      </c>
      <c r="AK42" s="156">
        <f t="shared" si="68"/>
        <v>9000</v>
      </c>
      <c r="AL42" s="156">
        <v>22</v>
      </c>
      <c r="AM42" s="156">
        <f>AL42*300</f>
        <v>6600</v>
      </c>
      <c r="AN42" s="156">
        <v>50</v>
      </c>
      <c r="AO42" s="156">
        <f>AN42*300</f>
        <v>15000</v>
      </c>
      <c r="AP42" s="156">
        <v>6</v>
      </c>
      <c r="AQ42" s="156">
        <f>AP42*300</f>
        <v>1800</v>
      </c>
      <c r="AR42" s="156">
        <v>28</v>
      </c>
      <c r="AS42" s="156">
        <f t="shared" si="69"/>
        <v>8400</v>
      </c>
      <c r="AT42" s="156">
        <v>30</v>
      </c>
      <c r="AU42" s="156">
        <f>AT42*300</f>
        <v>9000</v>
      </c>
      <c r="AV42" s="156">
        <v>30</v>
      </c>
      <c r="AW42" s="156">
        <f>AV42*300</f>
        <v>9000</v>
      </c>
      <c r="AX42" s="156">
        <v>30</v>
      </c>
      <c r="AY42" s="156">
        <f>AX42*300</f>
        <v>9000</v>
      </c>
      <c r="AZ42" s="156">
        <v>30</v>
      </c>
      <c r="BA42" s="156">
        <f t="shared" si="70"/>
        <v>9000</v>
      </c>
      <c r="BB42" s="156">
        <v>45</v>
      </c>
      <c r="BC42" s="156">
        <f t="shared" si="71"/>
        <v>13500</v>
      </c>
      <c r="BD42" s="156">
        <v>60</v>
      </c>
      <c r="BE42" s="156">
        <f>BD42*300</f>
        <v>18000</v>
      </c>
      <c r="BF42" s="156">
        <v>30</v>
      </c>
      <c r="BG42" s="156">
        <f>BF42*300</f>
        <v>9000</v>
      </c>
      <c r="BH42" s="216">
        <v>0</v>
      </c>
      <c r="BI42" s="156">
        <f t="shared" si="72"/>
        <v>0</v>
      </c>
      <c r="BJ42" s="216">
        <f t="shared" si="57"/>
        <v>545</v>
      </c>
      <c r="BK42" s="156">
        <f>AA42+AC42+AE42+AG42+AI42+AK42+AM42+AO42+AQ42+AS42+AU42+AW42+AY42+BA42+BC42+BE42+BG42+BI42</f>
        <v>163500</v>
      </c>
      <c r="BL42" s="85"/>
      <c r="BM42" s="85"/>
      <c r="BN42" s="85"/>
      <c r="BO42" s="117"/>
      <c r="BP42" s="321" t="s">
        <v>467</v>
      </c>
      <c r="BR42" s="113"/>
      <c r="BS42" s="113">
        <f t="shared" si="58"/>
        <v>163500</v>
      </c>
      <c r="BT42" s="113"/>
      <c r="BU42" s="113"/>
      <c r="BV42" s="176">
        <f t="shared" si="73"/>
        <v>163500</v>
      </c>
      <c r="BW42" s="113"/>
      <c r="BX42" s="113"/>
      <c r="BY42" s="113"/>
      <c r="BZ42" s="177">
        <f t="shared" si="1"/>
        <v>163500</v>
      </c>
    </row>
    <row r="43" spans="1:78" ht="32.25" customHeight="1" x14ac:dyDescent="0.25">
      <c r="A43" s="877"/>
      <c r="B43" s="215"/>
      <c r="C43" s="319" t="s">
        <v>504</v>
      </c>
      <c r="D43" s="167" t="s">
        <v>79</v>
      </c>
      <c r="E43" s="167">
        <v>300</v>
      </c>
      <c r="F43" s="214">
        <f t="shared" si="59"/>
        <v>545</v>
      </c>
      <c r="G43" s="156">
        <f t="shared" si="46"/>
        <v>163500</v>
      </c>
      <c r="H43" s="156">
        <f t="shared" si="47"/>
        <v>32700</v>
      </c>
      <c r="I43" s="156">
        <f t="shared" si="48"/>
        <v>130800</v>
      </c>
      <c r="J43" s="156"/>
      <c r="K43" s="156"/>
      <c r="L43" s="156"/>
      <c r="M43" s="156"/>
      <c r="N43" s="156"/>
      <c r="O43" s="156"/>
      <c r="P43" s="156"/>
      <c r="Q43" s="156"/>
      <c r="R43" s="156">
        <f t="shared" si="60"/>
        <v>54.5</v>
      </c>
      <c r="S43" s="216">
        <f t="shared" si="61"/>
        <v>136.25</v>
      </c>
      <c r="T43" s="216">
        <f t="shared" si="62"/>
        <v>190.75</v>
      </c>
      <c r="U43" s="216">
        <f t="shared" si="63"/>
        <v>163.5</v>
      </c>
      <c r="V43" s="156">
        <f t="shared" si="64"/>
        <v>16350</v>
      </c>
      <c r="W43" s="156">
        <f t="shared" si="65"/>
        <v>40875</v>
      </c>
      <c r="X43" s="156">
        <f t="shared" si="66"/>
        <v>57225</v>
      </c>
      <c r="Y43" s="156">
        <f t="shared" si="67"/>
        <v>49050</v>
      </c>
      <c r="Z43" s="156">
        <v>30</v>
      </c>
      <c r="AA43" s="156">
        <f>Z43*300</f>
        <v>9000</v>
      </c>
      <c r="AB43" s="156">
        <v>21</v>
      </c>
      <c r="AC43" s="156">
        <f>AB43*300</f>
        <v>6300</v>
      </c>
      <c r="AD43" s="156">
        <v>30</v>
      </c>
      <c r="AE43" s="156">
        <f>AD43*300</f>
        <v>9000</v>
      </c>
      <c r="AF43" s="156">
        <v>51</v>
      </c>
      <c r="AG43" s="156">
        <f>AF43*300</f>
        <v>15300</v>
      </c>
      <c r="AH43" s="156">
        <v>22</v>
      </c>
      <c r="AI43" s="156">
        <f>AH43*300</f>
        <v>6600</v>
      </c>
      <c r="AJ43" s="156">
        <v>30</v>
      </c>
      <c r="AK43" s="156">
        <f t="shared" si="68"/>
        <v>9000</v>
      </c>
      <c r="AL43" s="156">
        <v>22</v>
      </c>
      <c r="AM43" s="156">
        <f>AL43*300</f>
        <v>6600</v>
      </c>
      <c r="AN43" s="156">
        <v>50</v>
      </c>
      <c r="AO43" s="156">
        <f>AN43*300</f>
        <v>15000</v>
      </c>
      <c r="AP43" s="156">
        <v>6</v>
      </c>
      <c r="AQ43" s="156">
        <f>AP43*300</f>
        <v>1800</v>
      </c>
      <c r="AR43" s="156">
        <v>28</v>
      </c>
      <c r="AS43" s="156">
        <f t="shared" si="69"/>
        <v>8400</v>
      </c>
      <c r="AT43" s="156">
        <v>30</v>
      </c>
      <c r="AU43" s="156">
        <f>AT43*300</f>
        <v>9000</v>
      </c>
      <c r="AV43" s="156">
        <v>30</v>
      </c>
      <c r="AW43" s="156">
        <f>AV43*300</f>
        <v>9000</v>
      </c>
      <c r="AX43" s="156">
        <v>30</v>
      </c>
      <c r="AY43" s="156">
        <f>AX43*300</f>
        <v>9000</v>
      </c>
      <c r="AZ43" s="156">
        <v>30</v>
      </c>
      <c r="BA43" s="156">
        <f t="shared" si="70"/>
        <v>9000</v>
      </c>
      <c r="BB43" s="156">
        <v>45</v>
      </c>
      <c r="BC43" s="156">
        <f t="shared" si="71"/>
        <v>13500</v>
      </c>
      <c r="BD43" s="156">
        <v>60</v>
      </c>
      <c r="BE43" s="156">
        <f>BD43*300</f>
        <v>18000</v>
      </c>
      <c r="BF43" s="156">
        <v>30</v>
      </c>
      <c r="BG43" s="156">
        <f>BF43*300</f>
        <v>9000</v>
      </c>
      <c r="BH43" s="216">
        <v>0</v>
      </c>
      <c r="BI43" s="156">
        <f t="shared" si="72"/>
        <v>0</v>
      </c>
      <c r="BJ43" s="216">
        <f t="shared" si="57"/>
        <v>545</v>
      </c>
      <c r="BK43" s="156">
        <f>AA43+AC43+AE43+AG43+AI43+AK43+AM43+AO43+AQ43+AS43+AU43+AW43+AY43+BA43+BC43+BE43+BG43+BI43</f>
        <v>163500</v>
      </c>
      <c r="BL43" s="85"/>
      <c r="BM43" s="85"/>
      <c r="BN43" s="85"/>
      <c r="BO43" s="117"/>
      <c r="BP43" s="321" t="s">
        <v>467</v>
      </c>
      <c r="BR43" s="113"/>
      <c r="BS43" s="113">
        <f t="shared" si="58"/>
        <v>163500</v>
      </c>
      <c r="BT43" s="113"/>
      <c r="BU43" s="113"/>
      <c r="BV43" s="176">
        <f t="shared" si="73"/>
        <v>163500</v>
      </c>
      <c r="BW43" s="113"/>
      <c r="BX43" s="113"/>
      <c r="BY43" s="113"/>
      <c r="BZ43" s="177">
        <f t="shared" si="1"/>
        <v>163500</v>
      </c>
    </row>
    <row r="44" spans="1:78" s="579" customFormat="1" ht="32.25" customHeight="1" x14ac:dyDescent="0.25">
      <c r="A44" s="877"/>
      <c r="B44" s="62"/>
      <c r="C44" s="139" t="s">
        <v>36</v>
      </c>
      <c r="D44" s="139"/>
      <c r="E44" s="170"/>
      <c r="F44" s="575">
        <f>SUM(F36:F43)</f>
        <v>3985</v>
      </c>
      <c r="G44" s="170">
        <f t="shared" ref="G44:BK44" si="74">SUM(G36:G43)</f>
        <v>1299000</v>
      </c>
      <c r="H44" s="170">
        <f t="shared" si="74"/>
        <v>259800</v>
      </c>
      <c r="I44" s="170">
        <f t="shared" si="74"/>
        <v>1039200</v>
      </c>
      <c r="J44" s="170">
        <f t="shared" si="74"/>
        <v>0</v>
      </c>
      <c r="K44" s="170">
        <f t="shared" si="74"/>
        <v>0</v>
      </c>
      <c r="L44" s="170">
        <f t="shared" si="74"/>
        <v>0</v>
      </c>
      <c r="M44" s="170">
        <f t="shared" si="74"/>
        <v>0</v>
      </c>
      <c r="N44" s="170">
        <f t="shared" si="74"/>
        <v>0</v>
      </c>
      <c r="O44" s="170">
        <f t="shared" si="74"/>
        <v>0</v>
      </c>
      <c r="P44" s="170">
        <f t="shared" si="74"/>
        <v>0</v>
      </c>
      <c r="Q44" s="170">
        <f t="shared" si="74"/>
        <v>0</v>
      </c>
      <c r="R44" s="575">
        <f>SUM(R36:R43)</f>
        <v>398.5</v>
      </c>
      <c r="S44" s="575">
        <f t="shared" si="74"/>
        <v>996.25</v>
      </c>
      <c r="T44" s="575">
        <f t="shared" si="74"/>
        <v>1394.75</v>
      </c>
      <c r="U44" s="575">
        <f t="shared" si="74"/>
        <v>1195.5</v>
      </c>
      <c r="V44" s="170">
        <f t="shared" si="74"/>
        <v>129900</v>
      </c>
      <c r="W44" s="170">
        <f t="shared" si="74"/>
        <v>324750</v>
      </c>
      <c r="X44" s="170">
        <f t="shared" si="74"/>
        <v>454650</v>
      </c>
      <c r="Y44" s="170">
        <f t="shared" si="74"/>
        <v>389700</v>
      </c>
      <c r="Z44" s="170">
        <f t="shared" si="74"/>
        <v>180</v>
      </c>
      <c r="AA44" s="170">
        <f t="shared" si="74"/>
        <v>49500</v>
      </c>
      <c r="AB44" s="170">
        <f t="shared" si="74"/>
        <v>126</v>
      </c>
      <c r="AC44" s="170">
        <f t="shared" si="74"/>
        <v>34650</v>
      </c>
      <c r="AD44" s="170">
        <f t="shared" si="74"/>
        <v>180</v>
      </c>
      <c r="AE44" s="170">
        <f t="shared" si="74"/>
        <v>49500</v>
      </c>
      <c r="AF44" s="170">
        <f t="shared" si="74"/>
        <v>306</v>
      </c>
      <c r="AG44" s="170">
        <f t="shared" si="74"/>
        <v>84150</v>
      </c>
      <c r="AH44" s="170">
        <f t="shared" si="74"/>
        <v>132</v>
      </c>
      <c r="AI44" s="170">
        <f t="shared" si="74"/>
        <v>36300</v>
      </c>
      <c r="AJ44" s="170">
        <f t="shared" si="74"/>
        <v>180</v>
      </c>
      <c r="AK44" s="170">
        <f t="shared" si="74"/>
        <v>49500</v>
      </c>
      <c r="AL44" s="170">
        <f t="shared" si="74"/>
        <v>132</v>
      </c>
      <c r="AM44" s="170">
        <f t="shared" si="74"/>
        <v>36300</v>
      </c>
      <c r="AN44" s="170">
        <f t="shared" si="74"/>
        <v>320</v>
      </c>
      <c r="AO44" s="170">
        <f t="shared" si="74"/>
        <v>85500</v>
      </c>
      <c r="AP44" s="170">
        <f t="shared" si="74"/>
        <v>36</v>
      </c>
      <c r="AQ44" s="170">
        <f t="shared" si="74"/>
        <v>9900</v>
      </c>
      <c r="AR44" s="170">
        <f t="shared" si="74"/>
        <v>168</v>
      </c>
      <c r="AS44" s="170">
        <f t="shared" si="74"/>
        <v>46200</v>
      </c>
      <c r="AT44" s="170">
        <f t="shared" si="74"/>
        <v>180</v>
      </c>
      <c r="AU44" s="170">
        <f t="shared" si="74"/>
        <v>49500</v>
      </c>
      <c r="AV44" s="170">
        <f t="shared" si="74"/>
        <v>180</v>
      </c>
      <c r="AW44" s="170">
        <f t="shared" si="74"/>
        <v>49500</v>
      </c>
      <c r="AX44" s="170">
        <f t="shared" si="74"/>
        <v>180</v>
      </c>
      <c r="AY44" s="170">
        <f t="shared" si="74"/>
        <v>49500</v>
      </c>
      <c r="AZ44" s="170">
        <f t="shared" si="74"/>
        <v>180</v>
      </c>
      <c r="BA44" s="170">
        <f t="shared" si="74"/>
        <v>49500</v>
      </c>
      <c r="BB44" s="170">
        <f t="shared" si="74"/>
        <v>285</v>
      </c>
      <c r="BC44" s="170">
        <f t="shared" si="74"/>
        <v>76500</v>
      </c>
      <c r="BD44" s="170">
        <f t="shared" si="74"/>
        <v>390</v>
      </c>
      <c r="BE44" s="170">
        <f t="shared" si="74"/>
        <v>103500</v>
      </c>
      <c r="BF44" s="170">
        <f t="shared" si="74"/>
        <v>180</v>
      </c>
      <c r="BG44" s="170">
        <f t="shared" si="74"/>
        <v>49500</v>
      </c>
      <c r="BH44" s="575">
        <f t="shared" si="74"/>
        <v>650</v>
      </c>
      <c r="BI44" s="170">
        <f t="shared" si="74"/>
        <v>390000</v>
      </c>
      <c r="BJ44" s="170">
        <f t="shared" si="74"/>
        <v>3985</v>
      </c>
      <c r="BK44" s="170">
        <f t="shared" si="74"/>
        <v>1299000</v>
      </c>
      <c r="BL44" s="139"/>
      <c r="BM44" s="576"/>
      <c r="BN44" s="139"/>
      <c r="BO44" s="577"/>
      <c r="BP44" s="576"/>
      <c r="BR44" s="566">
        <f>SUM(BR36:BR38)</f>
        <v>0</v>
      </c>
      <c r="BS44" s="566">
        <f>SUM(BS36:BS43)</f>
        <v>1299000</v>
      </c>
      <c r="BT44" s="566">
        <f t="shared" ref="BT44:BZ44" si="75">SUM(BT36:BT43)</f>
        <v>0</v>
      </c>
      <c r="BU44" s="566">
        <f t="shared" si="75"/>
        <v>0</v>
      </c>
      <c r="BV44" s="566">
        <f t="shared" si="75"/>
        <v>1299000</v>
      </c>
      <c r="BW44" s="566">
        <f t="shared" si="75"/>
        <v>0</v>
      </c>
      <c r="BX44" s="566">
        <f t="shared" si="75"/>
        <v>0</v>
      </c>
      <c r="BY44" s="566">
        <f t="shared" si="75"/>
        <v>0</v>
      </c>
      <c r="BZ44" s="566">
        <f t="shared" si="75"/>
        <v>1299000</v>
      </c>
    </row>
    <row r="45" spans="1:78" ht="32.25" customHeight="1" x14ac:dyDescent="0.25">
      <c r="A45" s="877"/>
      <c r="B45" s="215">
        <v>11500</v>
      </c>
      <c r="C45" s="562" t="s">
        <v>87</v>
      </c>
      <c r="D45" s="144"/>
      <c r="E45" s="290"/>
      <c r="F45" s="156"/>
      <c r="G45" s="156"/>
      <c r="H45" s="156"/>
      <c r="I45" s="156"/>
      <c r="J45" s="156"/>
      <c r="K45" s="156"/>
      <c r="L45" s="156"/>
      <c r="M45" s="156"/>
      <c r="N45" s="156"/>
      <c r="O45" s="290"/>
      <c r="P45" s="290"/>
      <c r="Q45" s="290"/>
      <c r="R45" s="156"/>
      <c r="S45" s="156"/>
      <c r="T45" s="156"/>
      <c r="U45" s="156"/>
      <c r="V45" s="290"/>
      <c r="W45" s="290"/>
      <c r="X45" s="167"/>
      <c r="Y45" s="167"/>
      <c r="Z45" s="156"/>
      <c r="AA45" s="167"/>
      <c r="AB45" s="156"/>
      <c r="AC45" s="167"/>
      <c r="AD45" s="156"/>
      <c r="AE45" s="167"/>
      <c r="AF45" s="156"/>
      <c r="AG45" s="167"/>
      <c r="AH45" s="156"/>
      <c r="AI45" s="167"/>
      <c r="AJ45" s="156"/>
      <c r="AK45" s="167"/>
      <c r="AL45" s="156"/>
      <c r="AM45" s="167"/>
      <c r="AN45" s="156"/>
      <c r="AO45" s="167"/>
      <c r="AP45" s="156"/>
      <c r="AQ45" s="167"/>
      <c r="AR45" s="156"/>
      <c r="AS45" s="167"/>
      <c r="AT45" s="156"/>
      <c r="AU45" s="167"/>
      <c r="AV45" s="156"/>
      <c r="AW45" s="167"/>
      <c r="AX45" s="156"/>
      <c r="AY45" s="167"/>
      <c r="AZ45" s="156"/>
      <c r="BA45" s="167"/>
      <c r="BB45" s="156"/>
      <c r="BC45" s="167"/>
      <c r="BD45" s="156"/>
      <c r="BE45" s="167"/>
      <c r="BF45" s="156"/>
      <c r="BG45" s="167"/>
      <c r="BH45" s="156"/>
      <c r="BI45" s="167"/>
      <c r="BJ45" s="216"/>
      <c r="BK45" s="156"/>
      <c r="BL45" s="85"/>
      <c r="BM45" s="85"/>
      <c r="BN45" s="85"/>
      <c r="BO45" s="117"/>
      <c r="BP45" s="85"/>
      <c r="BR45" s="113"/>
      <c r="BS45" s="113"/>
      <c r="BT45" s="113"/>
      <c r="BU45" s="113"/>
      <c r="BV45" s="113"/>
      <c r="BW45" s="113"/>
      <c r="BX45" s="113"/>
      <c r="BY45" s="113"/>
      <c r="BZ45" s="217">
        <f t="shared" si="1"/>
        <v>0</v>
      </c>
    </row>
    <row r="46" spans="1:78" s="163" customFormat="1" ht="32.25" customHeight="1" x14ac:dyDescent="0.25">
      <c r="A46" s="877"/>
      <c r="B46" s="171"/>
      <c r="C46" s="172" t="s">
        <v>704</v>
      </c>
      <c r="D46" s="582" t="s">
        <v>17</v>
      </c>
      <c r="E46" s="174">
        <v>19380999</v>
      </c>
      <c r="F46" s="174">
        <f>BJ46</f>
        <v>0</v>
      </c>
      <c r="G46" s="174">
        <f>F46*E46</f>
        <v>0</v>
      </c>
      <c r="H46" s="174">
        <f>G46*0.2</f>
        <v>0</v>
      </c>
      <c r="I46" s="174">
        <f>G46*0.8</f>
        <v>0</v>
      </c>
      <c r="J46" s="583"/>
      <c r="K46" s="583"/>
      <c r="L46" s="583"/>
      <c r="M46" s="583"/>
      <c r="N46" s="583"/>
      <c r="O46" s="583"/>
      <c r="P46" s="583"/>
      <c r="Q46" s="583"/>
      <c r="R46" s="156">
        <f t="shared" ref="R46" si="76">F46*0.1</f>
        <v>0</v>
      </c>
      <c r="S46" s="216">
        <f t="shared" ref="S46" si="77">F46*0.25</f>
        <v>0</v>
      </c>
      <c r="T46" s="216">
        <f t="shared" ref="T46" si="78">F46*0.35</f>
        <v>0</v>
      </c>
      <c r="U46" s="216">
        <f t="shared" ref="U46" si="79">F46*0.3</f>
        <v>0</v>
      </c>
      <c r="V46" s="156">
        <f t="shared" ref="V46" si="80">R46*E46</f>
        <v>0</v>
      </c>
      <c r="W46" s="156">
        <f t="shared" ref="W46" si="81">S46*E46</f>
        <v>0</v>
      </c>
      <c r="X46" s="156">
        <f t="shared" ref="X46" si="82">T46*E46</f>
        <v>0</v>
      </c>
      <c r="Y46" s="156">
        <f t="shared" ref="Y46" si="83">U46*E46</f>
        <v>0</v>
      </c>
      <c r="Z46" s="174"/>
      <c r="AA46" s="172"/>
      <c r="AB46" s="174"/>
      <c r="AC46" s="172"/>
      <c r="AD46" s="174"/>
      <c r="AE46" s="172"/>
      <c r="AF46" s="174"/>
      <c r="AG46" s="172"/>
      <c r="AH46" s="174"/>
      <c r="AI46" s="172"/>
      <c r="AJ46" s="174"/>
      <c r="AK46" s="172"/>
      <c r="AL46" s="174"/>
      <c r="AM46" s="172"/>
      <c r="AN46" s="174"/>
      <c r="AO46" s="172"/>
      <c r="AP46" s="174"/>
      <c r="AQ46" s="172"/>
      <c r="AR46" s="174"/>
      <c r="AS46" s="172"/>
      <c r="AT46" s="174"/>
      <c r="AU46" s="172"/>
      <c r="AV46" s="174"/>
      <c r="AW46" s="172"/>
      <c r="AX46" s="174"/>
      <c r="AY46" s="172"/>
      <c r="AZ46" s="174"/>
      <c r="BA46" s="172"/>
      <c r="BB46" s="174"/>
      <c r="BC46" s="172"/>
      <c r="BD46" s="174"/>
      <c r="BE46" s="172"/>
      <c r="BF46" s="174"/>
      <c r="BG46" s="172"/>
      <c r="BH46" s="174">
        <v>0</v>
      </c>
      <c r="BI46" s="174">
        <f>BH46*E46</f>
        <v>0</v>
      </c>
      <c r="BJ46" s="216">
        <f>Z46+AB46+AD46+AF46+AH46+AJ46+AL46+AN46+AP46+AR46+AT46+AV46+AX46+AZ46+BB46+BD46+BF46+BH46</f>
        <v>0</v>
      </c>
      <c r="BK46" s="156">
        <f>AA46+AC46+AE46+AG46+AI46+AK46+AM46+AO46+AQ46+AS46+AU46+AW46+AY46+BA46+BC46+BE46+BG46+BI46</f>
        <v>0</v>
      </c>
      <c r="BL46" s="133"/>
      <c r="BM46" s="133"/>
      <c r="BN46" s="133"/>
      <c r="BO46" s="322"/>
      <c r="BP46" s="320" t="s">
        <v>467</v>
      </c>
      <c r="BR46" s="176"/>
      <c r="BS46" s="176">
        <f t="shared" ref="BS46:BS51" si="84">G46</f>
        <v>0</v>
      </c>
      <c r="BT46" s="176"/>
      <c r="BU46" s="176"/>
      <c r="BV46" s="176">
        <f t="shared" ref="BV46:BV51" si="85">BR46+BS46+BT46+BU46</f>
        <v>0</v>
      </c>
      <c r="BW46" s="176"/>
      <c r="BX46" s="176"/>
      <c r="BY46" s="176"/>
      <c r="BZ46" s="177">
        <f t="shared" si="1"/>
        <v>0</v>
      </c>
    </row>
    <row r="47" spans="1:78" s="163" customFormat="1" ht="32.25" customHeight="1" x14ac:dyDescent="0.25">
      <c r="A47" s="877"/>
      <c r="B47" s="171"/>
      <c r="C47" s="172" t="s">
        <v>705</v>
      </c>
      <c r="D47" s="172" t="s">
        <v>79</v>
      </c>
      <c r="E47" s="172">
        <f>0.015*100000</f>
        <v>1500</v>
      </c>
      <c r="F47" s="174">
        <f>BJ47</f>
        <v>0</v>
      </c>
      <c r="G47" s="174">
        <f>F47*E47</f>
        <v>0</v>
      </c>
      <c r="H47" s="174">
        <f>G47*0.2</f>
        <v>0</v>
      </c>
      <c r="I47" s="174">
        <f>G47*0.8</f>
        <v>0</v>
      </c>
      <c r="J47" s="583"/>
      <c r="K47" s="583"/>
      <c r="L47" s="583"/>
      <c r="M47" s="583"/>
      <c r="N47" s="583"/>
      <c r="O47" s="583"/>
      <c r="P47" s="583"/>
      <c r="Q47" s="583"/>
      <c r="R47" s="156">
        <f t="shared" ref="R47" si="86">F47*0.1</f>
        <v>0</v>
      </c>
      <c r="S47" s="216">
        <f t="shared" ref="S47" si="87">F47*0.25</f>
        <v>0</v>
      </c>
      <c r="T47" s="216">
        <f t="shared" ref="T47" si="88">F47*0.35</f>
        <v>0</v>
      </c>
      <c r="U47" s="216">
        <f t="shared" ref="U47" si="89">F47*0.3</f>
        <v>0</v>
      </c>
      <c r="V47" s="156">
        <f t="shared" ref="V47" si="90">R47*E47</f>
        <v>0</v>
      </c>
      <c r="W47" s="156">
        <f t="shared" ref="W47" si="91">S47*E47</f>
        <v>0</v>
      </c>
      <c r="X47" s="156">
        <f t="shared" ref="X47" si="92">T47*E47</f>
        <v>0</v>
      </c>
      <c r="Y47" s="156">
        <f t="shared" ref="Y47" si="93">U47*E47</f>
        <v>0</v>
      </c>
      <c r="Z47" s="174"/>
      <c r="AA47" s="172"/>
      <c r="AB47" s="174"/>
      <c r="AC47" s="172"/>
      <c r="AD47" s="174"/>
      <c r="AE47" s="172"/>
      <c r="AF47" s="174"/>
      <c r="AG47" s="172"/>
      <c r="AH47" s="174"/>
      <c r="AI47" s="172"/>
      <c r="AJ47" s="174"/>
      <c r="AK47" s="172"/>
      <c r="AL47" s="174"/>
      <c r="AM47" s="172"/>
      <c r="AN47" s="174"/>
      <c r="AO47" s="172"/>
      <c r="AP47" s="174"/>
      <c r="AQ47" s="172"/>
      <c r="AR47" s="174"/>
      <c r="AS47" s="172"/>
      <c r="AT47" s="174"/>
      <c r="AU47" s="172"/>
      <c r="AV47" s="174"/>
      <c r="AW47" s="172"/>
      <c r="AX47" s="174"/>
      <c r="AY47" s="172"/>
      <c r="AZ47" s="174"/>
      <c r="BA47" s="172"/>
      <c r="BB47" s="174"/>
      <c r="BC47" s="172"/>
      <c r="BD47" s="174"/>
      <c r="BE47" s="172"/>
      <c r="BF47" s="174"/>
      <c r="BG47" s="172"/>
      <c r="BH47" s="174">
        <v>0</v>
      </c>
      <c r="BI47" s="174">
        <v>2856000</v>
      </c>
      <c r="BJ47" s="216">
        <f>Z47+AB47+AD47+AF47+AH47+AJ47+AL47+AN47+AP47+AR47+AT47+AV47+AX47+AZ47+BB47+BD47+BF47+BH47</f>
        <v>0</v>
      </c>
      <c r="BK47" s="156">
        <f>AA47+AC47+AE47+AG47+AI47+AK47+AM47+AO47+AQ47+AS47+AU47+AW47+AY47+BA47+BC47+BE47+BG47+BI47</f>
        <v>2856000</v>
      </c>
      <c r="BL47" s="133"/>
      <c r="BM47" s="133"/>
      <c r="BN47" s="133"/>
      <c r="BO47" s="322"/>
      <c r="BP47" s="320" t="s">
        <v>467</v>
      </c>
      <c r="BR47" s="176"/>
      <c r="BS47" s="176">
        <f t="shared" si="84"/>
        <v>0</v>
      </c>
      <c r="BT47" s="176"/>
      <c r="BU47" s="176"/>
      <c r="BV47" s="176">
        <f t="shared" si="85"/>
        <v>0</v>
      </c>
      <c r="BW47" s="176"/>
      <c r="BX47" s="176"/>
      <c r="BY47" s="176"/>
      <c r="BZ47" s="177">
        <f t="shared" si="1"/>
        <v>0</v>
      </c>
    </row>
    <row r="48" spans="1:78" s="549" customFormat="1" ht="32.25" customHeight="1" x14ac:dyDescent="0.25">
      <c r="A48" s="877"/>
      <c r="B48" s="584"/>
      <c r="C48" s="582" t="s">
        <v>36</v>
      </c>
      <c r="D48" s="585"/>
      <c r="E48" s="585"/>
      <c r="F48" s="583">
        <f>SUM(F46:F47)</f>
        <v>0</v>
      </c>
      <c r="G48" s="583">
        <f>SUM(G46:G47)</f>
        <v>0</v>
      </c>
      <c r="H48" s="583">
        <f t="shared" ref="H48:BK48" si="94">SUM(H46:H47)</f>
        <v>0</v>
      </c>
      <c r="I48" s="583">
        <f t="shared" si="94"/>
        <v>0</v>
      </c>
      <c r="J48" s="583">
        <f t="shared" si="94"/>
        <v>0</v>
      </c>
      <c r="K48" s="583">
        <f t="shared" si="94"/>
        <v>0</v>
      </c>
      <c r="L48" s="583">
        <f t="shared" si="94"/>
        <v>0</v>
      </c>
      <c r="M48" s="583">
        <f t="shared" si="94"/>
        <v>0</v>
      </c>
      <c r="N48" s="583">
        <f t="shared" si="94"/>
        <v>0</v>
      </c>
      <c r="O48" s="583">
        <f t="shared" si="94"/>
        <v>0</v>
      </c>
      <c r="P48" s="583">
        <f t="shared" si="94"/>
        <v>0</v>
      </c>
      <c r="Q48" s="583">
        <f t="shared" si="94"/>
        <v>0</v>
      </c>
      <c r="R48" s="583">
        <f t="shared" si="94"/>
        <v>0</v>
      </c>
      <c r="S48" s="583">
        <f t="shared" si="94"/>
        <v>0</v>
      </c>
      <c r="T48" s="583">
        <f t="shared" si="94"/>
        <v>0</v>
      </c>
      <c r="U48" s="583">
        <f t="shared" si="94"/>
        <v>0</v>
      </c>
      <c r="V48" s="583">
        <f t="shared" si="94"/>
        <v>0</v>
      </c>
      <c r="W48" s="583">
        <f t="shared" si="94"/>
        <v>0</v>
      </c>
      <c r="X48" s="583">
        <f t="shared" si="94"/>
        <v>0</v>
      </c>
      <c r="Y48" s="583">
        <f t="shared" si="94"/>
        <v>0</v>
      </c>
      <c r="Z48" s="583">
        <f t="shared" si="94"/>
        <v>0</v>
      </c>
      <c r="AA48" s="583">
        <f t="shared" si="94"/>
        <v>0</v>
      </c>
      <c r="AB48" s="583">
        <f t="shared" si="94"/>
        <v>0</v>
      </c>
      <c r="AC48" s="583">
        <f t="shared" si="94"/>
        <v>0</v>
      </c>
      <c r="AD48" s="583">
        <f t="shared" si="94"/>
        <v>0</v>
      </c>
      <c r="AE48" s="583">
        <f t="shared" si="94"/>
        <v>0</v>
      </c>
      <c r="AF48" s="583">
        <f t="shared" si="94"/>
        <v>0</v>
      </c>
      <c r="AG48" s="583">
        <f t="shared" si="94"/>
        <v>0</v>
      </c>
      <c r="AH48" s="583">
        <f t="shared" si="94"/>
        <v>0</v>
      </c>
      <c r="AI48" s="583">
        <f t="shared" si="94"/>
        <v>0</v>
      </c>
      <c r="AJ48" s="583">
        <f t="shared" si="94"/>
        <v>0</v>
      </c>
      <c r="AK48" s="583">
        <f t="shared" si="94"/>
        <v>0</v>
      </c>
      <c r="AL48" s="583">
        <f t="shared" si="94"/>
        <v>0</v>
      </c>
      <c r="AM48" s="583">
        <f t="shared" si="94"/>
        <v>0</v>
      </c>
      <c r="AN48" s="583">
        <f t="shared" si="94"/>
        <v>0</v>
      </c>
      <c r="AO48" s="583">
        <f t="shared" si="94"/>
        <v>0</v>
      </c>
      <c r="AP48" s="583">
        <f t="shared" si="94"/>
        <v>0</v>
      </c>
      <c r="AQ48" s="583">
        <f t="shared" si="94"/>
        <v>0</v>
      </c>
      <c r="AR48" s="583">
        <f t="shared" si="94"/>
        <v>0</v>
      </c>
      <c r="AS48" s="583">
        <f t="shared" si="94"/>
        <v>0</v>
      </c>
      <c r="AT48" s="583">
        <f t="shared" si="94"/>
        <v>0</v>
      </c>
      <c r="AU48" s="583">
        <f t="shared" si="94"/>
        <v>0</v>
      </c>
      <c r="AV48" s="583">
        <f t="shared" si="94"/>
        <v>0</v>
      </c>
      <c r="AW48" s="583">
        <f t="shared" si="94"/>
        <v>0</v>
      </c>
      <c r="AX48" s="583">
        <f t="shared" si="94"/>
        <v>0</v>
      </c>
      <c r="AY48" s="583">
        <f t="shared" si="94"/>
        <v>0</v>
      </c>
      <c r="AZ48" s="583">
        <f t="shared" si="94"/>
        <v>0</v>
      </c>
      <c r="BA48" s="583">
        <f t="shared" si="94"/>
        <v>0</v>
      </c>
      <c r="BB48" s="583">
        <f t="shared" si="94"/>
        <v>0</v>
      </c>
      <c r="BC48" s="583">
        <f t="shared" si="94"/>
        <v>0</v>
      </c>
      <c r="BD48" s="583">
        <f t="shared" si="94"/>
        <v>0</v>
      </c>
      <c r="BE48" s="583">
        <f t="shared" si="94"/>
        <v>0</v>
      </c>
      <c r="BF48" s="583">
        <f t="shared" si="94"/>
        <v>0</v>
      </c>
      <c r="BG48" s="583">
        <f t="shared" si="94"/>
        <v>0</v>
      </c>
      <c r="BH48" s="586">
        <f t="shared" si="94"/>
        <v>0</v>
      </c>
      <c r="BI48" s="583">
        <f t="shared" si="94"/>
        <v>2856000</v>
      </c>
      <c r="BJ48" s="586">
        <f t="shared" si="94"/>
        <v>0</v>
      </c>
      <c r="BK48" s="583">
        <f t="shared" si="94"/>
        <v>2856000</v>
      </c>
      <c r="BL48" s="582"/>
      <c r="BM48" s="582"/>
      <c r="BN48" s="582"/>
      <c r="BO48" s="587"/>
      <c r="BP48" s="133"/>
      <c r="BR48" s="379"/>
      <c r="BS48" s="176">
        <f t="shared" si="84"/>
        <v>0</v>
      </c>
      <c r="BT48" s="379"/>
      <c r="BU48" s="379"/>
      <c r="BV48" s="176">
        <f t="shared" si="85"/>
        <v>0</v>
      </c>
      <c r="BW48" s="379"/>
      <c r="BX48" s="379"/>
      <c r="BY48" s="379"/>
      <c r="BZ48" s="177">
        <f t="shared" si="1"/>
        <v>0</v>
      </c>
    </row>
    <row r="49" spans="1:78" s="163" customFormat="1" ht="32.25" customHeight="1" x14ac:dyDescent="0.25">
      <c r="A49" s="877"/>
      <c r="B49" s="171">
        <v>11530</v>
      </c>
      <c r="C49" s="588" t="s">
        <v>93</v>
      </c>
      <c r="D49" s="582"/>
      <c r="E49" s="583"/>
      <c r="F49" s="174"/>
      <c r="G49" s="174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174"/>
      <c r="T49" s="174"/>
      <c r="U49" s="174"/>
      <c r="V49" s="583"/>
      <c r="W49" s="583"/>
      <c r="X49" s="172"/>
      <c r="Y49" s="172"/>
      <c r="Z49" s="174"/>
      <c r="AA49" s="172"/>
      <c r="AB49" s="174"/>
      <c r="AC49" s="172"/>
      <c r="AD49" s="174"/>
      <c r="AE49" s="172"/>
      <c r="AF49" s="174"/>
      <c r="AG49" s="172"/>
      <c r="AH49" s="174"/>
      <c r="AI49" s="172"/>
      <c r="AJ49" s="174"/>
      <c r="AK49" s="172"/>
      <c r="AL49" s="174"/>
      <c r="AM49" s="172"/>
      <c r="AN49" s="174"/>
      <c r="AO49" s="172"/>
      <c r="AP49" s="174"/>
      <c r="AQ49" s="172"/>
      <c r="AR49" s="174"/>
      <c r="AS49" s="172"/>
      <c r="AT49" s="174"/>
      <c r="AU49" s="172"/>
      <c r="AV49" s="174"/>
      <c r="AW49" s="172"/>
      <c r="AX49" s="174"/>
      <c r="AY49" s="172"/>
      <c r="AZ49" s="174"/>
      <c r="BA49" s="172"/>
      <c r="BB49" s="174"/>
      <c r="BC49" s="172"/>
      <c r="BD49" s="174"/>
      <c r="BE49" s="172"/>
      <c r="BF49" s="174"/>
      <c r="BG49" s="172"/>
      <c r="BH49" s="175"/>
      <c r="BI49" s="172"/>
      <c r="BJ49" s="175"/>
      <c r="BK49" s="174"/>
      <c r="BL49" s="133"/>
      <c r="BM49" s="133" t="s">
        <v>449</v>
      </c>
      <c r="BN49" s="133" t="s">
        <v>449</v>
      </c>
      <c r="BO49" s="322"/>
      <c r="BP49" s="133"/>
      <c r="BR49" s="176"/>
      <c r="BS49" s="176"/>
      <c r="BT49" s="176"/>
      <c r="BU49" s="176"/>
      <c r="BV49" s="176"/>
      <c r="BW49" s="176"/>
      <c r="BX49" s="176"/>
      <c r="BY49" s="176"/>
      <c r="BZ49" s="177">
        <f t="shared" si="1"/>
        <v>0</v>
      </c>
    </row>
    <row r="50" spans="1:78" s="163" customFormat="1" ht="32.25" customHeight="1" x14ac:dyDescent="0.25">
      <c r="A50" s="877"/>
      <c r="B50" s="171"/>
      <c r="C50" s="172" t="s">
        <v>88</v>
      </c>
      <c r="D50" s="172" t="s">
        <v>90</v>
      </c>
      <c r="E50" s="172">
        <f>0.005*100000</f>
        <v>500</v>
      </c>
      <c r="F50" s="173">
        <f>BJ50</f>
        <v>0</v>
      </c>
      <c r="G50" s="174">
        <f>E50*F50</f>
        <v>0</v>
      </c>
      <c r="H50" s="174">
        <f>G50*0.2</f>
        <v>0</v>
      </c>
      <c r="I50" s="174">
        <f>G50*0.8</f>
        <v>0</v>
      </c>
      <c r="J50" s="174">
        <f>G50*0</f>
        <v>0</v>
      </c>
      <c r="K50" s="174">
        <f>G50*0</f>
        <v>0</v>
      </c>
      <c r="L50" s="174">
        <f>G50*0</f>
        <v>0</v>
      </c>
      <c r="M50" s="174">
        <f>G50*0</f>
        <v>0</v>
      </c>
      <c r="N50" s="174">
        <f>G50*0</f>
        <v>0</v>
      </c>
      <c r="O50" s="174">
        <f>G50*0</f>
        <v>0</v>
      </c>
      <c r="P50" s="174">
        <f>G50*0</f>
        <v>0</v>
      </c>
      <c r="Q50" s="174">
        <f>G50*0</f>
        <v>0</v>
      </c>
      <c r="R50" s="156">
        <f t="shared" ref="R50" si="95">F50*0.1</f>
        <v>0</v>
      </c>
      <c r="S50" s="216">
        <f t="shared" ref="S50" si="96">F50*0.25</f>
        <v>0</v>
      </c>
      <c r="T50" s="216">
        <f t="shared" ref="T50" si="97">F50*0.35</f>
        <v>0</v>
      </c>
      <c r="U50" s="216">
        <f t="shared" ref="U50" si="98">F50*0.3</f>
        <v>0</v>
      </c>
      <c r="V50" s="156">
        <f t="shared" ref="V50" si="99">R50*E50</f>
        <v>0</v>
      </c>
      <c r="W50" s="156">
        <f t="shared" ref="W50" si="100">S50*E50</f>
        <v>0</v>
      </c>
      <c r="X50" s="156">
        <f t="shared" ref="X50" si="101">T50*E50</f>
        <v>0</v>
      </c>
      <c r="Y50" s="156">
        <f t="shared" ref="Y50" si="102">U50*E50</f>
        <v>0</v>
      </c>
      <c r="Z50" s="174">
        <v>0</v>
      </c>
      <c r="AA50" s="174">
        <f>Z50*500</f>
        <v>0</v>
      </c>
      <c r="AB50" s="174">
        <v>0</v>
      </c>
      <c r="AC50" s="174">
        <f>AB50*500</f>
        <v>0</v>
      </c>
      <c r="AD50" s="174">
        <v>0</v>
      </c>
      <c r="AE50" s="174">
        <f>AD50*500</f>
        <v>0</v>
      </c>
      <c r="AF50" s="174">
        <v>0</v>
      </c>
      <c r="AG50" s="174">
        <f>AF50*500</f>
        <v>0</v>
      </c>
      <c r="AH50" s="174">
        <v>0</v>
      </c>
      <c r="AI50" s="174">
        <f>AH50*500</f>
        <v>0</v>
      </c>
      <c r="AJ50" s="174">
        <v>0</v>
      </c>
      <c r="AK50" s="174">
        <f>AJ50*500</f>
        <v>0</v>
      </c>
      <c r="AL50" s="174">
        <v>0</v>
      </c>
      <c r="AM50" s="174">
        <f>AL50*500</f>
        <v>0</v>
      </c>
      <c r="AN50" s="174">
        <v>0</v>
      </c>
      <c r="AO50" s="174">
        <f>AN50*500</f>
        <v>0</v>
      </c>
      <c r="AP50" s="174">
        <v>0</v>
      </c>
      <c r="AQ50" s="174">
        <f>AP50*500</f>
        <v>0</v>
      </c>
      <c r="AR50" s="174">
        <v>0</v>
      </c>
      <c r="AS50" s="174">
        <f>AR50*500</f>
        <v>0</v>
      </c>
      <c r="AT50" s="174">
        <v>0</v>
      </c>
      <c r="AU50" s="174">
        <f>AT50*500</f>
        <v>0</v>
      </c>
      <c r="AV50" s="174">
        <v>0</v>
      </c>
      <c r="AW50" s="174">
        <f>AV50*500</f>
        <v>0</v>
      </c>
      <c r="AX50" s="174">
        <v>0</v>
      </c>
      <c r="AY50" s="174">
        <f>AX50*500</f>
        <v>0</v>
      </c>
      <c r="AZ50" s="174">
        <v>0</v>
      </c>
      <c r="BA50" s="174">
        <f>AZ50*500</f>
        <v>0</v>
      </c>
      <c r="BB50" s="174">
        <v>0</v>
      </c>
      <c r="BC50" s="174">
        <f>BB50*500</f>
        <v>0</v>
      </c>
      <c r="BD50" s="174">
        <v>0</v>
      </c>
      <c r="BE50" s="174">
        <f>BD50*500</f>
        <v>0</v>
      </c>
      <c r="BF50" s="174">
        <v>0</v>
      </c>
      <c r="BG50" s="174">
        <f>BF50*500</f>
        <v>0</v>
      </c>
      <c r="BH50" s="175">
        <v>0</v>
      </c>
      <c r="BI50" s="174">
        <f>BH50*500</f>
        <v>0</v>
      </c>
      <c r="BJ50" s="216">
        <f>Z50+AB50+AD50+AF50+AH50+AJ50+AL50+AN50+AP50+AR50+AT50+AV50+AX50+AZ50+BB50+BD50+BF50+BH50</f>
        <v>0</v>
      </c>
      <c r="BK50" s="156">
        <f>AA50+AC50+AE50+AG50+AI50+AK50+AM50+AO50+AQ50+AS50+AU50+AW50+AY50+BA50+BC50+BE50+BG50+BI50</f>
        <v>0</v>
      </c>
      <c r="BL50" s="133"/>
      <c r="BM50" s="133"/>
      <c r="BN50" s="133"/>
      <c r="BO50" s="322"/>
      <c r="BP50" s="320" t="s">
        <v>467</v>
      </c>
      <c r="BR50" s="176"/>
      <c r="BS50" s="176">
        <f t="shared" si="84"/>
        <v>0</v>
      </c>
      <c r="BT50" s="176"/>
      <c r="BU50" s="176"/>
      <c r="BV50" s="176">
        <f t="shared" si="85"/>
        <v>0</v>
      </c>
      <c r="BW50" s="176"/>
      <c r="BX50" s="176"/>
      <c r="BY50" s="176">
        <f>BW50+BX50</f>
        <v>0</v>
      </c>
      <c r="BZ50" s="177">
        <f t="shared" si="1"/>
        <v>0</v>
      </c>
    </row>
    <row r="51" spans="1:78" s="163" customFormat="1" ht="32.25" customHeight="1" x14ac:dyDescent="0.25">
      <c r="A51" s="877"/>
      <c r="B51" s="171"/>
      <c r="C51" s="172" t="s">
        <v>89</v>
      </c>
      <c r="D51" s="172" t="s">
        <v>91</v>
      </c>
      <c r="E51" s="172"/>
      <c r="F51" s="173">
        <f>BJ51</f>
        <v>0</v>
      </c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56">
        <f t="shared" ref="R51" si="103">F51*0.1</f>
        <v>0</v>
      </c>
      <c r="S51" s="216">
        <f t="shared" ref="S51" si="104">F51*0.25</f>
        <v>0</v>
      </c>
      <c r="T51" s="216">
        <f t="shared" ref="T51" si="105">F51*0.35</f>
        <v>0</v>
      </c>
      <c r="U51" s="216">
        <f t="shared" ref="U51" si="106">F51*0.3</f>
        <v>0</v>
      </c>
      <c r="V51" s="156">
        <f t="shared" ref="V51" si="107">R51*E51</f>
        <v>0</v>
      </c>
      <c r="W51" s="156">
        <f t="shared" ref="W51" si="108">S51*E51</f>
        <v>0</v>
      </c>
      <c r="X51" s="156">
        <f t="shared" ref="X51" si="109">T51*E51</f>
        <v>0</v>
      </c>
      <c r="Y51" s="156">
        <f t="shared" ref="Y51" si="110">U51*E51</f>
        <v>0</v>
      </c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>
        <v>0</v>
      </c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5"/>
      <c r="BI51" s="174"/>
      <c r="BJ51" s="216">
        <f>Z51+AB51+AD51+AF51+AH51+AJ51+AL51+AN51+AP51+AR51+AT51+AV51+AX51+AZ51+BB51+BD51+BF51+BH51</f>
        <v>0</v>
      </c>
      <c r="BK51" s="174"/>
      <c r="BL51" s="133"/>
      <c r="BM51" s="133"/>
      <c r="BN51" s="133"/>
      <c r="BO51" s="322"/>
      <c r="BP51" s="320" t="s">
        <v>467</v>
      </c>
      <c r="BR51" s="176"/>
      <c r="BS51" s="176">
        <f t="shared" si="84"/>
        <v>0</v>
      </c>
      <c r="BT51" s="176"/>
      <c r="BU51" s="176"/>
      <c r="BV51" s="176">
        <f t="shared" si="85"/>
        <v>0</v>
      </c>
      <c r="BW51" s="176"/>
      <c r="BX51" s="176"/>
      <c r="BY51" s="176">
        <f>BW51+BX51</f>
        <v>0</v>
      </c>
      <c r="BZ51" s="177">
        <f t="shared" si="1"/>
        <v>0</v>
      </c>
    </row>
    <row r="52" spans="1:78" s="549" customFormat="1" ht="32.25" customHeight="1" x14ac:dyDescent="0.25">
      <c r="A52" s="877"/>
      <c r="B52" s="589"/>
      <c r="C52" s="582" t="s">
        <v>36</v>
      </c>
      <c r="D52" s="582"/>
      <c r="E52" s="583"/>
      <c r="F52" s="586">
        <f t="shared" ref="F52:AK52" si="111">SUM(F50:F51)</f>
        <v>0</v>
      </c>
      <c r="G52" s="583">
        <f t="shared" si="111"/>
        <v>0</v>
      </c>
      <c r="H52" s="583">
        <f t="shared" si="111"/>
        <v>0</v>
      </c>
      <c r="I52" s="583">
        <f t="shared" si="111"/>
        <v>0</v>
      </c>
      <c r="J52" s="583">
        <f t="shared" si="111"/>
        <v>0</v>
      </c>
      <c r="K52" s="583">
        <f t="shared" si="111"/>
        <v>0</v>
      </c>
      <c r="L52" s="583">
        <f t="shared" si="111"/>
        <v>0</v>
      </c>
      <c r="M52" s="583">
        <f t="shared" si="111"/>
        <v>0</v>
      </c>
      <c r="N52" s="583">
        <f t="shared" si="111"/>
        <v>0</v>
      </c>
      <c r="O52" s="583">
        <f t="shared" si="111"/>
        <v>0</v>
      </c>
      <c r="P52" s="583">
        <f t="shared" si="111"/>
        <v>0</v>
      </c>
      <c r="Q52" s="583">
        <f t="shared" si="111"/>
        <v>0</v>
      </c>
      <c r="R52" s="586">
        <f t="shared" si="111"/>
        <v>0</v>
      </c>
      <c r="S52" s="586">
        <f t="shared" si="111"/>
        <v>0</v>
      </c>
      <c r="T52" s="586">
        <f t="shared" si="111"/>
        <v>0</v>
      </c>
      <c r="U52" s="586">
        <f t="shared" si="111"/>
        <v>0</v>
      </c>
      <c r="V52" s="583">
        <f t="shared" si="111"/>
        <v>0</v>
      </c>
      <c r="W52" s="583">
        <f t="shared" si="111"/>
        <v>0</v>
      </c>
      <c r="X52" s="583">
        <f t="shared" si="111"/>
        <v>0</v>
      </c>
      <c r="Y52" s="583">
        <f t="shared" si="111"/>
        <v>0</v>
      </c>
      <c r="Z52" s="583">
        <f t="shared" si="111"/>
        <v>0</v>
      </c>
      <c r="AA52" s="583">
        <f t="shared" si="111"/>
        <v>0</v>
      </c>
      <c r="AB52" s="583">
        <f t="shared" si="111"/>
        <v>0</v>
      </c>
      <c r="AC52" s="583">
        <f t="shared" si="111"/>
        <v>0</v>
      </c>
      <c r="AD52" s="583">
        <f t="shared" si="111"/>
        <v>0</v>
      </c>
      <c r="AE52" s="583">
        <f t="shared" si="111"/>
        <v>0</v>
      </c>
      <c r="AF52" s="583">
        <f t="shared" si="111"/>
        <v>0</v>
      </c>
      <c r="AG52" s="583">
        <f t="shared" si="111"/>
        <v>0</v>
      </c>
      <c r="AH52" s="583">
        <f t="shared" si="111"/>
        <v>0</v>
      </c>
      <c r="AI52" s="583">
        <f t="shared" si="111"/>
        <v>0</v>
      </c>
      <c r="AJ52" s="583">
        <f t="shared" si="111"/>
        <v>0</v>
      </c>
      <c r="AK52" s="583">
        <f t="shared" si="111"/>
        <v>0</v>
      </c>
      <c r="AL52" s="583">
        <f t="shared" ref="AL52:BK52" si="112">SUM(AL50:AL51)</f>
        <v>0</v>
      </c>
      <c r="AM52" s="583">
        <f t="shared" si="112"/>
        <v>0</v>
      </c>
      <c r="AN52" s="583">
        <f t="shared" si="112"/>
        <v>0</v>
      </c>
      <c r="AO52" s="583">
        <f t="shared" si="112"/>
        <v>0</v>
      </c>
      <c r="AP52" s="583">
        <f t="shared" si="112"/>
        <v>0</v>
      </c>
      <c r="AQ52" s="583">
        <f t="shared" si="112"/>
        <v>0</v>
      </c>
      <c r="AR52" s="583">
        <f t="shared" si="112"/>
        <v>0</v>
      </c>
      <c r="AS52" s="583">
        <f t="shared" si="112"/>
        <v>0</v>
      </c>
      <c r="AT52" s="583">
        <f t="shared" si="112"/>
        <v>0</v>
      </c>
      <c r="AU52" s="583">
        <f t="shared" si="112"/>
        <v>0</v>
      </c>
      <c r="AV52" s="583">
        <f t="shared" si="112"/>
        <v>0</v>
      </c>
      <c r="AW52" s="583">
        <f t="shared" si="112"/>
        <v>0</v>
      </c>
      <c r="AX52" s="583">
        <f t="shared" si="112"/>
        <v>0</v>
      </c>
      <c r="AY52" s="583">
        <f t="shared" si="112"/>
        <v>0</v>
      </c>
      <c r="AZ52" s="583">
        <f t="shared" si="112"/>
        <v>0</v>
      </c>
      <c r="BA52" s="583">
        <f t="shared" si="112"/>
        <v>0</v>
      </c>
      <c r="BB52" s="583">
        <f t="shared" si="112"/>
        <v>0</v>
      </c>
      <c r="BC52" s="583">
        <f t="shared" si="112"/>
        <v>0</v>
      </c>
      <c r="BD52" s="583">
        <f t="shared" si="112"/>
        <v>0</v>
      </c>
      <c r="BE52" s="583">
        <f t="shared" si="112"/>
        <v>0</v>
      </c>
      <c r="BF52" s="583">
        <f t="shared" si="112"/>
        <v>0</v>
      </c>
      <c r="BG52" s="583">
        <f t="shared" si="112"/>
        <v>0</v>
      </c>
      <c r="BH52" s="586">
        <f t="shared" si="112"/>
        <v>0</v>
      </c>
      <c r="BI52" s="583">
        <f t="shared" si="112"/>
        <v>0</v>
      </c>
      <c r="BJ52" s="586">
        <f t="shared" si="112"/>
        <v>0</v>
      </c>
      <c r="BK52" s="583">
        <f t="shared" si="112"/>
        <v>0</v>
      </c>
      <c r="BL52" s="582"/>
      <c r="BM52" s="582"/>
      <c r="BN52" s="582"/>
      <c r="BO52" s="587"/>
      <c r="BP52" s="133"/>
      <c r="BR52" s="582">
        <f t="shared" ref="BR52:BY52" si="113">SUM(BR50:BR51)</f>
        <v>0</v>
      </c>
      <c r="BS52" s="582">
        <f t="shared" si="113"/>
        <v>0</v>
      </c>
      <c r="BT52" s="582">
        <f t="shared" si="113"/>
        <v>0</v>
      </c>
      <c r="BU52" s="582">
        <f t="shared" si="113"/>
        <v>0</v>
      </c>
      <c r="BV52" s="582">
        <f t="shared" si="113"/>
        <v>0</v>
      </c>
      <c r="BW52" s="582">
        <f t="shared" si="113"/>
        <v>0</v>
      </c>
      <c r="BX52" s="582">
        <f t="shared" si="113"/>
        <v>0</v>
      </c>
      <c r="BY52" s="582">
        <f t="shared" si="113"/>
        <v>0</v>
      </c>
      <c r="BZ52" s="582">
        <f t="shared" si="1"/>
        <v>0</v>
      </c>
    </row>
    <row r="53" spans="1:78" s="163" customFormat="1" ht="32.25" customHeight="1" x14ac:dyDescent="0.25">
      <c r="A53" s="877"/>
      <c r="B53" s="171">
        <v>11540</v>
      </c>
      <c r="C53" s="588" t="s">
        <v>94</v>
      </c>
      <c r="D53" s="582"/>
      <c r="E53" s="583"/>
      <c r="F53" s="175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583"/>
      <c r="W53" s="583"/>
      <c r="X53" s="172"/>
      <c r="Y53" s="172"/>
      <c r="Z53" s="174"/>
      <c r="AA53" s="172"/>
      <c r="AB53" s="174"/>
      <c r="AC53" s="172"/>
      <c r="AD53" s="174"/>
      <c r="AE53" s="172"/>
      <c r="AF53" s="174"/>
      <c r="AG53" s="172"/>
      <c r="AH53" s="174"/>
      <c r="AI53" s="172"/>
      <c r="AJ53" s="174"/>
      <c r="AK53" s="172"/>
      <c r="AL53" s="174"/>
      <c r="AM53" s="172"/>
      <c r="AN53" s="174"/>
      <c r="AO53" s="172"/>
      <c r="AP53" s="174"/>
      <c r="AQ53" s="172"/>
      <c r="AR53" s="174"/>
      <c r="AS53" s="172"/>
      <c r="AT53" s="174"/>
      <c r="AU53" s="172"/>
      <c r="AV53" s="174"/>
      <c r="AW53" s="172"/>
      <c r="AX53" s="174"/>
      <c r="AY53" s="172"/>
      <c r="AZ53" s="174"/>
      <c r="BA53" s="172"/>
      <c r="BB53" s="174"/>
      <c r="BC53" s="172"/>
      <c r="BD53" s="174"/>
      <c r="BE53" s="172"/>
      <c r="BF53" s="174"/>
      <c r="BG53" s="172"/>
      <c r="BH53" s="175"/>
      <c r="BI53" s="172"/>
      <c r="BJ53" s="175"/>
      <c r="BK53" s="174"/>
      <c r="BL53" s="133"/>
      <c r="BM53" s="133" t="s">
        <v>449</v>
      </c>
      <c r="BN53" s="133" t="s">
        <v>449</v>
      </c>
      <c r="BO53" s="322"/>
      <c r="BP53" s="133"/>
      <c r="BR53" s="176"/>
      <c r="BS53" s="176"/>
      <c r="BT53" s="176"/>
      <c r="BU53" s="176"/>
      <c r="BV53" s="176"/>
      <c r="BW53" s="176"/>
      <c r="BX53" s="176"/>
      <c r="BY53" s="176"/>
      <c r="BZ53" s="177">
        <f t="shared" si="1"/>
        <v>0</v>
      </c>
    </row>
    <row r="54" spans="1:78" s="163" customFormat="1" ht="32.25" customHeight="1" x14ac:dyDescent="0.25">
      <c r="A54" s="877"/>
      <c r="B54" s="171"/>
      <c r="C54" s="172" t="s">
        <v>88</v>
      </c>
      <c r="D54" s="172" t="s">
        <v>90</v>
      </c>
      <c r="E54" s="172">
        <f>0.005*100000</f>
        <v>500</v>
      </c>
      <c r="F54" s="173">
        <f>BJ54</f>
        <v>0</v>
      </c>
      <c r="G54" s="174">
        <f>E54*F54</f>
        <v>0</v>
      </c>
      <c r="H54" s="174">
        <f>G54*0.2</f>
        <v>0</v>
      </c>
      <c r="I54" s="174">
        <f>G54*0.8</f>
        <v>0</v>
      </c>
      <c r="J54" s="174">
        <f>G54*0</f>
        <v>0</v>
      </c>
      <c r="K54" s="174">
        <f>G54*0</f>
        <v>0</v>
      </c>
      <c r="L54" s="174">
        <f>G54*0</f>
        <v>0</v>
      </c>
      <c r="M54" s="174">
        <f>G54*0</f>
        <v>0</v>
      </c>
      <c r="N54" s="174">
        <f>G54*0</f>
        <v>0</v>
      </c>
      <c r="O54" s="174">
        <f>G54*0</f>
        <v>0</v>
      </c>
      <c r="P54" s="174">
        <f>G54*0</f>
        <v>0</v>
      </c>
      <c r="Q54" s="174">
        <f>G54*0</f>
        <v>0</v>
      </c>
      <c r="R54" s="156">
        <f t="shared" ref="R54" si="114">F54*0.1</f>
        <v>0</v>
      </c>
      <c r="S54" s="216">
        <f t="shared" ref="S54" si="115">F54*0.25</f>
        <v>0</v>
      </c>
      <c r="T54" s="216">
        <f t="shared" ref="T54" si="116">F54*0.35</f>
        <v>0</v>
      </c>
      <c r="U54" s="216">
        <f t="shared" ref="U54" si="117">F54*0.3</f>
        <v>0</v>
      </c>
      <c r="V54" s="156">
        <f t="shared" ref="V54" si="118">R54*E54</f>
        <v>0</v>
      </c>
      <c r="W54" s="156">
        <f t="shared" ref="W54" si="119">S54*E54</f>
        <v>0</v>
      </c>
      <c r="X54" s="156">
        <f t="shared" ref="X54" si="120">T54*E54</f>
        <v>0</v>
      </c>
      <c r="Y54" s="156">
        <f t="shared" ref="Y54" si="121">U54*E54</f>
        <v>0</v>
      </c>
      <c r="Z54" s="174">
        <v>0</v>
      </c>
      <c r="AA54" s="174">
        <f>Z54*500</f>
        <v>0</v>
      </c>
      <c r="AB54" s="174">
        <v>0</v>
      </c>
      <c r="AC54" s="174">
        <f>AB54*500</f>
        <v>0</v>
      </c>
      <c r="AD54" s="174">
        <v>0</v>
      </c>
      <c r="AE54" s="174">
        <f>AD54*500</f>
        <v>0</v>
      </c>
      <c r="AF54" s="174">
        <v>0</v>
      </c>
      <c r="AG54" s="174">
        <f>AF54*500</f>
        <v>0</v>
      </c>
      <c r="AH54" s="174">
        <v>0</v>
      </c>
      <c r="AI54" s="174">
        <f>AH54*500</f>
        <v>0</v>
      </c>
      <c r="AJ54" s="174">
        <v>0</v>
      </c>
      <c r="AK54" s="174">
        <f>AJ54*500</f>
        <v>0</v>
      </c>
      <c r="AL54" s="174">
        <v>0</v>
      </c>
      <c r="AM54" s="174">
        <f>AL54*500</f>
        <v>0</v>
      </c>
      <c r="AN54" s="174">
        <v>0</v>
      </c>
      <c r="AO54" s="174">
        <f>AN54*500</f>
        <v>0</v>
      </c>
      <c r="AP54" s="174">
        <v>0</v>
      </c>
      <c r="AQ54" s="174">
        <f>AP54*500</f>
        <v>0</v>
      </c>
      <c r="AR54" s="174">
        <v>0</v>
      </c>
      <c r="AS54" s="174">
        <f>AR54*500</f>
        <v>0</v>
      </c>
      <c r="AT54" s="174">
        <v>0</v>
      </c>
      <c r="AU54" s="174">
        <f>AT54*500</f>
        <v>0</v>
      </c>
      <c r="AV54" s="174">
        <v>0</v>
      </c>
      <c r="AW54" s="174">
        <f>AV54*500</f>
        <v>0</v>
      </c>
      <c r="AX54" s="174">
        <v>0</v>
      </c>
      <c r="AY54" s="174">
        <f>AX54*500</f>
        <v>0</v>
      </c>
      <c r="AZ54" s="174">
        <v>0</v>
      </c>
      <c r="BA54" s="174">
        <f>AZ54*500</f>
        <v>0</v>
      </c>
      <c r="BB54" s="174">
        <v>0</v>
      </c>
      <c r="BC54" s="174">
        <f>BB54*500</f>
        <v>0</v>
      </c>
      <c r="BD54" s="174">
        <v>0</v>
      </c>
      <c r="BE54" s="174">
        <f>BD54*500</f>
        <v>0</v>
      </c>
      <c r="BF54" s="174">
        <v>0</v>
      </c>
      <c r="BG54" s="174">
        <f>BF54*500</f>
        <v>0</v>
      </c>
      <c r="BH54" s="175">
        <v>0</v>
      </c>
      <c r="BI54" s="174">
        <f>BH54*500</f>
        <v>0</v>
      </c>
      <c r="BJ54" s="216">
        <f>Z54+AB54+AD54+AF54+AH54+AJ54+AL54+AN54+AP54+AR54+AT54+AV54+AX54+AZ54+BB54+BD54+BF54+BH54</f>
        <v>0</v>
      </c>
      <c r="BK54" s="156">
        <f>AA54+AC54+AE54+AG54+AI54+AK54+AM54+AO54+AQ54+AS54+AU54+AW54+AY54+BA54+BC54+BE54+BG54+BI54</f>
        <v>0</v>
      </c>
      <c r="BL54" s="133"/>
      <c r="BM54" s="133"/>
      <c r="BN54" s="133"/>
      <c r="BO54" s="322"/>
      <c r="BP54" s="320" t="s">
        <v>467</v>
      </c>
      <c r="BR54" s="176"/>
      <c r="BS54" s="176">
        <f>G54</f>
        <v>0</v>
      </c>
      <c r="BT54" s="176"/>
      <c r="BU54" s="176"/>
      <c r="BV54" s="176">
        <f>BR54+BS54+BT54+BU54</f>
        <v>0</v>
      </c>
      <c r="BW54" s="176"/>
      <c r="BX54" s="176"/>
      <c r="BY54" s="176">
        <f>BW54+BX54</f>
        <v>0</v>
      </c>
      <c r="BZ54" s="177">
        <f t="shared" si="1"/>
        <v>0</v>
      </c>
    </row>
    <row r="55" spans="1:78" s="163" customFormat="1" ht="32.25" customHeight="1" x14ac:dyDescent="0.25">
      <c r="A55" s="877"/>
      <c r="B55" s="171"/>
      <c r="C55" s="172" t="s">
        <v>92</v>
      </c>
      <c r="D55" s="172" t="s">
        <v>91</v>
      </c>
      <c r="E55" s="172"/>
      <c r="F55" s="173">
        <f>BJ55</f>
        <v>0</v>
      </c>
      <c r="G55" s="583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56">
        <f t="shared" ref="R55" si="122">F55*0.1</f>
        <v>0</v>
      </c>
      <c r="S55" s="216">
        <f t="shared" ref="S55" si="123">F55*0.25</f>
        <v>0</v>
      </c>
      <c r="T55" s="216">
        <f t="shared" ref="T55" si="124">F55*0.35</f>
        <v>0</v>
      </c>
      <c r="U55" s="216">
        <f t="shared" ref="U55" si="125">F55*0.3</f>
        <v>0</v>
      </c>
      <c r="V55" s="156">
        <f t="shared" ref="V55" si="126">R55*E55</f>
        <v>0</v>
      </c>
      <c r="W55" s="156">
        <f t="shared" ref="W55" si="127">S55*E55</f>
        <v>0</v>
      </c>
      <c r="X55" s="156">
        <f t="shared" ref="X55" si="128">T55*E55</f>
        <v>0</v>
      </c>
      <c r="Y55" s="156">
        <f t="shared" ref="Y55" si="129">U55*E55</f>
        <v>0</v>
      </c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5"/>
      <c r="BI55" s="174"/>
      <c r="BJ55" s="216">
        <f>Z55+AB55+AD55+AF55+AH55+AJ55+AL55+AN55+AP55+AR55+AT55+AV55+AX55+AZ55+BB55+BD55+BF55+BH55</f>
        <v>0</v>
      </c>
      <c r="BK55" s="174"/>
      <c r="BL55" s="133"/>
      <c r="BM55" s="133"/>
      <c r="BN55" s="133"/>
      <c r="BO55" s="322"/>
      <c r="BP55" s="320" t="s">
        <v>467</v>
      </c>
      <c r="BR55" s="176"/>
      <c r="BS55" s="176">
        <f>G55</f>
        <v>0</v>
      </c>
      <c r="BT55" s="176"/>
      <c r="BU55" s="176"/>
      <c r="BV55" s="176">
        <f>BR55+BS55+BT55+BU55</f>
        <v>0</v>
      </c>
      <c r="BW55" s="176"/>
      <c r="BX55" s="176"/>
      <c r="BY55" s="176">
        <f>BW55+BX55</f>
        <v>0</v>
      </c>
      <c r="BZ55" s="177">
        <f t="shared" si="1"/>
        <v>0</v>
      </c>
    </row>
    <row r="56" spans="1:78" s="549" customFormat="1" ht="32.25" customHeight="1" x14ac:dyDescent="0.25">
      <c r="A56" s="877"/>
      <c r="B56" s="589"/>
      <c r="C56" s="582" t="s">
        <v>36</v>
      </c>
      <c r="D56" s="582"/>
      <c r="E56" s="583"/>
      <c r="F56" s="586">
        <f t="shared" ref="F56:AK56" si="130">SUM(F54:F55)</f>
        <v>0</v>
      </c>
      <c r="G56" s="583">
        <f t="shared" si="130"/>
        <v>0</v>
      </c>
      <c r="H56" s="174">
        <f t="shared" si="130"/>
        <v>0</v>
      </c>
      <c r="I56" s="174">
        <f t="shared" si="130"/>
        <v>0</v>
      </c>
      <c r="J56" s="174">
        <f t="shared" si="130"/>
        <v>0</v>
      </c>
      <c r="K56" s="174">
        <f t="shared" si="130"/>
        <v>0</v>
      </c>
      <c r="L56" s="174">
        <f t="shared" si="130"/>
        <v>0</v>
      </c>
      <c r="M56" s="174">
        <f t="shared" si="130"/>
        <v>0</v>
      </c>
      <c r="N56" s="174">
        <f t="shared" si="130"/>
        <v>0</v>
      </c>
      <c r="O56" s="174">
        <f t="shared" si="130"/>
        <v>0</v>
      </c>
      <c r="P56" s="174">
        <f t="shared" si="130"/>
        <v>0</v>
      </c>
      <c r="Q56" s="174">
        <f t="shared" si="130"/>
        <v>0</v>
      </c>
      <c r="R56" s="175">
        <f t="shared" si="130"/>
        <v>0</v>
      </c>
      <c r="S56" s="175">
        <f t="shared" si="130"/>
        <v>0</v>
      </c>
      <c r="T56" s="586">
        <f t="shared" si="130"/>
        <v>0</v>
      </c>
      <c r="U56" s="586">
        <f t="shared" si="130"/>
        <v>0</v>
      </c>
      <c r="V56" s="583">
        <f t="shared" si="130"/>
        <v>0</v>
      </c>
      <c r="W56" s="583">
        <f t="shared" si="130"/>
        <v>0</v>
      </c>
      <c r="X56" s="583">
        <f t="shared" si="130"/>
        <v>0</v>
      </c>
      <c r="Y56" s="583">
        <f t="shared" si="130"/>
        <v>0</v>
      </c>
      <c r="Z56" s="583">
        <f t="shared" si="130"/>
        <v>0</v>
      </c>
      <c r="AA56" s="583">
        <f t="shared" si="130"/>
        <v>0</v>
      </c>
      <c r="AB56" s="583">
        <f t="shared" si="130"/>
        <v>0</v>
      </c>
      <c r="AC56" s="583">
        <f t="shared" si="130"/>
        <v>0</v>
      </c>
      <c r="AD56" s="583">
        <f t="shared" si="130"/>
        <v>0</v>
      </c>
      <c r="AE56" s="583">
        <f t="shared" si="130"/>
        <v>0</v>
      </c>
      <c r="AF56" s="583">
        <f t="shared" si="130"/>
        <v>0</v>
      </c>
      <c r="AG56" s="583">
        <f t="shared" si="130"/>
        <v>0</v>
      </c>
      <c r="AH56" s="583">
        <f t="shared" si="130"/>
        <v>0</v>
      </c>
      <c r="AI56" s="583">
        <f t="shared" si="130"/>
        <v>0</v>
      </c>
      <c r="AJ56" s="583">
        <f t="shared" si="130"/>
        <v>0</v>
      </c>
      <c r="AK56" s="583">
        <f t="shared" si="130"/>
        <v>0</v>
      </c>
      <c r="AL56" s="583">
        <f t="shared" ref="AL56:BK56" si="131">SUM(AL54:AL55)</f>
        <v>0</v>
      </c>
      <c r="AM56" s="583">
        <f t="shared" si="131"/>
        <v>0</v>
      </c>
      <c r="AN56" s="583">
        <f t="shared" si="131"/>
        <v>0</v>
      </c>
      <c r="AO56" s="583">
        <f t="shared" si="131"/>
        <v>0</v>
      </c>
      <c r="AP56" s="583">
        <f t="shared" si="131"/>
        <v>0</v>
      </c>
      <c r="AQ56" s="583">
        <f t="shared" si="131"/>
        <v>0</v>
      </c>
      <c r="AR56" s="583">
        <f t="shared" si="131"/>
        <v>0</v>
      </c>
      <c r="AS56" s="583">
        <f t="shared" si="131"/>
        <v>0</v>
      </c>
      <c r="AT56" s="583">
        <f t="shared" si="131"/>
        <v>0</v>
      </c>
      <c r="AU56" s="583">
        <f t="shared" si="131"/>
        <v>0</v>
      </c>
      <c r="AV56" s="583">
        <f t="shared" si="131"/>
        <v>0</v>
      </c>
      <c r="AW56" s="583">
        <f t="shared" si="131"/>
        <v>0</v>
      </c>
      <c r="AX56" s="583">
        <f t="shared" si="131"/>
        <v>0</v>
      </c>
      <c r="AY56" s="583">
        <f t="shared" si="131"/>
        <v>0</v>
      </c>
      <c r="AZ56" s="583">
        <f t="shared" si="131"/>
        <v>0</v>
      </c>
      <c r="BA56" s="583">
        <f t="shared" si="131"/>
        <v>0</v>
      </c>
      <c r="BB56" s="583">
        <f t="shared" si="131"/>
        <v>0</v>
      </c>
      <c r="BC56" s="583">
        <f t="shared" si="131"/>
        <v>0</v>
      </c>
      <c r="BD56" s="583">
        <f t="shared" si="131"/>
        <v>0</v>
      </c>
      <c r="BE56" s="583">
        <f t="shared" si="131"/>
        <v>0</v>
      </c>
      <c r="BF56" s="583">
        <f t="shared" si="131"/>
        <v>0</v>
      </c>
      <c r="BG56" s="583">
        <f t="shared" si="131"/>
        <v>0</v>
      </c>
      <c r="BH56" s="586">
        <f t="shared" si="131"/>
        <v>0</v>
      </c>
      <c r="BI56" s="583">
        <f t="shared" si="131"/>
        <v>0</v>
      </c>
      <c r="BJ56" s="586">
        <f t="shared" si="131"/>
        <v>0</v>
      </c>
      <c r="BK56" s="583">
        <f t="shared" si="131"/>
        <v>0</v>
      </c>
      <c r="BL56" s="582"/>
      <c r="BM56" s="133"/>
      <c r="BN56" s="582"/>
      <c r="BO56" s="587"/>
      <c r="BP56" s="133"/>
      <c r="BR56" s="582">
        <f t="shared" ref="BR56:BY56" si="132">SUM(BR54:BR55)</f>
        <v>0</v>
      </c>
      <c r="BS56" s="582">
        <f t="shared" si="132"/>
        <v>0</v>
      </c>
      <c r="BT56" s="582">
        <f t="shared" si="132"/>
        <v>0</v>
      </c>
      <c r="BU56" s="582">
        <f t="shared" si="132"/>
        <v>0</v>
      </c>
      <c r="BV56" s="582">
        <f t="shared" si="132"/>
        <v>0</v>
      </c>
      <c r="BW56" s="582">
        <f t="shared" si="132"/>
        <v>0</v>
      </c>
      <c r="BX56" s="582">
        <f t="shared" si="132"/>
        <v>0</v>
      </c>
      <c r="BY56" s="582">
        <f t="shared" si="132"/>
        <v>0</v>
      </c>
      <c r="BZ56" s="582">
        <f t="shared" si="1"/>
        <v>0</v>
      </c>
    </row>
    <row r="57" spans="1:78" s="579" customFormat="1" ht="32.25" customHeight="1" x14ac:dyDescent="0.25">
      <c r="A57" s="877"/>
      <c r="B57" s="62"/>
      <c r="C57" s="590" t="s">
        <v>3</v>
      </c>
      <c r="D57" s="157"/>
      <c r="E57" s="170"/>
      <c r="F57" s="575">
        <f>F56+F52+F48</f>
        <v>0</v>
      </c>
      <c r="G57" s="170">
        <f t="shared" ref="G57:BP57" si="133">G56+G52+G48</f>
        <v>0</v>
      </c>
      <c r="H57" s="170">
        <f t="shared" si="133"/>
        <v>0</v>
      </c>
      <c r="I57" s="170">
        <f t="shared" si="133"/>
        <v>0</v>
      </c>
      <c r="J57" s="170">
        <f t="shared" si="133"/>
        <v>0</v>
      </c>
      <c r="K57" s="170">
        <f t="shared" si="133"/>
        <v>0</v>
      </c>
      <c r="L57" s="170">
        <f t="shared" si="133"/>
        <v>0</v>
      </c>
      <c r="M57" s="170">
        <f t="shared" si="133"/>
        <v>0</v>
      </c>
      <c r="N57" s="170">
        <f t="shared" si="133"/>
        <v>0</v>
      </c>
      <c r="O57" s="170">
        <f t="shared" si="133"/>
        <v>0</v>
      </c>
      <c r="P57" s="170">
        <f t="shared" si="133"/>
        <v>0</v>
      </c>
      <c r="Q57" s="170">
        <f t="shared" si="133"/>
        <v>0</v>
      </c>
      <c r="R57" s="170">
        <f t="shared" si="133"/>
        <v>0</v>
      </c>
      <c r="S57" s="170">
        <f t="shared" si="133"/>
        <v>0</v>
      </c>
      <c r="T57" s="170">
        <f t="shared" si="133"/>
        <v>0</v>
      </c>
      <c r="U57" s="170">
        <f t="shared" si="133"/>
        <v>0</v>
      </c>
      <c r="V57" s="170">
        <f t="shared" si="133"/>
        <v>0</v>
      </c>
      <c r="W57" s="170">
        <f t="shared" si="133"/>
        <v>0</v>
      </c>
      <c r="X57" s="170">
        <f t="shared" si="133"/>
        <v>0</v>
      </c>
      <c r="Y57" s="170">
        <f t="shared" si="133"/>
        <v>0</v>
      </c>
      <c r="Z57" s="170">
        <f t="shared" si="133"/>
        <v>0</v>
      </c>
      <c r="AA57" s="170">
        <f t="shared" si="133"/>
        <v>0</v>
      </c>
      <c r="AB57" s="170">
        <f t="shared" si="133"/>
        <v>0</v>
      </c>
      <c r="AC57" s="170">
        <f t="shared" si="133"/>
        <v>0</v>
      </c>
      <c r="AD57" s="170">
        <f t="shared" si="133"/>
        <v>0</v>
      </c>
      <c r="AE57" s="170">
        <f t="shared" si="133"/>
        <v>0</v>
      </c>
      <c r="AF57" s="170">
        <f t="shared" si="133"/>
        <v>0</v>
      </c>
      <c r="AG57" s="170">
        <f t="shared" si="133"/>
        <v>0</v>
      </c>
      <c r="AH57" s="170">
        <f t="shared" si="133"/>
        <v>0</v>
      </c>
      <c r="AI57" s="170">
        <f t="shared" si="133"/>
        <v>0</v>
      </c>
      <c r="AJ57" s="170">
        <f t="shared" si="133"/>
        <v>0</v>
      </c>
      <c r="AK57" s="170">
        <f t="shared" si="133"/>
        <v>0</v>
      </c>
      <c r="AL57" s="170">
        <f t="shared" si="133"/>
        <v>0</v>
      </c>
      <c r="AM57" s="170">
        <f t="shared" si="133"/>
        <v>0</v>
      </c>
      <c r="AN57" s="170">
        <f t="shared" si="133"/>
        <v>0</v>
      </c>
      <c r="AO57" s="170">
        <f t="shared" si="133"/>
        <v>0</v>
      </c>
      <c r="AP57" s="170">
        <f t="shared" si="133"/>
        <v>0</v>
      </c>
      <c r="AQ57" s="170">
        <f t="shared" si="133"/>
        <v>0</v>
      </c>
      <c r="AR57" s="170">
        <f t="shared" si="133"/>
        <v>0</v>
      </c>
      <c r="AS57" s="170">
        <f t="shared" si="133"/>
        <v>0</v>
      </c>
      <c r="AT57" s="170">
        <f t="shared" si="133"/>
        <v>0</v>
      </c>
      <c r="AU57" s="170">
        <f t="shared" si="133"/>
        <v>0</v>
      </c>
      <c r="AV57" s="170">
        <f t="shared" si="133"/>
        <v>0</v>
      </c>
      <c r="AW57" s="170">
        <f t="shared" si="133"/>
        <v>0</v>
      </c>
      <c r="AX57" s="170">
        <f t="shared" si="133"/>
        <v>0</v>
      </c>
      <c r="AY57" s="170">
        <f t="shared" si="133"/>
        <v>0</v>
      </c>
      <c r="AZ57" s="170">
        <f t="shared" si="133"/>
        <v>0</v>
      </c>
      <c r="BA57" s="170">
        <f t="shared" si="133"/>
        <v>0</v>
      </c>
      <c r="BB57" s="170">
        <f t="shared" si="133"/>
        <v>0</v>
      </c>
      <c r="BC57" s="170">
        <f t="shared" si="133"/>
        <v>0</v>
      </c>
      <c r="BD57" s="170">
        <f t="shared" si="133"/>
        <v>0</v>
      </c>
      <c r="BE57" s="170">
        <f t="shared" si="133"/>
        <v>0</v>
      </c>
      <c r="BF57" s="170">
        <f t="shared" si="133"/>
        <v>0</v>
      </c>
      <c r="BG57" s="170">
        <f t="shared" si="133"/>
        <v>0</v>
      </c>
      <c r="BH57" s="170">
        <f t="shared" si="133"/>
        <v>0</v>
      </c>
      <c r="BI57" s="170"/>
      <c r="BJ57" s="170">
        <f t="shared" si="133"/>
        <v>0</v>
      </c>
      <c r="BK57" s="170">
        <v>0</v>
      </c>
      <c r="BL57" s="170">
        <f t="shared" si="133"/>
        <v>0</v>
      </c>
      <c r="BM57" s="170">
        <f t="shared" si="133"/>
        <v>0</v>
      </c>
      <c r="BN57" s="170">
        <f t="shared" si="133"/>
        <v>0</v>
      </c>
      <c r="BO57" s="591">
        <f t="shared" si="133"/>
        <v>0</v>
      </c>
      <c r="BP57" s="592">
        <f t="shared" si="133"/>
        <v>0</v>
      </c>
      <c r="BQ57" s="593"/>
      <c r="BR57" s="170">
        <f t="shared" ref="BR57:BZ57" si="134">BR56+BR52+BR48</f>
        <v>0</v>
      </c>
      <c r="BS57" s="170">
        <f t="shared" si="134"/>
        <v>0</v>
      </c>
      <c r="BT57" s="170">
        <f t="shared" si="134"/>
        <v>0</v>
      </c>
      <c r="BU57" s="170">
        <f t="shared" si="134"/>
        <v>0</v>
      </c>
      <c r="BV57" s="170">
        <f t="shared" si="134"/>
        <v>0</v>
      </c>
      <c r="BW57" s="170">
        <f t="shared" si="134"/>
        <v>0</v>
      </c>
      <c r="BX57" s="170">
        <f t="shared" si="134"/>
        <v>0</v>
      </c>
      <c r="BY57" s="170">
        <f t="shared" si="134"/>
        <v>0</v>
      </c>
      <c r="BZ57" s="170">
        <f t="shared" si="134"/>
        <v>0</v>
      </c>
    </row>
    <row r="58" spans="1:78" ht="32.25" customHeight="1" x14ac:dyDescent="0.25">
      <c r="A58" s="877"/>
      <c r="B58" s="60"/>
      <c r="C58" s="793" t="s">
        <v>774</v>
      </c>
      <c r="D58" s="53" t="s">
        <v>17</v>
      </c>
      <c r="E58" s="156">
        <v>7800000</v>
      </c>
      <c r="F58" s="216">
        <f>BJ58</f>
        <v>1</v>
      </c>
      <c r="G58" s="156">
        <f>F58*E58</f>
        <v>7800000</v>
      </c>
      <c r="H58" s="174">
        <f>G58*0.2</f>
        <v>1560000</v>
      </c>
      <c r="I58" s="174">
        <f>G58*0.8</f>
        <v>6240000</v>
      </c>
      <c r="J58" s="156"/>
      <c r="K58" s="156"/>
      <c r="L58" s="156"/>
      <c r="M58" s="156"/>
      <c r="N58" s="156"/>
      <c r="O58" s="156"/>
      <c r="P58" s="156"/>
      <c r="Q58" s="156"/>
      <c r="R58" s="156">
        <f t="shared" ref="R58" si="135">F58*0.1</f>
        <v>0.1</v>
      </c>
      <c r="S58" s="801">
        <f t="shared" ref="S58" si="136">F58*0.25</f>
        <v>0.25</v>
      </c>
      <c r="T58" s="801">
        <f t="shared" ref="T58" si="137">F58*0.35</f>
        <v>0.35</v>
      </c>
      <c r="U58" s="801">
        <f t="shared" ref="U58" si="138">F58*0.3</f>
        <v>0.3</v>
      </c>
      <c r="V58" s="156">
        <f t="shared" ref="V58" si="139">R58*E58</f>
        <v>780000</v>
      </c>
      <c r="W58" s="156">
        <f t="shared" ref="W58" si="140">S58*E58</f>
        <v>1950000</v>
      </c>
      <c r="X58" s="156">
        <f t="shared" ref="X58" si="141">T58*E58</f>
        <v>2730000</v>
      </c>
      <c r="Y58" s="156">
        <f t="shared" ref="Y58" si="142">U58*E58</f>
        <v>2340000</v>
      </c>
      <c r="Z58" s="156"/>
      <c r="AB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>
        <v>1</v>
      </c>
      <c r="BI58" s="156">
        <f>BH58*E58</f>
        <v>7800000</v>
      </c>
      <c r="BJ58" s="216">
        <f>Z58+AB58+AD58+AF58+AH58+AJ58+AL58+AN58+AP58+AR58+AT58+AV58+AX58+AZ58+BB58+BD58+BF58+BH58</f>
        <v>1</v>
      </c>
      <c r="BK58" s="156">
        <f>BI58+BG58+BE58+BC58+BA58+AY58+AW58+AU58+AS58+AQ58+AO58+AM58+AK58+AI58+AG58+AE58+AC58+AA58</f>
        <v>7800000</v>
      </c>
      <c r="BL58" s="156"/>
      <c r="BM58" s="156"/>
      <c r="BN58" s="156"/>
      <c r="BO58" s="374"/>
      <c r="BP58" s="320" t="s">
        <v>467</v>
      </c>
      <c r="BQ58" s="402"/>
      <c r="BR58" s="156"/>
      <c r="BS58" s="156"/>
      <c r="BT58" s="156">
        <f>G58</f>
        <v>7800000</v>
      </c>
      <c r="BU58" s="156"/>
      <c r="BV58" s="156">
        <f>BR58+BS58+BT58+BU58</f>
        <v>7800000</v>
      </c>
      <c r="BW58" s="156"/>
      <c r="BX58" s="156"/>
      <c r="BY58" s="156"/>
      <c r="BZ58" s="156"/>
    </row>
    <row r="59" spans="1:78" s="163" customFormat="1" ht="32.25" customHeight="1" x14ac:dyDescent="0.25">
      <c r="A59" s="877"/>
      <c r="B59" s="794"/>
      <c r="C59" s="795" t="s">
        <v>775</v>
      </c>
      <c r="D59" s="547" t="s">
        <v>17</v>
      </c>
      <c r="E59" s="174">
        <f>G59</f>
        <v>5865000</v>
      </c>
      <c r="F59" s="175">
        <v>1</v>
      </c>
      <c r="G59" s="174">
        <f>BK59</f>
        <v>5865000</v>
      </c>
      <c r="H59" s="174">
        <f>G59*0.2</f>
        <v>1173000</v>
      </c>
      <c r="I59" s="174">
        <f>G59*0.8</f>
        <v>4692000</v>
      </c>
      <c r="J59" s="174"/>
      <c r="K59" s="174"/>
      <c r="L59" s="174"/>
      <c r="M59" s="174"/>
      <c r="N59" s="174"/>
      <c r="O59" s="174"/>
      <c r="P59" s="174"/>
      <c r="Q59" s="174"/>
      <c r="R59" s="156">
        <f t="shared" ref="R59" si="143">F59*0.1</f>
        <v>0.1</v>
      </c>
      <c r="S59" s="801">
        <f t="shared" ref="S59" si="144">F59*0.25</f>
        <v>0.25</v>
      </c>
      <c r="T59" s="801">
        <f t="shared" ref="T59" si="145">F59*0.35</f>
        <v>0.35</v>
      </c>
      <c r="U59" s="801">
        <f t="shared" ref="U59" si="146">F59*0.3</f>
        <v>0.3</v>
      </c>
      <c r="V59" s="156">
        <f t="shared" ref="V59" si="147">R59*E59</f>
        <v>586500</v>
      </c>
      <c r="W59" s="156">
        <f t="shared" ref="W59" si="148">S59*E59</f>
        <v>1466250</v>
      </c>
      <c r="X59" s="156">
        <f t="shared" ref="X59" si="149">T59*E59</f>
        <v>2052749.9999999998</v>
      </c>
      <c r="Y59" s="156">
        <f t="shared" ref="Y59" si="150">U59*E59</f>
        <v>1759500</v>
      </c>
      <c r="Z59" s="174"/>
      <c r="AA59" s="174">
        <v>300000</v>
      </c>
      <c r="AB59" s="174"/>
      <c r="AC59" s="174">
        <v>150000</v>
      </c>
      <c r="AD59" s="174"/>
      <c r="AE59" s="174">
        <v>315000</v>
      </c>
      <c r="AF59" s="174"/>
      <c r="AG59" s="174">
        <v>500000</v>
      </c>
      <c r="AH59" s="174"/>
      <c r="AI59" s="174">
        <v>200000</v>
      </c>
      <c r="AJ59" s="174"/>
      <c r="AK59" s="174">
        <v>360000</v>
      </c>
      <c r="AL59" s="174"/>
      <c r="AM59" s="174">
        <v>200000</v>
      </c>
      <c r="AN59" s="174"/>
      <c r="AO59" s="174">
        <v>500000</v>
      </c>
      <c r="AP59" s="174"/>
      <c r="AQ59" s="174">
        <v>60000</v>
      </c>
      <c r="AR59" s="174"/>
      <c r="AS59" s="174">
        <v>200000</v>
      </c>
      <c r="AT59" s="174"/>
      <c r="AU59" s="174">
        <v>300000</v>
      </c>
      <c r="AV59" s="174"/>
      <c r="AW59" s="174">
        <v>300000</v>
      </c>
      <c r="AX59" s="174"/>
      <c r="AY59" s="174">
        <v>380000</v>
      </c>
      <c r="AZ59" s="174"/>
      <c r="BA59" s="174">
        <v>400000</v>
      </c>
      <c r="BB59" s="174"/>
      <c r="BC59" s="174">
        <v>400000</v>
      </c>
      <c r="BD59" s="174"/>
      <c r="BE59" s="174">
        <v>500000</v>
      </c>
      <c r="BF59" s="174"/>
      <c r="BG59" s="174">
        <v>300000</v>
      </c>
      <c r="BH59" s="174"/>
      <c r="BI59" s="174">
        <v>500000</v>
      </c>
      <c r="BJ59" s="175"/>
      <c r="BK59" s="174">
        <f>BI59+BG59+BE59+BC59+BA59+AY59+AW59+AU59+AS59+AQ59+AO59+AM59+AK59+AI59+AG59+AE59+AC59+AA59</f>
        <v>5865000</v>
      </c>
      <c r="BL59" s="174"/>
      <c r="BM59" s="174"/>
      <c r="BN59" s="174"/>
      <c r="BO59" s="796"/>
      <c r="BP59" s="320" t="s">
        <v>467</v>
      </c>
      <c r="BQ59" s="797"/>
      <c r="BR59" s="174"/>
      <c r="BS59" s="174">
        <f>G59</f>
        <v>5865000</v>
      </c>
      <c r="BT59" s="174"/>
      <c r="BU59" s="174"/>
      <c r="BV59" s="174">
        <f>BR59+BS59+BT59+BU59</f>
        <v>5865000</v>
      </c>
      <c r="BW59" s="174"/>
      <c r="BX59" s="174"/>
      <c r="BY59" s="174"/>
      <c r="BZ59" s="174"/>
    </row>
    <row r="60" spans="1:78" s="594" customFormat="1" ht="32.25" customHeight="1" x14ac:dyDescent="0.25">
      <c r="A60" s="877"/>
      <c r="B60" s="62"/>
      <c r="C60" s="139" t="s">
        <v>36</v>
      </c>
      <c r="D60" s="139"/>
      <c r="E60" s="170"/>
      <c r="F60" s="575">
        <f t="shared" ref="F60:AK60" si="151">SUM(F58:F59)</f>
        <v>2</v>
      </c>
      <c r="G60" s="170">
        <f t="shared" si="151"/>
        <v>13665000</v>
      </c>
      <c r="H60" s="170">
        <f t="shared" si="151"/>
        <v>2733000</v>
      </c>
      <c r="I60" s="170">
        <f t="shared" si="151"/>
        <v>10932000</v>
      </c>
      <c r="J60" s="170">
        <f t="shared" si="151"/>
        <v>0</v>
      </c>
      <c r="K60" s="170">
        <f t="shared" si="151"/>
        <v>0</v>
      </c>
      <c r="L60" s="170">
        <f t="shared" si="151"/>
        <v>0</v>
      </c>
      <c r="M60" s="170">
        <f t="shared" si="151"/>
        <v>0</v>
      </c>
      <c r="N60" s="170">
        <f t="shared" si="151"/>
        <v>0</v>
      </c>
      <c r="O60" s="170">
        <f t="shared" si="151"/>
        <v>0</v>
      </c>
      <c r="P60" s="170">
        <f t="shared" si="151"/>
        <v>0</v>
      </c>
      <c r="Q60" s="170">
        <f t="shared" si="151"/>
        <v>0</v>
      </c>
      <c r="R60" s="575">
        <f t="shared" si="151"/>
        <v>0.2</v>
      </c>
      <c r="S60" s="575">
        <f t="shared" si="151"/>
        <v>0.5</v>
      </c>
      <c r="T60" s="575">
        <f t="shared" si="151"/>
        <v>0.7</v>
      </c>
      <c r="U60" s="575">
        <f t="shared" si="151"/>
        <v>0.6</v>
      </c>
      <c r="V60" s="170">
        <f t="shared" si="151"/>
        <v>1366500</v>
      </c>
      <c r="W60" s="170">
        <f t="shared" si="151"/>
        <v>3416250</v>
      </c>
      <c r="X60" s="170">
        <f t="shared" si="151"/>
        <v>4782750</v>
      </c>
      <c r="Y60" s="170">
        <f t="shared" si="151"/>
        <v>4099500</v>
      </c>
      <c r="Z60" s="170">
        <f t="shared" si="151"/>
        <v>0</v>
      </c>
      <c r="AA60" s="170">
        <f>SUM(AA59:AA59)</f>
        <v>300000</v>
      </c>
      <c r="AB60" s="170">
        <f t="shared" si="151"/>
        <v>0</v>
      </c>
      <c r="AC60" s="170">
        <f>SUM(AC59:AC59)</f>
        <v>150000</v>
      </c>
      <c r="AD60" s="170">
        <f t="shared" si="151"/>
        <v>0</v>
      </c>
      <c r="AE60" s="170">
        <f t="shared" si="151"/>
        <v>315000</v>
      </c>
      <c r="AF60" s="170">
        <f t="shared" si="151"/>
        <v>0</v>
      </c>
      <c r="AG60" s="170">
        <f t="shared" si="151"/>
        <v>500000</v>
      </c>
      <c r="AH60" s="170">
        <f t="shared" si="151"/>
        <v>0</v>
      </c>
      <c r="AI60" s="170">
        <f t="shared" si="151"/>
        <v>200000</v>
      </c>
      <c r="AJ60" s="170">
        <f t="shared" si="151"/>
        <v>0</v>
      </c>
      <c r="AK60" s="170">
        <f t="shared" si="151"/>
        <v>360000</v>
      </c>
      <c r="AL60" s="170">
        <f t="shared" ref="AL60:BK60" si="152">SUM(AL58:AL59)</f>
        <v>0</v>
      </c>
      <c r="AM60" s="170">
        <f t="shared" si="152"/>
        <v>200000</v>
      </c>
      <c r="AN60" s="170">
        <f t="shared" si="152"/>
        <v>0</v>
      </c>
      <c r="AO60" s="170">
        <f t="shared" si="152"/>
        <v>500000</v>
      </c>
      <c r="AP60" s="170">
        <f t="shared" si="152"/>
        <v>0</v>
      </c>
      <c r="AQ60" s="170">
        <f t="shared" si="152"/>
        <v>60000</v>
      </c>
      <c r="AR60" s="170">
        <f t="shared" si="152"/>
        <v>0</v>
      </c>
      <c r="AS60" s="170">
        <f t="shared" si="152"/>
        <v>200000</v>
      </c>
      <c r="AT60" s="170">
        <f t="shared" si="152"/>
        <v>0</v>
      </c>
      <c r="AU60" s="170">
        <f t="shared" si="152"/>
        <v>300000</v>
      </c>
      <c r="AV60" s="170">
        <f t="shared" si="152"/>
        <v>0</v>
      </c>
      <c r="AW60" s="170">
        <f t="shared" si="152"/>
        <v>300000</v>
      </c>
      <c r="AX60" s="170">
        <f t="shared" si="152"/>
        <v>0</v>
      </c>
      <c r="AY60" s="170">
        <f t="shared" si="152"/>
        <v>380000</v>
      </c>
      <c r="AZ60" s="170">
        <f t="shared" si="152"/>
        <v>0</v>
      </c>
      <c r="BA60" s="170">
        <f t="shared" si="152"/>
        <v>400000</v>
      </c>
      <c r="BB60" s="170">
        <f t="shared" si="152"/>
        <v>0</v>
      </c>
      <c r="BC60" s="170">
        <f t="shared" si="152"/>
        <v>400000</v>
      </c>
      <c r="BD60" s="170">
        <f t="shared" si="152"/>
        <v>0</v>
      </c>
      <c r="BE60" s="170">
        <f t="shared" si="152"/>
        <v>500000</v>
      </c>
      <c r="BF60" s="170">
        <f t="shared" si="152"/>
        <v>0</v>
      </c>
      <c r="BG60" s="170">
        <f t="shared" si="152"/>
        <v>300000</v>
      </c>
      <c r="BH60" s="575">
        <f t="shared" si="152"/>
        <v>1</v>
      </c>
      <c r="BI60" s="170">
        <f t="shared" si="152"/>
        <v>8300000</v>
      </c>
      <c r="BJ60" s="575">
        <f t="shared" si="152"/>
        <v>1</v>
      </c>
      <c r="BK60" s="170">
        <f t="shared" si="152"/>
        <v>13665000</v>
      </c>
      <c r="BL60" s="139"/>
      <c r="BM60" s="139"/>
      <c r="BN60" s="139"/>
      <c r="BO60" s="577"/>
      <c r="BP60" s="576"/>
      <c r="BQ60" s="67"/>
      <c r="BR60" s="139">
        <f t="shared" ref="BR60:BY60" si="153">SUM(BR58:BR59)</f>
        <v>0</v>
      </c>
      <c r="BS60" s="139">
        <f t="shared" si="153"/>
        <v>5865000</v>
      </c>
      <c r="BT60" s="139">
        <f t="shared" si="153"/>
        <v>7800000</v>
      </c>
      <c r="BU60" s="139">
        <f t="shared" si="153"/>
        <v>0</v>
      </c>
      <c r="BV60" s="139">
        <f t="shared" si="153"/>
        <v>13665000</v>
      </c>
      <c r="BW60" s="139">
        <f t="shared" si="153"/>
        <v>0</v>
      </c>
      <c r="BX60" s="139">
        <f t="shared" si="153"/>
        <v>0</v>
      </c>
      <c r="BY60" s="139">
        <f t="shared" si="153"/>
        <v>0</v>
      </c>
      <c r="BZ60" s="139">
        <f>BV60+BY60</f>
        <v>13665000</v>
      </c>
    </row>
    <row r="61" spans="1:78" ht="32.25" customHeight="1" x14ac:dyDescent="0.25">
      <c r="A61" s="877"/>
      <c r="B61" s="215">
        <v>11600</v>
      </c>
      <c r="C61" s="562" t="s">
        <v>95</v>
      </c>
      <c r="D61" s="144"/>
      <c r="E61" s="290"/>
      <c r="F61" s="156"/>
      <c r="G61" s="156"/>
      <c r="H61" s="156"/>
      <c r="I61" s="156"/>
      <c r="J61" s="156"/>
      <c r="K61" s="156"/>
      <c r="L61" s="156"/>
      <c r="M61" s="156"/>
      <c r="N61" s="156"/>
      <c r="O61" s="290"/>
      <c r="P61" s="290"/>
      <c r="Q61" s="290"/>
      <c r="R61" s="156"/>
      <c r="S61" s="156"/>
      <c r="T61" s="156"/>
      <c r="U61" s="156"/>
      <c r="V61" s="290"/>
      <c r="W61" s="290"/>
      <c r="X61" s="167"/>
      <c r="Y61" s="167"/>
      <c r="Z61" s="156"/>
      <c r="AA61" s="167"/>
      <c r="AB61" s="156"/>
      <c r="AC61" s="167"/>
      <c r="AD61" s="156"/>
      <c r="AE61" s="167"/>
      <c r="AF61" s="156"/>
      <c r="AG61" s="167"/>
      <c r="AH61" s="156"/>
      <c r="AI61" s="167"/>
      <c r="AJ61" s="156"/>
      <c r="AK61" s="167"/>
      <c r="AL61" s="156"/>
      <c r="AM61" s="167"/>
      <c r="AN61" s="156"/>
      <c r="AO61" s="167"/>
      <c r="AP61" s="156"/>
      <c r="AQ61" s="167"/>
      <c r="AR61" s="156"/>
      <c r="AS61" s="167"/>
      <c r="AT61" s="156"/>
      <c r="AU61" s="167"/>
      <c r="AV61" s="156"/>
      <c r="AW61" s="167"/>
      <c r="AX61" s="156"/>
      <c r="AY61" s="167"/>
      <c r="AZ61" s="156"/>
      <c r="BA61" s="167"/>
      <c r="BB61" s="156"/>
      <c r="BC61" s="167"/>
      <c r="BD61" s="156"/>
      <c r="BE61" s="167"/>
      <c r="BF61" s="156"/>
      <c r="BG61" s="167"/>
      <c r="BH61" s="156"/>
      <c r="BI61" s="167"/>
      <c r="BJ61" s="216"/>
      <c r="BK61" s="156"/>
      <c r="BL61" s="85"/>
      <c r="BM61" s="85"/>
      <c r="BN61" s="85"/>
      <c r="BO61" s="117"/>
      <c r="BP61" s="85"/>
      <c r="BR61" s="113"/>
      <c r="BS61" s="113"/>
      <c r="BT61" s="113"/>
      <c r="BU61" s="113"/>
      <c r="BV61" s="113"/>
      <c r="BW61" s="113"/>
      <c r="BX61" s="113"/>
      <c r="BY61" s="113"/>
      <c r="BZ61" s="217">
        <f t="shared" si="1"/>
        <v>0</v>
      </c>
    </row>
    <row r="62" spans="1:78" s="163" customFormat="1" ht="32.25" customHeight="1" x14ac:dyDescent="0.25">
      <c r="A62" s="877"/>
      <c r="B62" s="171">
        <v>11610</v>
      </c>
      <c r="C62" s="172" t="s">
        <v>482</v>
      </c>
      <c r="D62" s="172" t="s">
        <v>483</v>
      </c>
      <c r="E62" s="172">
        <f>0.015*100000</f>
        <v>1500</v>
      </c>
      <c r="F62" s="173">
        <f t="shared" ref="F62:F67" si="154">BJ62</f>
        <v>12576</v>
      </c>
      <c r="G62" s="174">
        <f>E62*F62</f>
        <v>18864000</v>
      </c>
      <c r="H62" s="174">
        <f t="shared" ref="H62:H68" si="155">G62*0.2</f>
        <v>3772800</v>
      </c>
      <c r="I62" s="174">
        <f t="shared" ref="I62:I67" si="156">G62*0.8</f>
        <v>15091200</v>
      </c>
      <c r="J62" s="174">
        <f>G62*0</f>
        <v>0</v>
      </c>
      <c r="K62" s="174">
        <f>G62*0</f>
        <v>0</v>
      </c>
      <c r="L62" s="174">
        <f t="shared" ref="L62:L67" si="157">G62*0</f>
        <v>0</v>
      </c>
      <c r="M62" s="174">
        <f t="shared" ref="M62:M67" si="158">G62*0</f>
        <v>0</v>
      </c>
      <c r="N62" s="174">
        <f t="shared" ref="N62:N67" si="159">G62*0</f>
        <v>0</v>
      </c>
      <c r="O62" s="174">
        <f t="shared" ref="O62:O67" si="160">G62*0</f>
        <v>0</v>
      </c>
      <c r="P62" s="174">
        <f t="shared" ref="P62:P67" si="161">G62*0</f>
        <v>0</v>
      </c>
      <c r="Q62" s="174">
        <f t="shared" ref="Q62:Q67" si="162">G62*0</f>
        <v>0</v>
      </c>
      <c r="R62" s="156">
        <f t="shared" ref="R62" si="163">F62*0.1</f>
        <v>1257.6000000000001</v>
      </c>
      <c r="S62" s="801">
        <f t="shared" ref="S62" si="164">F62*0.25</f>
        <v>3144</v>
      </c>
      <c r="T62" s="801">
        <f t="shared" ref="T62" si="165">F62*0.35</f>
        <v>4401.5999999999995</v>
      </c>
      <c r="U62" s="801">
        <f t="shared" ref="U62" si="166">F62*0.3</f>
        <v>3772.7999999999997</v>
      </c>
      <c r="V62" s="156">
        <f t="shared" ref="V62" si="167">R62*E62</f>
        <v>1886400.0000000002</v>
      </c>
      <c r="W62" s="156">
        <f t="shared" ref="W62" si="168">S62*E62</f>
        <v>4716000</v>
      </c>
      <c r="X62" s="156">
        <f t="shared" ref="X62" si="169">T62*E62</f>
        <v>6602399.9999999991</v>
      </c>
      <c r="Y62" s="156">
        <f t="shared" ref="Y62" si="170">U62*E62</f>
        <v>5659200</v>
      </c>
      <c r="Z62" s="174">
        <f>48*12</f>
        <v>576</v>
      </c>
      <c r="AA62" s="174">
        <f>Z62*1500</f>
        <v>864000</v>
      </c>
      <c r="AB62" s="174">
        <f>23*12</f>
        <v>276</v>
      </c>
      <c r="AC62" s="174">
        <f>AB62*1500</f>
        <v>414000</v>
      </c>
      <c r="AD62" s="174">
        <f>58*12+348</f>
        <v>1044</v>
      </c>
      <c r="AE62" s="174">
        <f>AD62*1500</f>
        <v>1566000</v>
      </c>
      <c r="AF62" s="174">
        <f>89*12</f>
        <v>1068</v>
      </c>
      <c r="AG62" s="174">
        <f>AF62*1500</f>
        <v>1602000</v>
      </c>
      <c r="AH62" s="174">
        <f>38*12</f>
        <v>456</v>
      </c>
      <c r="AI62" s="174">
        <f>AH62*1500</f>
        <v>684000</v>
      </c>
      <c r="AJ62" s="174">
        <f>71*12</f>
        <v>852</v>
      </c>
      <c r="AK62" s="174">
        <f>AJ62*1500</f>
        <v>1278000</v>
      </c>
      <c r="AL62" s="174">
        <f>38*12</f>
        <v>456</v>
      </c>
      <c r="AM62" s="174">
        <f>AL62*1500</f>
        <v>684000</v>
      </c>
      <c r="AN62" s="174">
        <v>1200</v>
      </c>
      <c r="AO62" s="174">
        <f>AN62*1500</f>
        <v>1800000</v>
      </c>
      <c r="AP62" s="174">
        <f>8*12</f>
        <v>96</v>
      </c>
      <c r="AQ62" s="174">
        <f>AP62*1500</f>
        <v>144000</v>
      </c>
      <c r="AR62" s="174">
        <f>32*12</f>
        <v>384</v>
      </c>
      <c r="AS62" s="174">
        <f>AR62*1500</f>
        <v>576000</v>
      </c>
      <c r="AT62" s="174">
        <f>50*12</f>
        <v>600</v>
      </c>
      <c r="AU62" s="174">
        <f>AT62*1500</f>
        <v>900000</v>
      </c>
      <c r="AV62" s="174">
        <f>50*12</f>
        <v>600</v>
      </c>
      <c r="AW62" s="174">
        <f>AV62*1500</f>
        <v>900000</v>
      </c>
      <c r="AX62" s="174">
        <f>72*12</f>
        <v>864</v>
      </c>
      <c r="AY62" s="174">
        <f>AX62*1500</f>
        <v>1296000</v>
      </c>
      <c r="AZ62" s="175">
        <f>78*12</f>
        <v>936</v>
      </c>
      <c r="BA62" s="174">
        <f>AZ62*1500</f>
        <v>1404000</v>
      </c>
      <c r="BB62" s="174">
        <f>73*12</f>
        <v>876</v>
      </c>
      <c r="BC62" s="174">
        <f>BB62*1500</f>
        <v>1314000</v>
      </c>
      <c r="BD62" s="174">
        <f>137*12</f>
        <v>1644</v>
      </c>
      <c r="BE62" s="174">
        <f>BD62*1500</f>
        <v>2466000</v>
      </c>
      <c r="BF62" s="174">
        <f>54*12</f>
        <v>648</v>
      </c>
      <c r="BG62" s="174">
        <f>BF62*1500</f>
        <v>972000</v>
      </c>
      <c r="BH62" s="175">
        <v>0</v>
      </c>
      <c r="BI62" s="174">
        <f>BH62*1500</f>
        <v>0</v>
      </c>
      <c r="BJ62" s="216">
        <f t="shared" ref="BJ62:BK68" si="171">Z62+AB62+AD62+AF62+AH62+AJ62+AL62+AN62+AP62+AR62+AT62+AV62+AX62+AZ62+BB62+BD62+BF62+BH62</f>
        <v>12576</v>
      </c>
      <c r="BK62" s="156">
        <f t="shared" si="171"/>
        <v>18864000</v>
      </c>
      <c r="BL62" s="133"/>
      <c r="BN62" s="133" t="s">
        <v>72</v>
      </c>
      <c r="BO62" s="322"/>
      <c r="BP62" s="320" t="s">
        <v>467</v>
      </c>
      <c r="BR62" s="176"/>
      <c r="BS62" s="176"/>
      <c r="BT62" s="176"/>
      <c r="BU62" s="176"/>
      <c r="BV62" s="176">
        <f t="shared" ref="BV62:BV68" si="172">BR62+BS62+BT62+BU62</f>
        <v>0</v>
      </c>
      <c r="BW62" s="176">
        <v>0</v>
      </c>
      <c r="BX62" s="176">
        <f>G62</f>
        <v>18864000</v>
      </c>
      <c r="BY62" s="176">
        <f>BW62+BX62</f>
        <v>18864000</v>
      </c>
      <c r="BZ62" s="177">
        <f t="shared" si="1"/>
        <v>18864000</v>
      </c>
    </row>
    <row r="63" spans="1:78" s="672" customFormat="1" ht="32.25" customHeight="1" x14ac:dyDescent="0.25">
      <c r="A63" s="877"/>
      <c r="B63" s="671">
        <v>11620</v>
      </c>
      <c r="C63" s="642" t="s">
        <v>96</v>
      </c>
      <c r="D63" s="642" t="s">
        <v>739</v>
      </c>
      <c r="E63" s="642">
        <f>0.35*100000</f>
        <v>35000</v>
      </c>
      <c r="F63" s="641">
        <f t="shared" si="154"/>
        <v>145</v>
      </c>
      <c r="G63" s="656">
        <f>BK63</f>
        <v>3657500</v>
      </c>
      <c r="H63" s="656">
        <f t="shared" si="155"/>
        <v>731500</v>
      </c>
      <c r="I63" s="656">
        <f t="shared" si="156"/>
        <v>2926000</v>
      </c>
      <c r="J63" s="656">
        <f>G63*0</f>
        <v>0</v>
      </c>
      <c r="K63" s="656">
        <f>G63*0</f>
        <v>0</v>
      </c>
      <c r="L63" s="656">
        <f t="shared" si="157"/>
        <v>0</v>
      </c>
      <c r="M63" s="656">
        <f t="shared" si="158"/>
        <v>0</v>
      </c>
      <c r="N63" s="656">
        <f t="shared" si="159"/>
        <v>0</v>
      </c>
      <c r="O63" s="656">
        <f t="shared" si="160"/>
        <v>0</v>
      </c>
      <c r="P63" s="656">
        <f t="shared" si="161"/>
        <v>0</v>
      </c>
      <c r="Q63" s="656">
        <f t="shared" si="162"/>
        <v>0</v>
      </c>
      <c r="R63" s="156">
        <f t="shared" ref="R63:R68" si="173">F63*0.1</f>
        <v>14.5</v>
      </c>
      <c r="S63" s="801">
        <f t="shared" ref="S63:S68" si="174">F63*0.25</f>
        <v>36.25</v>
      </c>
      <c r="T63" s="801">
        <f t="shared" ref="T63:T68" si="175">F63*0.35</f>
        <v>50.75</v>
      </c>
      <c r="U63" s="801">
        <f t="shared" ref="U63:U68" si="176">F63*0.3</f>
        <v>43.5</v>
      </c>
      <c r="V63" s="156">
        <f t="shared" ref="V63:V68" si="177">R63*E63</f>
        <v>507500</v>
      </c>
      <c r="W63" s="156">
        <f t="shared" ref="W63:W68" si="178">S63*E63</f>
        <v>1268750</v>
      </c>
      <c r="X63" s="156">
        <f t="shared" ref="X63:X68" si="179">T63*E63</f>
        <v>1776250</v>
      </c>
      <c r="Y63" s="156">
        <f t="shared" ref="Y63:Y68" si="180">U63*E63</f>
        <v>1522500</v>
      </c>
      <c r="Z63" s="656">
        <v>0</v>
      </c>
      <c r="AA63" s="656">
        <f>E63*Z63</f>
        <v>0</v>
      </c>
      <c r="AB63" s="656">
        <v>0</v>
      </c>
      <c r="AC63" s="656">
        <f>E63*AB63</f>
        <v>0</v>
      </c>
      <c r="AD63" s="656">
        <v>0</v>
      </c>
      <c r="AE63" s="656">
        <f>E63*AD63</f>
        <v>0</v>
      </c>
      <c r="AF63" s="656">
        <v>0</v>
      </c>
      <c r="AG63" s="656">
        <f>AF63*E63</f>
        <v>0</v>
      </c>
      <c r="AH63" s="656">
        <v>4</v>
      </c>
      <c r="AI63" s="656">
        <f>AH63*E63</f>
        <v>140000</v>
      </c>
      <c r="AJ63" s="656">
        <v>21</v>
      </c>
      <c r="AK63" s="656">
        <f>E63*AJ63</f>
        <v>735000</v>
      </c>
      <c r="AL63" s="656">
        <v>0</v>
      </c>
      <c r="AM63" s="656">
        <f>AL63*E63</f>
        <v>0</v>
      </c>
      <c r="AN63" s="656">
        <v>25</v>
      </c>
      <c r="AO63" s="656">
        <f>AN63*35000*0.5</f>
        <v>437500</v>
      </c>
      <c r="AP63" s="656">
        <v>0</v>
      </c>
      <c r="AQ63" s="656">
        <f>AP63*E63</f>
        <v>0</v>
      </c>
      <c r="AR63" s="656">
        <v>0</v>
      </c>
      <c r="AS63" s="656">
        <f>E63*AR63</f>
        <v>0</v>
      </c>
      <c r="AT63" s="673">
        <v>0</v>
      </c>
      <c r="AU63" s="656">
        <f>E63*AT63</f>
        <v>0</v>
      </c>
      <c r="AV63" s="673">
        <v>2</v>
      </c>
      <c r="AW63" s="656">
        <f>AV63*E63</f>
        <v>70000</v>
      </c>
      <c r="AX63" s="656">
        <v>0</v>
      </c>
      <c r="AY63" s="656">
        <f>AX63*E63</f>
        <v>0</v>
      </c>
      <c r="AZ63" s="673">
        <v>0</v>
      </c>
      <c r="BA63" s="656">
        <f>E63*AZ63</f>
        <v>0</v>
      </c>
      <c r="BB63" s="656">
        <v>1</v>
      </c>
      <c r="BC63" s="656">
        <f>E63*BB63</f>
        <v>35000</v>
      </c>
      <c r="BD63" s="656">
        <v>56</v>
      </c>
      <c r="BE63" s="656">
        <f>BD63*35000*0.5</f>
        <v>980000</v>
      </c>
      <c r="BF63" s="656">
        <v>36</v>
      </c>
      <c r="BG63" s="656">
        <f>BF63*35000</f>
        <v>1260000</v>
      </c>
      <c r="BH63" s="673"/>
      <c r="BI63" s="656"/>
      <c r="BJ63" s="673">
        <f t="shared" si="171"/>
        <v>145</v>
      </c>
      <c r="BK63" s="656">
        <f t="shared" si="171"/>
        <v>3657500</v>
      </c>
      <c r="BL63" s="674"/>
      <c r="BM63" s="674"/>
      <c r="BN63" s="674" t="s">
        <v>72</v>
      </c>
      <c r="BO63" s="675"/>
      <c r="BP63" s="676" t="s">
        <v>467</v>
      </c>
      <c r="BR63" s="677"/>
      <c r="BS63" s="677">
        <f t="shared" ref="BS63:BS68" si="181">G63</f>
        <v>3657500</v>
      </c>
      <c r="BT63" s="677"/>
      <c r="BU63" s="677"/>
      <c r="BV63" s="677">
        <f t="shared" si="172"/>
        <v>3657500</v>
      </c>
      <c r="BW63" s="677"/>
      <c r="BX63" s="677"/>
      <c r="BY63" s="677">
        <f>BW63+BX63</f>
        <v>0</v>
      </c>
      <c r="BZ63" s="678">
        <f t="shared" si="1"/>
        <v>3657500</v>
      </c>
    </row>
    <row r="64" spans="1:78" ht="32.25" customHeight="1" x14ac:dyDescent="0.25">
      <c r="A64" s="877"/>
      <c r="B64" s="215">
        <v>11630</v>
      </c>
      <c r="C64" s="167" t="s">
        <v>701</v>
      </c>
      <c r="D64" s="167" t="s">
        <v>35</v>
      </c>
      <c r="E64" s="167">
        <f>0.0075*100000</f>
        <v>750</v>
      </c>
      <c r="F64" s="214">
        <f t="shared" si="154"/>
        <v>97</v>
      </c>
      <c r="G64" s="156">
        <f>E64*F64</f>
        <v>72750</v>
      </c>
      <c r="H64" s="156">
        <f t="shared" si="155"/>
        <v>14550</v>
      </c>
      <c r="I64" s="156">
        <f t="shared" si="156"/>
        <v>58200</v>
      </c>
      <c r="J64" s="156">
        <f>G64*0</f>
        <v>0</v>
      </c>
      <c r="K64" s="156">
        <f>G64*0</f>
        <v>0</v>
      </c>
      <c r="L64" s="156">
        <f t="shared" si="157"/>
        <v>0</v>
      </c>
      <c r="M64" s="156">
        <f t="shared" si="158"/>
        <v>0</v>
      </c>
      <c r="N64" s="156">
        <f t="shared" si="159"/>
        <v>0</v>
      </c>
      <c r="O64" s="156">
        <f t="shared" si="160"/>
        <v>0</v>
      </c>
      <c r="P64" s="156">
        <f t="shared" si="161"/>
        <v>0</v>
      </c>
      <c r="Q64" s="156">
        <f t="shared" si="162"/>
        <v>0</v>
      </c>
      <c r="R64" s="156">
        <f t="shared" si="173"/>
        <v>9.7000000000000011</v>
      </c>
      <c r="S64" s="801">
        <f t="shared" si="174"/>
        <v>24.25</v>
      </c>
      <c r="T64" s="801">
        <f t="shared" si="175"/>
        <v>33.949999999999996</v>
      </c>
      <c r="U64" s="801">
        <f t="shared" si="176"/>
        <v>29.099999999999998</v>
      </c>
      <c r="V64" s="156">
        <f t="shared" si="177"/>
        <v>7275.0000000000009</v>
      </c>
      <c r="W64" s="156">
        <f t="shared" si="178"/>
        <v>18187.5</v>
      </c>
      <c r="X64" s="156">
        <f t="shared" si="179"/>
        <v>25462.499999999996</v>
      </c>
      <c r="Y64" s="156">
        <f t="shared" si="180"/>
        <v>21825</v>
      </c>
      <c r="Z64" s="156">
        <v>0</v>
      </c>
      <c r="AA64" s="156">
        <f>Z64*750</f>
        <v>0</v>
      </c>
      <c r="AB64" s="156">
        <v>0</v>
      </c>
      <c r="AC64" s="156">
        <f>AB64*750</f>
        <v>0</v>
      </c>
      <c r="AD64" s="156">
        <v>0</v>
      </c>
      <c r="AE64" s="156">
        <f>AD64*750</f>
        <v>0</v>
      </c>
      <c r="AF64" s="156">
        <v>0</v>
      </c>
      <c r="AG64" s="156">
        <f>AF64*750</f>
        <v>0</v>
      </c>
      <c r="AH64" s="156">
        <v>1</v>
      </c>
      <c r="AI64" s="156">
        <f>AH64*750</f>
        <v>750</v>
      </c>
      <c r="AJ64" s="156">
        <v>0</v>
      </c>
      <c r="AK64" s="156">
        <f>AJ64*750</f>
        <v>0</v>
      </c>
      <c r="AL64" s="156">
        <v>0</v>
      </c>
      <c r="AM64" s="156">
        <f>AL64*750</f>
        <v>0</v>
      </c>
      <c r="AN64" s="156">
        <v>25</v>
      </c>
      <c r="AO64" s="156">
        <f>AN64*750</f>
        <v>18750</v>
      </c>
      <c r="AP64" s="156">
        <f>AP63*4</f>
        <v>0</v>
      </c>
      <c r="AQ64" s="156">
        <f>AP64*750</f>
        <v>0</v>
      </c>
      <c r="AR64" s="156">
        <v>0</v>
      </c>
      <c r="AS64" s="156">
        <f>AR64*750</f>
        <v>0</v>
      </c>
      <c r="AT64" s="156">
        <v>0</v>
      </c>
      <c r="AU64" s="156">
        <f>AT64*750</f>
        <v>0</v>
      </c>
      <c r="AV64" s="156">
        <v>2</v>
      </c>
      <c r="AW64" s="156">
        <f>AV64*750</f>
        <v>1500</v>
      </c>
      <c r="AX64" s="156">
        <v>0</v>
      </c>
      <c r="AY64" s="156">
        <f>AX64*750</f>
        <v>0</v>
      </c>
      <c r="AZ64" s="216">
        <v>0</v>
      </c>
      <c r="BA64" s="156">
        <f>AZ64*750</f>
        <v>0</v>
      </c>
      <c r="BB64" s="156">
        <v>13</v>
      </c>
      <c r="BC64" s="156">
        <f>BB64*750</f>
        <v>9750</v>
      </c>
      <c r="BD64" s="156">
        <v>56</v>
      </c>
      <c r="BE64" s="156">
        <f>BD64*750</f>
        <v>42000</v>
      </c>
      <c r="BF64" s="156">
        <v>0</v>
      </c>
      <c r="BG64" s="156">
        <f>BF64*E64</f>
        <v>0</v>
      </c>
      <c r="BH64" s="216">
        <f>BH63*4</f>
        <v>0</v>
      </c>
      <c r="BI64" s="156">
        <f>BH64*750</f>
        <v>0</v>
      </c>
      <c r="BJ64" s="216">
        <f t="shared" si="171"/>
        <v>97</v>
      </c>
      <c r="BK64" s="156">
        <f t="shared" si="171"/>
        <v>72750</v>
      </c>
      <c r="BL64" s="85" t="s">
        <v>589</v>
      </c>
      <c r="BM64" s="85"/>
      <c r="BN64" s="85"/>
      <c r="BO64" s="117"/>
      <c r="BP64" s="321" t="s">
        <v>467</v>
      </c>
      <c r="BR64" s="113"/>
      <c r="BS64" s="113">
        <f t="shared" si="181"/>
        <v>72750</v>
      </c>
      <c r="BT64" s="113"/>
      <c r="BU64" s="113"/>
      <c r="BV64" s="113">
        <f t="shared" si="172"/>
        <v>72750</v>
      </c>
      <c r="BW64" s="113"/>
      <c r="BX64" s="113"/>
      <c r="BY64" s="113">
        <f>BW64+BX64</f>
        <v>0</v>
      </c>
      <c r="BZ64" s="217">
        <f t="shared" si="1"/>
        <v>72750</v>
      </c>
    </row>
    <row r="65" spans="1:78" s="163" customFormat="1" ht="32.25" customHeight="1" x14ac:dyDescent="0.25">
      <c r="A65" s="877"/>
      <c r="B65" s="171">
        <v>11640</v>
      </c>
      <c r="C65" s="172" t="s">
        <v>702</v>
      </c>
      <c r="D65" s="172" t="s">
        <v>35</v>
      </c>
      <c r="E65" s="172">
        <v>375</v>
      </c>
      <c r="F65" s="173">
        <f t="shared" si="154"/>
        <v>4408</v>
      </c>
      <c r="G65" s="174">
        <f>E65*F65</f>
        <v>1653000</v>
      </c>
      <c r="H65" s="174">
        <f t="shared" si="155"/>
        <v>330600</v>
      </c>
      <c r="I65" s="174">
        <f t="shared" si="156"/>
        <v>1322400</v>
      </c>
      <c r="J65" s="174">
        <f>G65*0</f>
        <v>0</v>
      </c>
      <c r="K65" s="174">
        <f>G65*0</f>
        <v>0</v>
      </c>
      <c r="L65" s="174">
        <f t="shared" si="157"/>
        <v>0</v>
      </c>
      <c r="M65" s="174">
        <f t="shared" si="158"/>
        <v>0</v>
      </c>
      <c r="N65" s="174">
        <f t="shared" si="159"/>
        <v>0</v>
      </c>
      <c r="O65" s="174">
        <f t="shared" si="160"/>
        <v>0</v>
      </c>
      <c r="P65" s="174">
        <f t="shared" si="161"/>
        <v>0</v>
      </c>
      <c r="Q65" s="174">
        <f t="shared" si="162"/>
        <v>0</v>
      </c>
      <c r="R65" s="156">
        <f t="shared" si="173"/>
        <v>440.8</v>
      </c>
      <c r="S65" s="801">
        <f t="shared" si="174"/>
        <v>1102</v>
      </c>
      <c r="T65" s="801">
        <f t="shared" si="175"/>
        <v>1542.8</v>
      </c>
      <c r="U65" s="801">
        <f t="shared" si="176"/>
        <v>1322.3999999999999</v>
      </c>
      <c r="V65" s="156">
        <f t="shared" si="177"/>
        <v>165300</v>
      </c>
      <c r="W65" s="156">
        <f t="shared" si="178"/>
        <v>413250</v>
      </c>
      <c r="X65" s="156">
        <f t="shared" si="179"/>
        <v>578550</v>
      </c>
      <c r="Y65" s="156">
        <f t="shared" si="180"/>
        <v>495899.99999999994</v>
      </c>
      <c r="Z65" s="174">
        <f>Z73*4</f>
        <v>192</v>
      </c>
      <c r="AA65" s="174">
        <f>Z65*375</f>
        <v>72000</v>
      </c>
      <c r="AB65" s="174">
        <f>23*4</f>
        <v>92</v>
      </c>
      <c r="AC65" s="174">
        <f>AB65*375</f>
        <v>34500</v>
      </c>
      <c r="AD65" s="174">
        <f>80*4</f>
        <v>320</v>
      </c>
      <c r="AE65" s="174">
        <f>AD65*375</f>
        <v>120000</v>
      </c>
      <c r="AF65" s="174">
        <f>105*4</f>
        <v>420</v>
      </c>
      <c r="AG65" s="174">
        <f>AF65*375</f>
        <v>157500</v>
      </c>
      <c r="AH65" s="174">
        <f>43*4</f>
        <v>172</v>
      </c>
      <c r="AI65" s="174">
        <f>AH65*375</f>
        <v>64500</v>
      </c>
      <c r="AJ65" s="174">
        <f>75*4</f>
        <v>300</v>
      </c>
      <c r="AK65" s="174">
        <f>AJ65*375</f>
        <v>112500</v>
      </c>
      <c r="AL65" s="174">
        <f>41*4</f>
        <v>164</v>
      </c>
      <c r="AM65" s="174">
        <f>AL65*375</f>
        <v>61500</v>
      </c>
      <c r="AN65" s="174">
        <v>400</v>
      </c>
      <c r="AO65" s="174">
        <f>AN65*375</f>
        <v>150000</v>
      </c>
      <c r="AP65" s="174">
        <f>8*4</f>
        <v>32</v>
      </c>
      <c r="AQ65" s="174">
        <f>AP65*375</f>
        <v>12000</v>
      </c>
      <c r="AR65" s="174">
        <f>33*4</f>
        <v>132</v>
      </c>
      <c r="AS65" s="174">
        <f>AR65*375</f>
        <v>49500</v>
      </c>
      <c r="AT65" s="174">
        <f>53*4</f>
        <v>212</v>
      </c>
      <c r="AU65" s="174">
        <f>AT65*375</f>
        <v>79500</v>
      </c>
      <c r="AV65" s="174">
        <f>52*4</f>
        <v>208</v>
      </c>
      <c r="AW65" s="174">
        <f>AV65*375</f>
        <v>78000</v>
      </c>
      <c r="AX65" s="174">
        <f>76*4</f>
        <v>304</v>
      </c>
      <c r="AY65" s="174">
        <f>AX65*375</f>
        <v>114000</v>
      </c>
      <c r="AZ65" s="175">
        <f>82*4</f>
        <v>328</v>
      </c>
      <c r="BA65" s="174">
        <f>AZ65*375</f>
        <v>123000</v>
      </c>
      <c r="BB65" s="174">
        <f>92*4</f>
        <v>368</v>
      </c>
      <c r="BC65" s="174">
        <f>BB65*375</f>
        <v>138000</v>
      </c>
      <c r="BD65" s="174">
        <f>137*4</f>
        <v>548</v>
      </c>
      <c r="BE65" s="174">
        <f>BD65*375</f>
        <v>205500</v>
      </c>
      <c r="BF65" s="174">
        <f>54*4</f>
        <v>216</v>
      </c>
      <c r="BG65" s="174">
        <f>BF65*375</f>
        <v>81000</v>
      </c>
      <c r="BH65" s="175">
        <f>BH63*2</f>
        <v>0</v>
      </c>
      <c r="BI65" s="174">
        <f>BH65*750</f>
        <v>0</v>
      </c>
      <c r="BJ65" s="216">
        <f t="shared" si="171"/>
        <v>4408</v>
      </c>
      <c r="BK65" s="156">
        <f t="shared" si="171"/>
        <v>1653000</v>
      </c>
      <c r="BL65" s="133" t="s">
        <v>590</v>
      </c>
      <c r="BM65" s="133"/>
      <c r="BN65" s="133"/>
      <c r="BO65" s="322"/>
      <c r="BP65" s="320" t="s">
        <v>467</v>
      </c>
      <c r="BR65" s="176"/>
      <c r="BS65" s="176">
        <f t="shared" si="181"/>
        <v>1653000</v>
      </c>
      <c r="BT65" s="176"/>
      <c r="BU65" s="176"/>
      <c r="BV65" s="176">
        <f t="shared" si="172"/>
        <v>1653000</v>
      </c>
      <c r="BW65" s="176"/>
      <c r="BX65" s="176"/>
      <c r="BY65" s="176">
        <f>BW65+BX65</f>
        <v>0</v>
      </c>
      <c r="BZ65" s="177">
        <f t="shared" si="1"/>
        <v>1653000</v>
      </c>
    </row>
    <row r="66" spans="1:78" s="163" customFormat="1" ht="32.25" customHeight="1" x14ac:dyDescent="0.25">
      <c r="A66" s="877"/>
      <c r="B66" s="171">
        <v>11650</v>
      </c>
      <c r="C66" s="167" t="s">
        <v>703</v>
      </c>
      <c r="D66" s="172" t="s">
        <v>35</v>
      </c>
      <c r="E66" s="172">
        <f>0.0075*100000</f>
        <v>750</v>
      </c>
      <c r="F66" s="173">
        <f t="shared" si="154"/>
        <v>2204</v>
      </c>
      <c r="G66" s="174">
        <f>E66*F66</f>
        <v>1653000</v>
      </c>
      <c r="H66" s="174">
        <f t="shared" si="155"/>
        <v>330600</v>
      </c>
      <c r="I66" s="174">
        <f t="shared" si="156"/>
        <v>1322400</v>
      </c>
      <c r="J66" s="583">
        <f>G66*0</f>
        <v>0</v>
      </c>
      <c r="K66" s="583">
        <f>G66*0</f>
        <v>0</v>
      </c>
      <c r="L66" s="174">
        <f t="shared" si="157"/>
        <v>0</v>
      </c>
      <c r="M66" s="583">
        <f t="shared" si="158"/>
        <v>0</v>
      </c>
      <c r="N66" s="583">
        <f t="shared" si="159"/>
        <v>0</v>
      </c>
      <c r="O66" s="174">
        <f t="shared" si="160"/>
        <v>0</v>
      </c>
      <c r="P66" s="174">
        <f t="shared" si="161"/>
        <v>0</v>
      </c>
      <c r="Q66" s="174">
        <f t="shared" si="162"/>
        <v>0</v>
      </c>
      <c r="R66" s="156">
        <f t="shared" si="173"/>
        <v>220.4</v>
      </c>
      <c r="S66" s="801">
        <f t="shared" si="174"/>
        <v>551</v>
      </c>
      <c r="T66" s="801">
        <f t="shared" si="175"/>
        <v>771.4</v>
      </c>
      <c r="U66" s="801">
        <f t="shared" si="176"/>
        <v>661.19999999999993</v>
      </c>
      <c r="V66" s="156">
        <f t="shared" si="177"/>
        <v>165300</v>
      </c>
      <c r="W66" s="156">
        <f t="shared" si="178"/>
        <v>413250</v>
      </c>
      <c r="X66" s="156">
        <f t="shared" si="179"/>
        <v>578550</v>
      </c>
      <c r="Y66" s="156">
        <f t="shared" si="180"/>
        <v>495899.99999999994</v>
      </c>
      <c r="Z66" s="174">
        <f>Z74*2</f>
        <v>96</v>
      </c>
      <c r="AA66" s="174">
        <f>Z66*750</f>
        <v>72000</v>
      </c>
      <c r="AB66" s="174">
        <f>23*2</f>
        <v>46</v>
      </c>
      <c r="AC66" s="174">
        <f>AB66*750</f>
        <v>34500</v>
      </c>
      <c r="AD66" s="174">
        <f>80*2</f>
        <v>160</v>
      </c>
      <c r="AE66" s="174">
        <f>AD66*750</f>
        <v>120000</v>
      </c>
      <c r="AF66" s="174">
        <f>105*2</f>
        <v>210</v>
      </c>
      <c r="AG66" s="174">
        <f>AF66*750</f>
        <v>157500</v>
      </c>
      <c r="AH66" s="174">
        <f>43*2</f>
        <v>86</v>
      </c>
      <c r="AI66" s="174">
        <f>AH66*750</f>
        <v>64500</v>
      </c>
      <c r="AJ66" s="174">
        <f>75*2</f>
        <v>150</v>
      </c>
      <c r="AK66" s="174">
        <f>AJ66*750</f>
        <v>112500</v>
      </c>
      <c r="AL66" s="174">
        <f>41*2</f>
        <v>82</v>
      </c>
      <c r="AM66" s="174">
        <f>AL66*750</f>
        <v>61500</v>
      </c>
      <c r="AN66" s="174">
        <v>200</v>
      </c>
      <c r="AO66" s="174">
        <f>AN66*750</f>
        <v>150000</v>
      </c>
      <c r="AP66" s="174">
        <f>8*2</f>
        <v>16</v>
      </c>
      <c r="AQ66" s="174">
        <f>AP66*750</f>
        <v>12000</v>
      </c>
      <c r="AR66" s="174">
        <f>33*2</f>
        <v>66</v>
      </c>
      <c r="AS66" s="174">
        <f>AR66*750</f>
        <v>49500</v>
      </c>
      <c r="AT66" s="174">
        <f>53*2</f>
        <v>106</v>
      </c>
      <c r="AU66" s="174">
        <f>AT66*750</f>
        <v>79500</v>
      </c>
      <c r="AV66" s="174">
        <f>52*2</f>
        <v>104</v>
      </c>
      <c r="AW66" s="174">
        <f>AV66*750</f>
        <v>78000</v>
      </c>
      <c r="AX66" s="174">
        <f>76*2</f>
        <v>152</v>
      </c>
      <c r="AY66" s="174">
        <f>AX66*750</f>
        <v>114000</v>
      </c>
      <c r="AZ66" s="175">
        <f>82*2</f>
        <v>164</v>
      </c>
      <c r="BA66" s="174">
        <f>AZ66*750</f>
        <v>123000</v>
      </c>
      <c r="BB66" s="174">
        <f>92*2</f>
        <v>184</v>
      </c>
      <c r="BC66" s="174">
        <f>BB66*750</f>
        <v>138000</v>
      </c>
      <c r="BD66" s="174">
        <f>137*2</f>
        <v>274</v>
      </c>
      <c r="BE66" s="174">
        <f>BD66*750</f>
        <v>205500</v>
      </c>
      <c r="BF66" s="174">
        <f>54*2</f>
        <v>108</v>
      </c>
      <c r="BG66" s="174">
        <f>BF66*750</f>
        <v>81000</v>
      </c>
      <c r="BH66" s="175">
        <f>BH64*2</f>
        <v>0</v>
      </c>
      <c r="BI66" s="174">
        <f>BH66*750</f>
        <v>0</v>
      </c>
      <c r="BJ66" s="216">
        <f t="shared" si="171"/>
        <v>2204</v>
      </c>
      <c r="BK66" s="156">
        <f t="shared" si="171"/>
        <v>1653000</v>
      </c>
      <c r="BL66" s="133"/>
      <c r="BM66" s="133"/>
      <c r="BN66" s="133"/>
      <c r="BO66" s="322"/>
      <c r="BP66" s="320" t="s">
        <v>467</v>
      </c>
      <c r="BR66" s="176"/>
      <c r="BS66" s="176">
        <f t="shared" si="181"/>
        <v>1653000</v>
      </c>
      <c r="BT66" s="176"/>
      <c r="BU66" s="176"/>
      <c r="BV66" s="176">
        <f t="shared" si="172"/>
        <v>1653000</v>
      </c>
      <c r="BW66" s="176"/>
      <c r="BX66" s="176"/>
      <c r="BY66" s="176">
        <f>BW66+BX66</f>
        <v>0</v>
      </c>
      <c r="BZ66" s="177">
        <f t="shared" si="1"/>
        <v>1653000</v>
      </c>
    </row>
    <row r="67" spans="1:78" s="163" customFormat="1" ht="32.25" customHeight="1" x14ac:dyDescent="0.25">
      <c r="A67" s="877"/>
      <c r="B67" s="171"/>
      <c r="C67" s="167" t="s">
        <v>749</v>
      </c>
      <c r="D67" s="172" t="s">
        <v>772</v>
      </c>
      <c r="E67" s="172">
        <v>5000</v>
      </c>
      <c r="F67" s="173">
        <f t="shared" si="154"/>
        <v>1554</v>
      </c>
      <c r="G67" s="174">
        <f>E67*F67</f>
        <v>7770000</v>
      </c>
      <c r="H67" s="174">
        <f t="shared" si="155"/>
        <v>1554000</v>
      </c>
      <c r="I67" s="174">
        <f t="shared" si="156"/>
        <v>6216000</v>
      </c>
      <c r="J67" s="583"/>
      <c r="K67" s="583"/>
      <c r="L67" s="174">
        <f t="shared" si="157"/>
        <v>0</v>
      </c>
      <c r="M67" s="583">
        <f t="shared" si="158"/>
        <v>0</v>
      </c>
      <c r="N67" s="583">
        <f t="shared" si="159"/>
        <v>0</v>
      </c>
      <c r="O67" s="174">
        <f t="shared" si="160"/>
        <v>0</v>
      </c>
      <c r="P67" s="174">
        <f t="shared" si="161"/>
        <v>0</v>
      </c>
      <c r="Q67" s="174">
        <f t="shared" si="162"/>
        <v>0</v>
      </c>
      <c r="R67" s="156">
        <f t="shared" si="173"/>
        <v>155.4</v>
      </c>
      <c r="S67" s="801">
        <f t="shared" si="174"/>
        <v>388.5</v>
      </c>
      <c r="T67" s="801">
        <f t="shared" si="175"/>
        <v>543.9</v>
      </c>
      <c r="U67" s="801">
        <f t="shared" si="176"/>
        <v>466.2</v>
      </c>
      <c r="V67" s="156">
        <f t="shared" si="177"/>
        <v>777000</v>
      </c>
      <c r="W67" s="156">
        <f t="shared" si="178"/>
        <v>1942500</v>
      </c>
      <c r="X67" s="156">
        <f t="shared" si="179"/>
        <v>2719500</v>
      </c>
      <c r="Y67" s="156">
        <f t="shared" si="180"/>
        <v>2331000</v>
      </c>
      <c r="Z67" s="174">
        <v>96</v>
      </c>
      <c r="AA67" s="174">
        <f>Z67*E67</f>
        <v>480000</v>
      </c>
      <c r="AB67" s="174">
        <v>46</v>
      </c>
      <c r="AC67" s="174">
        <f>AB67*E67</f>
        <v>230000</v>
      </c>
      <c r="AD67" s="174">
        <v>116</v>
      </c>
      <c r="AE67" s="174">
        <f>AD67*E67</f>
        <v>580000</v>
      </c>
      <c r="AF67" s="174">
        <v>178</v>
      </c>
      <c r="AG67" s="174">
        <f>AF67*E67</f>
        <v>890000</v>
      </c>
      <c r="AH67" s="174">
        <v>68</v>
      </c>
      <c r="AI67" s="174">
        <f>AH67*E67</f>
        <v>340000</v>
      </c>
      <c r="AJ67" s="174">
        <v>50</v>
      </c>
      <c r="AK67" s="174">
        <f>AJ67*E67</f>
        <v>250000</v>
      </c>
      <c r="AL67" s="174">
        <v>34</v>
      </c>
      <c r="AM67" s="174">
        <f>AL67*E67</f>
        <v>170000</v>
      </c>
      <c r="AN67" s="174">
        <v>175</v>
      </c>
      <c r="AO67" s="174">
        <f>AN67*E67</f>
        <v>875000</v>
      </c>
      <c r="AP67" s="174">
        <v>16</v>
      </c>
      <c r="AQ67" s="174">
        <f>AP67*E67</f>
        <v>80000</v>
      </c>
      <c r="AR67" s="174">
        <v>32</v>
      </c>
      <c r="AS67" s="174">
        <f>AR67*E67</f>
        <v>160000</v>
      </c>
      <c r="AT67" s="174">
        <v>50</v>
      </c>
      <c r="AU67" s="174">
        <f>AT67*E67</f>
        <v>250000</v>
      </c>
      <c r="AV67" s="174">
        <v>100</v>
      </c>
      <c r="AW67" s="174">
        <f>AV67*E67</f>
        <v>500000</v>
      </c>
      <c r="AX67" s="174">
        <v>72</v>
      </c>
      <c r="AY67" s="174">
        <f>AX67*E67</f>
        <v>360000</v>
      </c>
      <c r="AZ67" s="175">
        <v>150</v>
      </c>
      <c r="BA67" s="174">
        <f>AZ67*E67</f>
        <v>750000</v>
      </c>
      <c r="BB67" s="174">
        <v>73</v>
      </c>
      <c r="BC67" s="174">
        <f>BB67*E67</f>
        <v>365000</v>
      </c>
      <c r="BD67" s="174">
        <v>190</v>
      </c>
      <c r="BE67" s="174">
        <f>BD67*E67</f>
        <v>950000</v>
      </c>
      <c r="BF67" s="174">
        <v>108</v>
      </c>
      <c r="BG67" s="174">
        <f>BF67*E67</f>
        <v>540000</v>
      </c>
      <c r="BH67" s="175">
        <v>0</v>
      </c>
      <c r="BI67" s="174"/>
      <c r="BJ67" s="216">
        <f t="shared" si="171"/>
        <v>1554</v>
      </c>
      <c r="BK67" s="156">
        <f t="shared" si="171"/>
        <v>7770000</v>
      </c>
      <c r="BL67" s="133"/>
      <c r="BM67" s="133"/>
      <c r="BN67" s="133"/>
      <c r="BO67" s="322"/>
      <c r="BP67" s="320" t="s">
        <v>467</v>
      </c>
      <c r="BR67" s="176"/>
      <c r="BS67" s="176">
        <f t="shared" si="181"/>
        <v>7770000</v>
      </c>
      <c r="BT67" s="176"/>
      <c r="BU67" s="176"/>
      <c r="BV67" s="176">
        <f t="shared" si="172"/>
        <v>7770000</v>
      </c>
      <c r="BW67" s="176"/>
      <c r="BX67" s="176"/>
      <c r="BY67" s="176"/>
      <c r="BZ67" s="177">
        <f t="shared" si="1"/>
        <v>7770000</v>
      </c>
    </row>
    <row r="68" spans="1:78" s="163" customFormat="1" ht="32.25" customHeight="1" x14ac:dyDescent="0.25">
      <c r="A68" s="877"/>
      <c r="B68" s="171"/>
      <c r="C68" s="167" t="s">
        <v>835</v>
      </c>
      <c r="D68" s="172" t="s">
        <v>836</v>
      </c>
      <c r="E68" s="172">
        <v>750</v>
      </c>
      <c r="F68" s="173">
        <v>0</v>
      </c>
      <c r="G68" s="174">
        <f>E68*F68</f>
        <v>0</v>
      </c>
      <c r="H68" s="174">
        <f t="shared" si="155"/>
        <v>0</v>
      </c>
      <c r="I68" s="174">
        <f>G68*0.8</f>
        <v>0</v>
      </c>
      <c r="J68" s="583"/>
      <c r="K68" s="583"/>
      <c r="L68" s="174"/>
      <c r="M68" s="583"/>
      <c r="N68" s="583"/>
      <c r="O68" s="174"/>
      <c r="P68" s="174"/>
      <c r="Q68" s="174"/>
      <c r="R68" s="156">
        <f t="shared" si="173"/>
        <v>0</v>
      </c>
      <c r="S68" s="801">
        <f t="shared" si="174"/>
        <v>0</v>
      </c>
      <c r="T68" s="801">
        <f t="shared" si="175"/>
        <v>0</v>
      </c>
      <c r="U68" s="801">
        <f t="shared" si="176"/>
        <v>0</v>
      </c>
      <c r="V68" s="156">
        <f t="shared" si="177"/>
        <v>0</v>
      </c>
      <c r="W68" s="156">
        <f t="shared" si="178"/>
        <v>0</v>
      </c>
      <c r="X68" s="156">
        <f t="shared" si="179"/>
        <v>0</v>
      </c>
      <c r="Y68" s="156">
        <f t="shared" si="180"/>
        <v>0</v>
      </c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5"/>
      <c r="BA68" s="174"/>
      <c r="BB68" s="174"/>
      <c r="BC68" s="174"/>
      <c r="BD68" s="174"/>
      <c r="BE68" s="174"/>
      <c r="BF68" s="174"/>
      <c r="BG68" s="174"/>
      <c r="BH68" s="175">
        <v>0</v>
      </c>
      <c r="BI68" s="174">
        <f>BH68*E68</f>
        <v>0</v>
      </c>
      <c r="BJ68" s="216">
        <f t="shared" si="171"/>
        <v>0</v>
      </c>
      <c r="BK68" s="156">
        <f t="shared" si="171"/>
        <v>0</v>
      </c>
      <c r="BL68" s="133"/>
      <c r="BM68" s="133"/>
      <c r="BN68" s="133"/>
      <c r="BO68" s="322"/>
      <c r="BP68" s="320" t="s">
        <v>467</v>
      </c>
      <c r="BR68" s="176"/>
      <c r="BS68" s="176">
        <f t="shared" si="181"/>
        <v>0</v>
      </c>
      <c r="BT68" s="176"/>
      <c r="BU68" s="176"/>
      <c r="BV68" s="176">
        <f t="shared" si="172"/>
        <v>0</v>
      </c>
      <c r="BW68" s="176"/>
      <c r="BX68" s="176"/>
      <c r="BY68" s="176"/>
      <c r="BZ68" s="177">
        <f t="shared" si="1"/>
        <v>0</v>
      </c>
    </row>
    <row r="69" spans="1:78" s="579" customFormat="1" ht="32.25" customHeight="1" x14ac:dyDescent="0.25">
      <c r="A69" s="877"/>
      <c r="B69" s="62"/>
      <c r="C69" s="139" t="s">
        <v>36</v>
      </c>
      <c r="D69" s="139"/>
      <c r="E69" s="170"/>
      <c r="F69" s="575">
        <f>SUM(F62:F68)</f>
        <v>20984</v>
      </c>
      <c r="G69" s="575">
        <f t="shared" ref="G69:BK69" si="182">SUM(G62:G68)</f>
        <v>33670250</v>
      </c>
      <c r="H69" s="575">
        <f t="shared" si="182"/>
        <v>6734050</v>
      </c>
      <c r="I69" s="575">
        <f t="shared" si="182"/>
        <v>26936200</v>
      </c>
      <c r="J69" s="575">
        <f t="shared" si="182"/>
        <v>0</v>
      </c>
      <c r="K69" s="575">
        <f t="shared" si="182"/>
        <v>0</v>
      </c>
      <c r="L69" s="575">
        <f t="shared" si="182"/>
        <v>0</v>
      </c>
      <c r="M69" s="575">
        <f t="shared" si="182"/>
        <v>0</v>
      </c>
      <c r="N69" s="575">
        <f t="shared" si="182"/>
        <v>0</v>
      </c>
      <c r="O69" s="575">
        <f t="shared" si="182"/>
        <v>0</v>
      </c>
      <c r="P69" s="575">
        <f t="shared" si="182"/>
        <v>0</v>
      </c>
      <c r="Q69" s="575">
        <f t="shared" si="182"/>
        <v>0</v>
      </c>
      <c r="R69" s="575">
        <f t="shared" si="182"/>
        <v>2098.4</v>
      </c>
      <c r="S69" s="575">
        <f t="shared" si="182"/>
        <v>5246</v>
      </c>
      <c r="T69" s="575">
        <f t="shared" si="182"/>
        <v>7344.3999999999987</v>
      </c>
      <c r="U69" s="575">
        <f t="shared" si="182"/>
        <v>6295.1999999999989</v>
      </c>
      <c r="V69" s="575">
        <f t="shared" si="182"/>
        <v>3508775</v>
      </c>
      <c r="W69" s="575">
        <f t="shared" si="182"/>
        <v>8771937.5</v>
      </c>
      <c r="X69" s="575">
        <f t="shared" si="182"/>
        <v>12280712.499999998</v>
      </c>
      <c r="Y69" s="575">
        <f t="shared" si="182"/>
        <v>10526325</v>
      </c>
      <c r="Z69" s="575">
        <f t="shared" si="182"/>
        <v>960</v>
      </c>
      <c r="AA69" s="575">
        <f t="shared" si="182"/>
        <v>1488000</v>
      </c>
      <c r="AB69" s="575">
        <f t="shared" si="182"/>
        <v>460</v>
      </c>
      <c r="AC69" s="575">
        <f t="shared" si="182"/>
        <v>713000</v>
      </c>
      <c r="AD69" s="575">
        <f t="shared" si="182"/>
        <v>1640</v>
      </c>
      <c r="AE69" s="575">
        <f t="shared" si="182"/>
        <v>2386000</v>
      </c>
      <c r="AF69" s="575">
        <f t="shared" si="182"/>
        <v>1876</v>
      </c>
      <c r="AG69" s="575">
        <f t="shared" si="182"/>
        <v>2807000</v>
      </c>
      <c r="AH69" s="575">
        <f t="shared" si="182"/>
        <v>787</v>
      </c>
      <c r="AI69" s="575">
        <f t="shared" si="182"/>
        <v>1293750</v>
      </c>
      <c r="AJ69" s="575">
        <f t="shared" si="182"/>
        <v>1373</v>
      </c>
      <c r="AK69" s="575">
        <f t="shared" si="182"/>
        <v>2488000</v>
      </c>
      <c r="AL69" s="575">
        <f t="shared" si="182"/>
        <v>736</v>
      </c>
      <c r="AM69" s="575">
        <f t="shared" si="182"/>
        <v>977000</v>
      </c>
      <c r="AN69" s="575">
        <f t="shared" si="182"/>
        <v>2025</v>
      </c>
      <c r="AO69" s="575">
        <f t="shared" si="182"/>
        <v>3431250</v>
      </c>
      <c r="AP69" s="575">
        <f t="shared" si="182"/>
        <v>160</v>
      </c>
      <c r="AQ69" s="575">
        <f t="shared" si="182"/>
        <v>248000</v>
      </c>
      <c r="AR69" s="575">
        <f t="shared" si="182"/>
        <v>614</v>
      </c>
      <c r="AS69" s="575">
        <f t="shared" si="182"/>
        <v>835000</v>
      </c>
      <c r="AT69" s="575">
        <f t="shared" si="182"/>
        <v>968</v>
      </c>
      <c r="AU69" s="575">
        <f t="shared" si="182"/>
        <v>1309000</v>
      </c>
      <c r="AV69" s="575">
        <f t="shared" si="182"/>
        <v>1016</v>
      </c>
      <c r="AW69" s="575">
        <f t="shared" si="182"/>
        <v>1627500</v>
      </c>
      <c r="AX69" s="575">
        <f t="shared" si="182"/>
        <v>1392</v>
      </c>
      <c r="AY69" s="575">
        <f t="shared" si="182"/>
        <v>1884000</v>
      </c>
      <c r="AZ69" s="575">
        <f t="shared" si="182"/>
        <v>1578</v>
      </c>
      <c r="BA69" s="575">
        <f t="shared" si="182"/>
        <v>2400000</v>
      </c>
      <c r="BB69" s="575">
        <f t="shared" si="182"/>
        <v>1515</v>
      </c>
      <c r="BC69" s="575">
        <f t="shared" si="182"/>
        <v>1999750</v>
      </c>
      <c r="BD69" s="575">
        <f t="shared" si="182"/>
        <v>2768</v>
      </c>
      <c r="BE69" s="575">
        <f t="shared" si="182"/>
        <v>4849000</v>
      </c>
      <c r="BF69" s="575">
        <f t="shared" si="182"/>
        <v>1116</v>
      </c>
      <c r="BG69" s="575">
        <f t="shared" si="182"/>
        <v>2934000</v>
      </c>
      <c r="BH69" s="575">
        <f t="shared" si="182"/>
        <v>0</v>
      </c>
      <c r="BI69" s="575">
        <f t="shared" si="182"/>
        <v>0</v>
      </c>
      <c r="BJ69" s="575">
        <f t="shared" si="182"/>
        <v>20984</v>
      </c>
      <c r="BK69" s="575">
        <f t="shared" si="182"/>
        <v>33670250</v>
      </c>
      <c r="BL69" s="139"/>
      <c r="BM69" s="576"/>
      <c r="BN69" s="139"/>
      <c r="BO69" s="577"/>
      <c r="BP69" s="342"/>
      <c r="BR69" s="566">
        <f t="shared" ref="BR69:BY69" si="183">SUM(BR62:BR66)</f>
        <v>0</v>
      </c>
      <c r="BS69" s="566">
        <f>SUM(BS63:BS68)</f>
        <v>14806250</v>
      </c>
      <c r="BT69" s="566">
        <f>SUM(BT63:BT68)</f>
        <v>0</v>
      </c>
      <c r="BU69" s="566">
        <f>SUM(BU63:BU68)</f>
        <v>0</v>
      </c>
      <c r="BV69" s="566">
        <f>SUM(BV63:BV68)</f>
        <v>14806250</v>
      </c>
      <c r="BW69" s="566">
        <f t="shared" si="183"/>
        <v>0</v>
      </c>
      <c r="BX69" s="566">
        <f t="shared" si="183"/>
        <v>18864000</v>
      </c>
      <c r="BY69" s="566">
        <f t="shared" si="183"/>
        <v>18864000</v>
      </c>
      <c r="BZ69" s="566">
        <f>SUM(BZ62:BZ68)</f>
        <v>33670250</v>
      </c>
    </row>
    <row r="70" spans="1:78" ht="32.25" customHeight="1" x14ac:dyDescent="0.25">
      <c r="A70" s="877"/>
      <c r="B70" s="215">
        <v>11700</v>
      </c>
      <c r="C70" s="167" t="s">
        <v>97</v>
      </c>
      <c r="D70" s="167" t="s">
        <v>35</v>
      </c>
      <c r="E70" s="167">
        <f>2*100000</f>
        <v>200000</v>
      </c>
      <c r="F70" s="214">
        <f>BJ70</f>
        <v>99</v>
      </c>
      <c r="G70" s="156">
        <f>E70*F70</f>
        <v>19800000</v>
      </c>
      <c r="H70" s="156">
        <f>G70*0</f>
        <v>0</v>
      </c>
      <c r="I70" s="156">
        <f>G70*1</f>
        <v>19800000</v>
      </c>
      <c r="J70" s="156">
        <f>G70*0</f>
        <v>0</v>
      </c>
      <c r="K70" s="156">
        <f>G70*0</f>
        <v>0</v>
      </c>
      <c r="L70" s="156">
        <f>G70*0</f>
        <v>0</v>
      </c>
      <c r="M70" s="156">
        <f>G70*0</f>
        <v>0</v>
      </c>
      <c r="N70" s="156">
        <f>G70*0</f>
        <v>0</v>
      </c>
      <c r="O70" s="156">
        <f>G70*0</f>
        <v>0</v>
      </c>
      <c r="P70" s="156">
        <f>G70*0</f>
        <v>0</v>
      </c>
      <c r="Q70" s="156">
        <f>G70*0</f>
        <v>0</v>
      </c>
      <c r="R70" s="156">
        <f t="shared" ref="R70" si="184">F70*0.1</f>
        <v>9.9</v>
      </c>
      <c r="S70" s="801">
        <f t="shared" ref="S70" si="185">F70*0.25</f>
        <v>24.75</v>
      </c>
      <c r="T70" s="801">
        <f t="shared" ref="T70" si="186">F70*0.35</f>
        <v>34.65</v>
      </c>
      <c r="U70" s="801">
        <f t="shared" ref="U70" si="187">F70*0.3</f>
        <v>29.7</v>
      </c>
      <c r="V70" s="156">
        <f t="shared" ref="V70" si="188">R70*E70</f>
        <v>1980000</v>
      </c>
      <c r="W70" s="156">
        <f t="shared" ref="W70" si="189">S70*E70</f>
        <v>4950000</v>
      </c>
      <c r="X70" s="156">
        <f t="shared" ref="X70" si="190">T70*E70</f>
        <v>6930000</v>
      </c>
      <c r="Y70" s="156">
        <f t="shared" ref="Y70" si="191">U70*E70</f>
        <v>5940000</v>
      </c>
      <c r="Z70" s="156">
        <v>0</v>
      </c>
      <c r="AA70" s="156">
        <f>(Z70*200000)</f>
        <v>0</v>
      </c>
      <c r="AB70" s="156">
        <v>0</v>
      </c>
      <c r="AC70" s="156">
        <f>(AB70*200000)</f>
        <v>0</v>
      </c>
      <c r="AD70" s="156">
        <v>11</v>
      </c>
      <c r="AE70" s="156">
        <f>(AD70*200000)</f>
        <v>2200000</v>
      </c>
      <c r="AF70" s="156">
        <v>0</v>
      </c>
      <c r="AG70" s="156">
        <f>(AF70*200000)</f>
        <v>0</v>
      </c>
      <c r="AH70" s="156">
        <v>4</v>
      </c>
      <c r="AI70" s="156">
        <f>(AH70*200000)</f>
        <v>800000</v>
      </c>
      <c r="AJ70" s="156">
        <v>12</v>
      </c>
      <c r="AK70" s="156">
        <f>(AJ70*200000)</f>
        <v>2400000</v>
      </c>
      <c r="AL70" s="156">
        <v>0</v>
      </c>
      <c r="AM70" s="156">
        <f>(AL70*200000)</f>
        <v>0</v>
      </c>
      <c r="AN70" s="156">
        <v>26</v>
      </c>
      <c r="AO70" s="156">
        <f>(AN70*200000)</f>
        <v>5200000</v>
      </c>
      <c r="AP70" s="156">
        <v>0</v>
      </c>
      <c r="AQ70" s="156"/>
      <c r="AR70" s="156">
        <v>0</v>
      </c>
      <c r="AS70" s="156">
        <f>(AR70*200000)</f>
        <v>0</v>
      </c>
      <c r="AT70" s="156">
        <v>2</v>
      </c>
      <c r="AU70" s="156">
        <f>(AT70*200000)</f>
        <v>400000</v>
      </c>
      <c r="AV70" s="156">
        <v>5</v>
      </c>
      <c r="AW70" s="156">
        <f>(AV70*200000)</f>
        <v>1000000</v>
      </c>
      <c r="AX70" s="156">
        <v>1</v>
      </c>
      <c r="AY70" s="156">
        <f>(AX70*200000)</f>
        <v>200000</v>
      </c>
      <c r="AZ70" s="156">
        <v>0</v>
      </c>
      <c r="BA70" s="156">
        <f>(AZ70*200000)</f>
        <v>0</v>
      </c>
      <c r="BB70" s="156">
        <v>18</v>
      </c>
      <c r="BC70" s="156">
        <f>(BB70*200000)</f>
        <v>3600000</v>
      </c>
      <c r="BD70" s="174">
        <v>20</v>
      </c>
      <c r="BE70" s="174">
        <f>(BD70*200000)</f>
        <v>4000000</v>
      </c>
      <c r="BF70" s="156">
        <v>0</v>
      </c>
      <c r="BG70" s="156">
        <f>(BF70*200000)</f>
        <v>0</v>
      </c>
      <c r="BH70" s="216">
        <v>0</v>
      </c>
      <c r="BI70" s="156">
        <v>0</v>
      </c>
      <c r="BJ70" s="216">
        <f>Z70+AB70+AD70+AF70+AH70+AJ70+AL70+AN70+AP70+AR70+AT70+AV70+AX70+AZ70+BB70+BD70+BF70+BH70</f>
        <v>99</v>
      </c>
      <c r="BK70" s="156">
        <f>AA70+AC70+AE70+AG70+AI70+AK70+AM70+AO70+AQ70+AS70+AU70+AW70+AY70+BA70+BC70+BE70+BG70+BI70</f>
        <v>19800000</v>
      </c>
      <c r="BL70" s="85"/>
      <c r="BM70" s="85" t="s">
        <v>72</v>
      </c>
      <c r="BN70" s="85" t="s">
        <v>739</v>
      </c>
      <c r="BO70" s="117"/>
      <c r="BP70" s="321" t="s">
        <v>469</v>
      </c>
      <c r="BR70" s="113">
        <f>G70</f>
        <v>19800000</v>
      </c>
      <c r="BS70" s="113"/>
      <c r="BT70" s="113"/>
      <c r="BU70" s="113"/>
      <c r="BV70" s="113">
        <f>BR70+BS70+BT70+BU70</f>
        <v>19800000</v>
      </c>
      <c r="BW70" s="113"/>
      <c r="BX70" s="113"/>
      <c r="BY70" s="113">
        <f>BW70+BX70</f>
        <v>0</v>
      </c>
      <c r="BZ70" s="217">
        <f t="shared" si="1"/>
        <v>19800000</v>
      </c>
    </row>
    <row r="71" spans="1:78" s="579" customFormat="1" ht="32.25" customHeight="1" x14ac:dyDescent="0.25">
      <c r="A71" s="877"/>
      <c r="B71" s="62"/>
      <c r="C71" s="139" t="s">
        <v>36</v>
      </c>
      <c r="D71" s="139"/>
      <c r="E71" s="170"/>
      <c r="F71" s="575">
        <f>SUM(F70)</f>
        <v>99</v>
      </c>
      <c r="G71" s="170">
        <f>SUM(G70)</f>
        <v>19800000</v>
      </c>
      <c r="H71" s="170">
        <f t="shared" ref="H71:Q71" si="192">SUM(H70)</f>
        <v>0</v>
      </c>
      <c r="I71" s="170">
        <f t="shared" si="192"/>
        <v>19800000</v>
      </c>
      <c r="J71" s="170">
        <f t="shared" si="192"/>
        <v>0</v>
      </c>
      <c r="K71" s="170">
        <f t="shared" si="192"/>
        <v>0</v>
      </c>
      <c r="L71" s="170">
        <f t="shared" si="192"/>
        <v>0</v>
      </c>
      <c r="M71" s="170">
        <f t="shared" si="192"/>
        <v>0</v>
      </c>
      <c r="N71" s="170">
        <f t="shared" si="192"/>
        <v>0</v>
      </c>
      <c r="O71" s="170">
        <f t="shared" si="192"/>
        <v>0</v>
      </c>
      <c r="P71" s="170">
        <f t="shared" si="192"/>
        <v>0</v>
      </c>
      <c r="Q71" s="170">
        <f t="shared" si="192"/>
        <v>0</v>
      </c>
      <c r="R71" s="170">
        <f>SUM(R70)</f>
        <v>9.9</v>
      </c>
      <c r="S71" s="170">
        <f t="shared" ref="S71:Y71" si="193">SUM(S70)</f>
        <v>24.75</v>
      </c>
      <c r="T71" s="170">
        <f t="shared" si="193"/>
        <v>34.65</v>
      </c>
      <c r="U71" s="170">
        <f t="shared" si="193"/>
        <v>29.7</v>
      </c>
      <c r="V71" s="170">
        <f t="shared" si="193"/>
        <v>1980000</v>
      </c>
      <c r="W71" s="170">
        <f t="shared" si="193"/>
        <v>4950000</v>
      </c>
      <c r="X71" s="170">
        <f t="shared" si="193"/>
        <v>6930000</v>
      </c>
      <c r="Y71" s="170">
        <f t="shared" si="193"/>
        <v>5940000</v>
      </c>
      <c r="Z71" s="170">
        <f t="shared" ref="Z71:BK71" si="194">SUM(Z70)</f>
        <v>0</v>
      </c>
      <c r="AA71" s="170">
        <f t="shared" si="194"/>
        <v>0</v>
      </c>
      <c r="AB71" s="170">
        <f t="shared" si="194"/>
        <v>0</v>
      </c>
      <c r="AC71" s="170">
        <f t="shared" si="194"/>
        <v>0</v>
      </c>
      <c r="AD71" s="170">
        <f t="shared" si="194"/>
        <v>11</v>
      </c>
      <c r="AE71" s="170">
        <f t="shared" si="194"/>
        <v>2200000</v>
      </c>
      <c r="AF71" s="170">
        <f t="shared" si="194"/>
        <v>0</v>
      </c>
      <c r="AG71" s="170">
        <f t="shared" si="194"/>
        <v>0</v>
      </c>
      <c r="AH71" s="170">
        <f t="shared" si="194"/>
        <v>4</v>
      </c>
      <c r="AI71" s="170">
        <f t="shared" si="194"/>
        <v>800000</v>
      </c>
      <c r="AJ71" s="170">
        <f t="shared" si="194"/>
        <v>12</v>
      </c>
      <c r="AK71" s="170">
        <f t="shared" si="194"/>
        <v>2400000</v>
      </c>
      <c r="AL71" s="170">
        <f t="shared" si="194"/>
        <v>0</v>
      </c>
      <c r="AM71" s="170">
        <f t="shared" si="194"/>
        <v>0</v>
      </c>
      <c r="AN71" s="170">
        <f t="shared" si="194"/>
        <v>26</v>
      </c>
      <c r="AO71" s="170">
        <f t="shared" si="194"/>
        <v>5200000</v>
      </c>
      <c r="AP71" s="170">
        <f t="shared" si="194"/>
        <v>0</v>
      </c>
      <c r="AQ71" s="170">
        <f t="shared" si="194"/>
        <v>0</v>
      </c>
      <c r="AR71" s="170">
        <f t="shared" si="194"/>
        <v>0</v>
      </c>
      <c r="AS71" s="170">
        <f t="shared" si="194"/>
        <v>0</v>
      </c>
      <c r="AT71" s="170">
        <f t="shared" si="194"/>
        <v>2</v>
      </c>
      <c r="AU71" s="170">
        <f t="shared" si="194"/>
        <v>400000</v>
      </c>
      <c r="AV71" s="170">
        <f t="shared" si="194"/>
        <v>5</v>
      </c>
      <c r="AW71" s="170">
        <f t="shared" si="194"/>
        <v>1000000</v>
      </c>
      <c r="AX71" s="170">
        <f t="shared" si="194"/>
        <v>1</v>
      </c>
      <c r="AY71" s="170">
        <f t="shared" si="194"/>
        <v>200000</v>
      </c>
      <c r="AZ71" s="170">
        <f t="shared" si="194"/>
        <v>0</v>
      </c>
      <c r="BA71" s="170">
        <f t="shared" si="194"/>
        <v>0</v>
      </c>
      <c r="BB71" s="170">
        <f t="shared" si="194"/>
        <v>18</v>
      </c>
      <c r="BC71" s="170">
        <f t="shared" si="194"/>
        <v>3600000</v>
      </c>
      <c r="BD71" s="170">
        <f t="shared" si="194"/>
        <v>20</v>
      </c>
      <c r="BE71" s="170">
        <f t="shared" si="194"/>
        <v>4000000</v>
      </c>
      <c r="BF71" s="170">
        <f t="shared" si="194"/>
        <v>0</v>
      </c>
      <c r="BG71" s="170">
        <f t="shared" si="194"/>
        <v>0</v>
      </c>
      <c r="BH71" s="575">
        <f t="shared" si="194"/>
        <v>0</v>
      </c>
      <c r="BI71" s="170">
        <f t="shared" si="194"/>
        <v>0</v>
      </c>
      <c r="BJ71" s="575">
        <f t="shared" si="194"/>
        <v>99</v>
      </c>
      <c r="BK71" s="170">
        <f t="shared" si="194"/>
        <v>19800000</v>
      </c>
      <c r="BL71" s="139"/>
      <c r="BM71" s="576"/>
      <c r="BN71" s="139"/>
      <c r="BO71" s="577"/>
      <c r="BP71" s="139"/>
      <c r="BR71" s="566">
        <f t="shared" ref="BR71:BY71" si="195">SUM(BR70)</f>
        <v>19800000</v>
      </c>
      <c r="BS71" s="566">
        <f t="shared" si="195"/>
        <v>0</v>
      </c>
      <c r="BT71" s="566">
        <f t="shared" si="195"/>
        <v>0</v>
      </c>
      <c r="BU71" s="566">
        <f t="shared" si="195"/>
        <v>0</v>
      </c>
      <c r="BV71" s="566">
        <f t="shared" si="195"/>
        <v>19800000</v>
      </c>
      <c r="BW71" s="566">
        <f t="shared" si="195"/>
        <v>0</v>
      </c>
      <c r="BX71" s="566">
        <f t="shared" si="195"/>
        <v>0</v>
      </c>
      <c r="BY71" s="566">
        <f t="shared" si="195"/>
        <v>0</v>
      </c>
      <c r="BZ71" s="566">
        <f t="shared" si="1"/>
        <v>19800000</v>
      </c>
    </row>
    <row r="72" spans="1:78" ht="32.25" customHeight="1" x14ac:dyDescent="0.25">
      <c r="A72" s="878"/>
      <c r="B72" s="595"/>
      <c r="C72" s="596" t="s">
        <v>42</v>
      </c>
      <c r="D72" s="596"/>
      <c r="E72" s="597"/>
      <c r="F72" s="597">
        <f>F71+F69+F57+F44+F34+F29+F12</f>
        <v>27762</v>
      </c>
      <c r="G72" s="597">
        <f>G71+G60+G69+G57+G44+G34+G29+G12</f>
        <v>178228750</v>
      </c>
      <c r="H72" s="597">
        <f t="shared" ref="H72:BK72" si="196">H71+H60+H69+H57+H44+H34+H29+H12</f>
        <v>63632150</v>
      </c>
      <c r="I72" s="597">
        <f t="shared" si="196"/>
        <v>114596600</v>
      </c>
      <c r="J72" s="597">
        <f t="shared" si="196"/>
        <v>0</v>
      </c>
      <c r="K72" s="597">
        <f t="shared" si="196"/>
        <v>0</v>
      </c>
      <c r="L72" s="597">
        <f t="shared" si="196"/>
        <v>0</v>
      </c>
      <c r="M72" s="597">
        <f t="shared" si="196"/>
        <v>0</v>
      </c>
      <c r="N72" s="597">
        <f t="shared" si="196"/>
        <v>0</v>
      </c>
      <c r="O72" s="597">
        <f t="shared" si="196"/>
        <v>0</v>
      </c>
      <c r="P72" s="597">
        <f t="shared" si="196"/>
        <v>0</v>
      </c>
      <c r="Q72" s="597">
        <f t="shared" si="196"/>
        <v>0</v>
      </c>
      <c r="R72" s="597">
        <f t="shared" si="196"/>
        <v>2778.95</v>
      </c>
      <c r="S72" s="597">
        <f t="shared" si="196"/>
        <v>6941</v>
      </c>
      <c r="T72" s="597">
        <f t="shared" si="196"/>
        <v>9715.7000000000007</v>
      </c>
      <c r="U72" s="597">
        <f t="shared" si="196"/>
        <v>8328.3499999999985</v>
      </c>
      <c r="V72" s="597">
        <f t="shared" si="196"/>
        <v>33937825</v>
      </c>
      <c r="W72" s="597">
        <f t="shared" si="196"/>
        <v>44911562.5</v>
      </c>
      <c r="X72" s="597">
        <f t="shared" si="196"/>
        <v>52227387.5</v>
      </c>
      <c r="Y72" s="597">
        <f t="shared" si="196"/>
        <v>48569475</v>
      </c>
      <c r="Z72" s="597">
        <f t="shared" si="196"/>
        <v>1177</v>
      </c>
      <c r="AA72" s="597">
        <f t="shared" si="196"/>
        <v>8173500</v>
      </c>
      <c r="AB72" s="597">
        <f t="shared" si="196"/>
        <v>623</v>
      </c>
      <c r="AC72" s="597">
        <f t="shared" si="196"/>
        <v>7233650</v>
      </c>
      <c r="AD72" s="597">
        <f t="shared" si="196"/>
        <v>1868</v>
      </c>
      <c r="AE72" s="597">
        <f t="shared" si="196"/>
        <v>11286500</v>
      </c>
      <c r="AF72" s="597">
        <f t="shared" si="196"/>
        <v>2219</v>
      </c>
      <c r="AG72" s="597">
        <f t="shared" si="196"/>
        <v>9727150</v>
      </c>
      <c r="AH72" s="597">
        <f t="shared" si="196"/>
        <v>960</v>
      </c>
      <c r="AI72" s="597">
        <f t="shared" si="196"/>
        <v>8666050</v>
      </c>
      <c r="AJ72" s="597">
        <f t="shared" si="196"/>
        <v>1602</v>
      </c>
      <c r="AK72" s="597">
        <f t="shared" si="196"/>
        <v>11633500</v>
      </c>
      <c r="AL72" s="597">
        <f t="shared" si="196"/>
        <v>905</v>
      </c>
      <c r="AM72" s="597">
        <f t="shared" si="196"/>
        <v>7549300</v>
      </c>
      <c r="AN72" s="597">
        <f t="shared" si="196"/>
        <v>2408</v>
      </c>
      <c r="AO72" s="597">
        <f t="shared" si="196"/>
        <v>15552750</v>
      </c>
      <c r="AP72" s="597">
        <f t="shared" si="196"/>
        <v>233</v>
      </c>
      <c r="AQ72" s="597">
        <f t="shared" si="196"/>
        <v>6653900</v>
      </c>
      <c r="AR72" s="597">
        <f t="shared" si="196"/>
        <v>819</v>
      </c>
      <c r="AS72" s="597">
        <f t="shared" si="196"/>
        <v>7417200</v>
      </c>
      <c r="AT72" s="597">
        <f t="shared" si="196"/>
        <v>1187</v>
      </c>
      <c r="AU72" s="597">
        <f t="shared" si="196"/>
        <v>8394500</v>
      </c>
      <c r="AV72" s="597">
        <f t="shared" si="196"/>
        <v>1238</v>
      </c>
      <c r="AW72" s="597">
        <f t="shared" si="196"/>
        <v>9313000</v>
      </c>
      <c r="AX72" s="597">
        <f t="shared" si="196"/>
        <v>1610</v>
      </c>
      <c r="AY72" s="597">
        <f t="shared" si="196"/>
        <v>8849500</v>
      </c>
      <c r="AZ72" s="597">
        <f t="shared" si="196"/>
        <v>1795</v>
      </c>
      <c r="BA72" s="597">
        <f t="shared" si="196"/>
        <v>9185500</v>
      </c>
      <c r="BB72" s="597">
        <f t="shared" si="196"/>
        <v>1855</v>
      </c>
      <c r="BC72" s="597">
        <f t="shared" si="196"/>
        <v>12412250</v>
      </c>
      <c r="BD72" s="597">
        <f t="shared" si="196"/>
        <v>3215</v>
      </c>
      <c r="BE72" s="597">
        <f t="shared" si="196"/>
        <v>15788500</v>
      </c>
      <c r="BF72" s="597">
        <f t="shared" si="196"/>
        <v>1333</v>
      </c>
      <c r="BG72" s="597">
        <f t="shared" si="196"/>
        <v>9619500</v>
      </c>
      <c r="BH72" s="597">
        <f t="shared" si="196"/>
        <v>2716</v>
      </c>
      <c r="BI72" s="597">
        <f t="shared" si="196"/>
        <v>10772500</v>
      </c>
      <c r="BJ72" s="597">
        <f t="shared" si="196"/>
        <v>27763</v>
      </c>
      <c r="BK72" s="597">
        <f t="shared" si="196"/>
        <v>178228750</v>
      </c>
      <c r="BL72" s="85"/>
      <c r="BM72" s="85"/>
      <c r="BN72" s="85"/>
      <c r="BO72" s="117"/>
      <c r="BP72" s="144"/>
      <c r="BR72" s="552">
        <f>BR71+BR69+BR57+BR44+BR34+BR29+BR12+BR60</f>
        <v>19800000</v>
      </c>
      <c r="BS72" s="552">
        <f t="shared" ref="BS72:BY72" si="197">BS71+BS69+BS57+BS44+BS34+BS29+BS12+BS60</f>
        <v>25276750</v>
      </c>
      <c r="BT72" s="552">
        <f t="shared" si="197"/>
        <v>114288000</v>
      </c>
      <c r="BU72" s="552">
        <f t="shared" si="197"/>
        <v>0</v>
      </c>
      <c r="BV72" s="552">
        <f t="shared" si="197"/>
        <v>159364750</v>
      </c>
      <c r="BW72" s="552">
        <f t="shared" si="197"/>
        <v>0</v>
      </c>
      <c r="BX72" s="552">
        <f t="shared" si="197"/>
        <v>18864000</v>
      </c>
      <c r="BY72" s="552">
        <f t="shared" si="197"/>
        <v>18864000</v>
      </c>
      <c r="BZ72" s="552">
        <f t="shared" si="1"/>
        <v>178228750</v>
      </c>
    </row>
    <row r="73" spans="1:78" s="163" customFormat="1" ht="31.5" hidden="1" customHeight="1" x14ac:dyDescent="0.25">
      <c r="B73" s="598"/>
      <c r="E73" s="599"/>
      <c r="F73" s="599"/>
      <c r="G73" s="600">
        <f>G12+G29+G34+G44+G57+G69+G71</f>
        <v>164563750</v>
      </c>
      <c r="H73" s="600"/>
      <c r="I73" s="600"/>
      <c r="J73" s="600"/>
      <c r="K73" s="600"/>
      <c r="L73" s="600"/>
      <c r="M73" s="600"/>
      <c r="N73" s="600"/>
      <c r="Z73" s="163">
        <v>48</v>
      </c>
      <c r="AA73" s="600"/>
      <c r="AB73" s="163">
        <v>23</v>
      </c>
      <c r="AD73" s="163">
        <v>80</v>
      </c>
      <c r="AF73" s="163">
        <v>40</v>
      </c>
      <c r="AH73" s="163">
        <v>36</v>
      </c>
      <c r="AJ73" s="163">
        <v>40</v>
      </c>
      <c r="AL73" s="163">
        <v>16</v>
      </c>
      <c r="AN73" s="163">
        <v>34</v>
      </c>
      <c r="AP73" s="163">
        <v>8</v>
      </c>
      <c r="AR73" s="163">
        <v>20</v>
      </c>
      <c r="AT73" s="163">
        <v>26</v>
      </c>
      <c r="AV73" s="163">
        <v>22</v>
      </c>
      <c r="AX73" s="163">
        <v>32</v>
      </c>
      <c r="AZ73" s="163">
        <v>34</v>
      </c>
      <c r="BB73" s="163">
        <v>40</v>
      </c>
      <c r="BD73" s="163">
        <v>36</v>
      </c>
      <c r="BF73" s="163">
        <v>36</v>
      </c>
      <c r="BJ73" s="601">
        <f>Z73+AB73+AD73+AF73+AH73+AJ73+AL73+AN73+AP73+AR73+AT73+AV73+AX73+AZ73+BB73+BD73+BF73+BH73</f>
        <v>571</v>
      </c>
      <c r="BP73" s="549"/>
    </row>
    <row r="74" spans="1:78" s="602" customFormat="1" ht="15.75" hidden="1" customHeight="1" x14ac:dyDescent="0.25">
      <c r="B74" s="603"/>
      <c r="C74" s="602" t="s">
        <v>592</v>
      </c>
      <c r="E74" s="604"/>
      <c r="F74" s="875"/>
      <c r="G74" s="875"/>
      <c r="H74" s="605"/>
      <c r="I74" s="605"/>
      <c r="J74" s="605"/>
      <c r="K74" s="605"/>
      <c r="L74" s="605"/>
      <c r="M74" s="605"/>
      <c r="N74" s="605"/>
      <c r="Z74" s="602">
        <v>48</v>
      </c>
      <c r="AA74" s="606"/>
      <c r="AB74" s="602">
        <v>23</v>
      </c>
      <c r="AD74" s="602">
        <v>58</v>
      </c>
      <c r="AF74" s="602">
        <v>89</v>
      </c>
      <c r="AH74" s="602">
        <v>38</v>
      </c>
      <c r="AJ74" s="602">
        <v>71</v>
      </c>
      <c r="AL74" s="602">
        <v>34</v>
      </c>
      <c r="AN74" s="602">
        <v>75</v>
      </c>
      <c r="AP74" s="602">
        <v>8</v>
      </c>
      <c r="AR74" s="602">
        <v>32</v>
      </c>
      <c r="AT74" s="602">
        <v>50</v>
      </c>
      <c r="AV74" s="602">
        <v>50</v>
      </c>
      <c r="AX74" s="602">
        <v>71</v>
      </c>
      <c r="AZ74" s="602">
        <v>78</v>
      </c>
      <c r="BB74" s="602">
        <v>75</v>
      </c>
      <c r="BD74" s="602">
        <v>138</v>
      </c>
      <c r="BF74" s="602">
        <v>54</v>
      </c>
      <c r="BG74" s="602">
        <f>SUM(Z74:BF74)</f>
        <v>992</v>
      </c>
      <c r="BH74" s="602">
        <v>1004</v>
      </c>
      <c r="BP74" s="607"/>
    </row>
    <row r="75" spans="1:78" ht="15.75" hidden="1" customHeight="1" x14ac:dyDescent="0.25">
      <c r="B75" s="608"/>
      <c r="F75" s="256"/>
      <c r="G75" s="256"/>
      <c r="H75" s="256"/>
      <c r="I75" s="256"/>
      <c r="J75" s="256"/>
      <c r="K75" s="256"/>
      <c r="L75" s="256"/>
      <c r="M75" s="256"/>
      <c r="N75" s="256"/>
      <c r="Z75" s="39">
        <v>48</v>
      </c>
      <c r="AB75" s="39">
        <v>23</v>
      </c>
      <c r="AD75" s="39">
        <v>80</v>
      </c>
      <c r="AF75" s="39">
        <v>105</v>
      </c>
      <c r="AH75" s="39">
        <v>43</v>
      </c>
      <c r="AJ75" s="39">
        <v>76</v>
      </c>
      <c r="AL75" s="39">
        <v>41</v>
      </c>
      <c r="AN75" s="39">
        <v>101</v>
      </c>
      <c r="AP75" s="39">
        <v>8</v>
      </c>
      <c r="AR75" s="39">
        <v>33</v>
      </c>
      <c r="AT75" s="39">
        <v>53</v>
      </c>
      <c r="AV75" s="39">
        <v>52</v>
      </c>
      <c r="AX75" s="39">
        <v>76</v>
      </c>
      <c r="AZ75" s="39">
        <v>82</v>
      </c>
      <c r="BB75" s="39">
        <v>107</v>
      </c>
      <c r="BD75" s="39">
        <v>158</v>
      </c>
      <c r="BF75" s="39">
        <v>54</v>
      </c>
      <c r="BG75" s="39">
        <f>SUM(Z75:BF75)</f>
        <v>1140</v>
      </c>
    </row>
    <row r="76" spans="1:78" s="67" customFormat="1" ht="15.75" hidden="1" customHeight="1" x14ac:dyDescent="0.25">
      <c r="B76" s="609"/>
      <c r="C76" s="67" t="s">
        <v>591</v>
      </c>
      <c r="E76" s="610"/>
      <c r="F76" s="872"/>
      <c r="G76" s="872"/>
      <c r="H76" s="611"/>
      <c r="I76" s="611"/>
      <c r="J76" s="611"/>
      <c r="K76" s="611"/>
      <c r="L76" s="611"/>
      <c r="M76" s="611"/>
      <c r="N76" s="611"/>
      <c r="Z76" s="612">
        <v>24</v>
      </c>
      <c r="AB76" s="612">
        <v>10</v>
      </c>
      <c r="AD76" s="612">
        <v>18</v>
      </c>
      <c r="AF76" s="612">
        <v>20</v>
      </c>
      <c r="AH76" s="612">
        <v>18</v>
      </c>
      <c r="AJ76" s="612">
        <v>20</v>
      </c>
      <c r="AL76" s="612">
        <v>8</v>
      </c>
      <c r="AN76" s="612">
        <v>17</v>
      </c>
      <c r="AP76" s="612">
        <v>8</v>
      </c>
      <c r="AR76" s="612">
        <v>15</v>
      </c>
      <c r="AT76" s="612">
        <v>13</v>
      </c>
      <c r="AV76" s="612">
        <v>11</v>
      </c>
      <c r="AX76" s="612">
        <v>16</v>
      </c>
      <c r="AZ76" s="612">
        <v>17</v>
      </c>
      <c r="BB76" s="612">
        <v>20</v>
      </c>
      <c r="BD76" s="612">
        <v>17.5</v>
      </c>
      <c r="BF76" s="612">
        <v>17</v>
      </c>
      <c r="BG76" s="67">
        <v>270</v>
      </c>
      <c r="BH76" s="67">
        <v>255</v>
      </c>
    </row>
    <row r="77" spans="1:78" s="258" customFormat="1" ht="15.75" hidden="1" customHeight="1" x14ac:dyDescent="0.25">
      <c r="B77" s="613"/>
      <c r="E77" s="614"/>
      <c r="F77" s="615"/>
      <c r="G77" s="615"/>
      <c r="H77" s="615"/>
      <c r="I77" s="615"/>
      <c r="J77" s="615"/>
      <c r="K77" s="615"/>
      <c r="L77" s="615"/>
      <c r="M77" s="615"/>
      <c r="N77" s="615"/>
      <c r="Z77" s="616">
        <v>16</v>
      </c>
      <c r="AB77" s="616">
        <v>10</v>
      </c>
      <c r="AD77" s="616">
        <v>19</v>
      </c>
      <c r="AF77" s="616">
        <v>20</v>
      </c>
      <c r="AH77" s="616">
        <v>18</v>
      </c>
      <c r="AJ77" s="616">
        <v>20</v>
      </c>
      <c r="AL77" s="616">
        <v>8</v>
      </c>
      <c r="AN77" s="616">
        <v>17</v>
      </c>
      <c r="AP77" s="616">
        <v>4</v>
      </c>
      <c r="AR77" s="616">
        <v>10</v>
      </c>
      <c r="AT77" s="616">
        <v>13</v>
      </c>
      <c r="AV77" s="616">
        <v>11</v>
      </c>
      <c r="AX77" s="616">
        <v>16</v>
      </c>
      <c r="AZ77" s="616">
        <v>17</v>
      </c>
      <c r="BB77" s="616">
        <v>20</v>
      </c>
      <c r="BD77" s="616">
        <v>18</v>
      </c>
      <c r="BF77" s="616">
        <v>18</v>
      </c>
      <c r="BG77" s="616">
        <f>SUM(Z77:BF77)</f>
        <v>255</v>
      </c>
    </row>
    <row r="78" spans="1:78" ht="15.75" hidden="1" customHeight="1" x14ac:dyDescent="0.25">
      <c r="C78" s="39" t="s">
        <v>593</v>
      </c>
      <c r="Z78" s="39">
        <v>32</v>
      </c>
      <c r="AB78" s="39">
        <v>20</v>
      </c>
      <c r="AD78" s="39">
        <v>35</v>
      </c>
      <c r="AF78" s="39">
        <v>40</v>
      </c>
      <c r="AH78" s="39">
        <v>36</v>
      </c>
      <c r="AJ78" s="39">
        <v>40</v>
      </c>
      <c r="AL78" s="39">
        <v>16</v>
      </c>
      <c r="AN78" s="39">
        <v>35</v>
      </c>
      <c r="AP78" s="39">
        <v>8</v>
      </c>
      <c r="AR78" s="39">
        <v>21</v>
      </c>
      <c r="AT78" s="39">
        <v>26</v>
      </c>
      <c r="AV78" s="39">
        <v>22</v>
      </c>
      <c r="AX78" s="39">
        <v>32</v>
      </c>
      <c r="AZ78" s="39">
        <v>35</v>
      </c>
      <c r="BB78" s="39">
        <v>40</v>
      </c>
      <c r="BD78" s="39">
        <v>35</v>
      </c>
      <c r="BF78" s="39">
        <v>35</v>
      </c>
    </row>
    <row r="79" spans="1:78" s="617" customFormat="1" ht="15.75" hidden="1" customHeight="1" x14ac:dyDescent="0.25">
      <c r="B79" s="618"/>
      <c r="C79" s="617" t="s">
        <v>674</v>
      </c>
      <c r="E79" s="618"/>
      <c r="F79" s="618"/>
      <c r="G79" s="619">
        <v>51056700</v>
      </c>
      <c r="H79" s="619"/>
      <c r="I79" s="619"/>
      <c r="J79" s="619"/>
      <c r="K79" s="619"/>
      <c r="L79" s="619"/>
      <c r="M79" s="619"/>
      <c r="N79" s="619"/>
      <c r="Z79" s="617">
        <v>48</v>
      </c>
      <c r="AA79" s="619"/>
      <c r="AB79" s="617">
        <v>23</v>
      </c>
      <c r="AD79" s="617">
        <v>80</v>
      </c>
      <c r="AF79" s="617">
        <v>105</v>
      </c>
      <c r="AH79" s="617">
        <v>43</v>
      </c>
      <c r="AJ79" s="617">
        <v>75</v>
      </c>
      <c r="AL79" s="617">
        <v>41</v>
      </c>
      <c r="AN79" s="617">
        <v>101</v>
      </c>
      <c r="AP79" s="617">
        <v>8</v>
      </c>
      <c r="AR79" s="617">
        <v>33</v>
      </c>
      <c r="AT79" s="617">
        <v>53</v>
      </c>
      <c r="AV79" s="617">
        <v>52</v>
      </c>
      <c r="AX79" s="617">
        <v>76</v>
      </c>
      <c r="AZ79" s="617">
        <v>82</v>
      </c>
      <c r="BB79" s="617">
        <v>104</v>
      </c>
      <c r="BD79" s="617">
        <v>147</v>
      </c>
      <c r="BF79" s="617">
        <v>54</v>
      </c>
      <c r="BP79" s="620"/>
    </row>
    <row r="80" spans="1:78" ht="15.75" hidden="1" customHeight="1" x14ac:dyDescent="0.25">
      <c r="C80" s="39" t="s">
        <v>113</v>
      </c>
      <c r="G80" s="82">
        <f>G72+G79</f>
        <v>229285450</v>
      </c>
      <c r="Z80" s="40">
        <v>30</v>
      </c>
      <c r="AB80" s="40">
        <v>21</v>
      </c>
      <c r="AC80" s="82"/>
      <c r="AD80" s="40">
        <v>30</v>
      </c>
      <c r="AE80" s="82"/>
      <c r="AF80" s="40">
        <v>51</v>
      </c>
      <c r="AG80" s="82"/>
      <c r="AH80" s="40">
        <v>22</v>
      </c>
      <c r="AI80" s="82"/>
      <c r="AJ80" s="40">
        <v>30</v>
      </c>
      <c r="AK80" s="82"/>
      <c r="AL80" s="40">
        <v>22</v>
      </c>
      <c r="AM80" s="82"/>
      <c r="AN80" s="40">
        <v>50</v>
      </c>
      <c r="AO80" s="82"/>
      <c r="AP80" s="40">
        <v>6</v>
      </c>
      <c r="AQ80" s="82"/>
      <c r="AR80" s="40">
        <v>28</v>
      </c>
      <c r="AS80" s="82"/>
      <c r="AT80" s="40">
        <v>30</v>
      </c>
      <c r="AU80" s="82"/>
      <c r="AV80" s="40">
        <v>30</v>
      </c>
      <c r="AW80" s="82"/>
      <c r="AX80" s="40">
        <v>30</v>
      </c>
      <c r="AY80" s="82"/>
      <c r="AZ80" s="40">
        <v>30</v>
      </c>
      <c r="BA80" s="82"/>
      <c r="BB80" s="40">
        <v>45</v>
      </c>
      <c r="BC80" s="82"/>
      <c r="BD80" s="40">
        <v>60</v>
      </c>
      <c r="BE80" s="82"/>
      <c r="BF80" s="40">
        <v>30</v>
      </c>
      <c r="BG80" s="82"/>
      <c r="BH80" s="40">
        <f>SUM(Z80:BG80)</f>
        <v>545</v>
      </c>
      <c r="BI80" s="82"/>
    </row>
    <row r="81" spans="3:63" ht="24" hidden="1" customHeight="1" x14ac:dyDescent="0.25">
      <c r="Z81" s="40">
        <f>Z74-Z77</f>
        <v>32</v>
      </c>
      <c r="AA81" s="40">
        <f t="shared" ref="AA81:BG81" si="198">AA74-AA77</f>
        <v>0</v>
      </c>
      <c r="AB81" s="40">
        <f t="shared" si="198"/>
        <v>13</v>
      </c>
      <c r="AC81" s="40">
        <f t="shared" si="198"/>
        <v>0</v>
      </c>
      <c r="AD81" s="40">
        <f t="shared" si="198"/>
        <v>39</v>
      </c>
      <c r="AE81" s="40">
        <f t="shared" si="198"/>
        <v>0</v>
      </c>
      <c r="AF81" s="40">
        <f t="shared" si="198"/>
        <v>69</v>
      </c>
      <c r="AG81" s="40">
        <f t="shared" si="198"/>
        <v>0</v>
      </c>
      <c r="AH81" s="40">
        <f t="shared" si="198"/>
        <v>20</v>
      </c>
      <c r="AI81" s="40">
        <f t="shared" si="198"/>
        <v>0</v>
      </c>
      <c r="AJ81" s="40">
        <f t="shared" si="198"/>
        <v>51</v>
      </c>
      <c r="AK81" s="40">
        <f t="shared" si="198"/>
        <v>0</v>
      </c>
      <c r="AL81" s="40">
        <f t="shared" si="198"/>
        <v>26</v>
      </c>
      <c r="AM81" s="40">
        <f t="shared" si="198"/>
        <v>0</v>
      </c>
      <c r="AN81" s="40">
        <f t="shared" si="198"/>
        <v>58</v>
      </c>
      <c r="AO81" s="40">
        <f t="shared" si="198"/>
        <v>0</v>
      </c>
      <c r="AP81" s="40">
        <f t="shared" si="198"/>
        <v>4</v>
      </c>
      <c r="AQ81" s="40">
        <f t="shared" si="198"/>
        <v>0</v>
      </c>
      <c r="AR81" s="40">
        <f t="shared" si="198"/>
        <v>22</v>
      </c>
      <c r="AS81" s="40">
        <f t="shared" si="198"/>
        <v>0</v>
      </c>
      <c r="AT81" s="40">
        <f t="shared" si="198"/>
        <v>37</v>
      </c>
      <c r="AU81" s="40">
        <f t="shared" si="198"/>
        <v>0</v>
      </c>
      <c r="AV81" s="40">
        <f t="shared" si="198"/>
        <v>39</v>
      </c>
      <c r="AW81" s="40">
        <f t="shared" si="198"/>
        <v>0</v>
      </c>
      <c r="AX81" s="40">
        <f t="shared" si="198"/>
        <v>55</v>
      </c>
      <c r="AY81" s="40">
        <f t="shared" si="198"/>
        <v>0</v>
      </c>
      <c r="AZ81" s="40">
        <f t="shared" si="198"/>
        <v>61</v>
      </c>
      <c r="BA81" s="40">
        <f t="shared" si="198"/>
        <v>0</v>
      </c>
      <c r="BB81" s="40">
        <f t="shared" si="198"/>
        <v>55</v>
      </c>
      <c r="BC81" s="40">
        <f t="shared" si="198"/>
        <v>0</v>
      </c>
      <c r="BD81" s="40">
        <f t="shared" si="198"/>
        <v>120</v>
      </c>
      <c r="BE81" s="40">
        <f t="shared" si="198"/>
        <v>0</v>
      </c>
      <c r="BF81" s="40">
        <f t="shared" si="198"/>
        <v>36</v>
      </c>
      <c r="BG81" s="40">
        <f t="shared" si="198"/>
        <v>737</v>
      </c>
    </row>
    <row r="82" spans="3:63" ht="24" customHeight="1" x14ac:dyDescent="0.25">
      <c r="C82" s="39" t="s">
        <v>505</v>
      </c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BG82" s="82">
        <f>BG71+BG69+BG60+BG57+BG44+BG34+BG29+BG12</f>
        <v>9619500</v>
      </c>
      <c r="BI82" s="82">
        <f>BI71+BI69+BI60+BI57+BI44+BI34+BI29+BI12</f>
        <v>10772500</v>
      </c>
      <c r="BK82" s="82">
        <f>BK71+BK69+BK60+BK57+BK44+BK34+BK29+BK12</f>
        <v>178228750</v>
      </c>
    </row>
    <row r="83" spans="3:63" ht="15.75" customHeight="1" x14ac:dyDescent="0.25">
      <c r="C83" s="39" t="s">
        <v>506</v>
      </c>
      <c r="Y83" s="802">
        <f>35087750-G69</f>
        <v>1417500</v>
      </c>
    </row>
    <row r="84" spans="3:63" ht="15.75" customHeight="1" x14ac:dyDescent="0.25">
      <c r="C84" s="39" t="s">
        <v>507</v>
      </c>
      <c r="Y84" s="82"/>
    </row>
    <row r="85" spans="3:63" ht="15.75" customHeight="1" x14ac:dyDescent="0.25">
      <c r="C85" s="39" t="s">
        <v>508</v>
      </c>
    </row>
    <row r="86" spans="3:63" ht="15.75" customHeight="1" x14ac:dyDescent="0.25">
      <c r="C86" s="39" t="s">
        <v>509</v>
      </c>
    </row>
    <row r="87" spans="3:63" ht="15.75" customHeight="1" x14ac:dyDescent="0.25">
      <c r="C87" s="39" t="s">
        <v>510</v>
      </c>
    </row>
    <row r="88" spans="3:63" ht="15.75" customHeight="1" x14ac:dyDescent="0.25">
      <c r="C88" s="39" t="s">
        <v>511</v>
      </c>
    </row>
    <row r="89" spans="3:63" ht="15.75" customHeight="1" x14ac:dyDescent="0.25">
      <c r="C89" s="39" t="s">
        <v>512</v>
      </c>
    </row>
    <row r="90" spans="3:63" ht="15.75" customHeight="1" x14ac:dyDescent="0.25">
      <c r="C90" s="39" t="s">
        <v>513</v>
      </c>
    </row>
    <row r="91" spans="3:63" ht="15.75" customHeight="1" x14ac:dyDescent="0.25">
      <c r="C91" s="39" t="s">
        <v>514</v>
      </c>
    </row>
    <row r="92" spans="3:63" ht="15.75" customHeight="1" x14ac:dyDescent="0.25">
      <c r="C92" s="39" t="s">
        <v>515</v>
      </c>
    </row>
    <row r="93" spans="3:63" ht="15.75" customHeight="1" x14ac:dyDescent="0.25">
      <c r="C93" s="39" t="s">
        <v>516</v>
      </c>
    </row>
    <row r="94" spans="3:63" ht="15.75" customHeight="1" x14ac:dyDescent="0.25">
      <c r="C94" s="39" t="s">
        <v>517</v>
      </c>
    </row>
    <row r="95" spans="3:63" ht="15.75" customHeight="1" x14ac:dyDescent="0.25">
      <c r="C95" s="39" t="s">
        <v>518</v>
      </c>
    </row>
    <row r="96" spans="3:63" ht="15.75" customHeight="1" x14ac:dyDescent="0.25">
      <c r="C96" s="39" t="s">
        <v>519</v>
      </c>
    </row>
    <row r="97" spans="3:3" ht="15.75" customHeight="1" x14ac:dyDescent="0.25">
      <c r="C97" s="39" t="s">
        <v>520</v>
      </c>
    </row>
    <row r="98" spans="3:3" ht="15.75" customHeight="1" x14ac:dyDescent="0.25">
      <c r="C98" s="39" t="s">
        <v>847</v>
      </c>
    </row>
    <row r="100" spans="3:3" ht="24" customHeight="1" x14ac:dyDescent="0.25">
      <c r="C100" s="39" t="s">
        <v>900</v>
      </c>
    </row>
    <row r="101" spans="3:3" ht="24" customHeight="1" x14ac:dyDescent="0.25">
      <c r="C101" s="39" t="s">
        <v>901</v>
      </c>
    </row>
    <row r="102" spans="3:3" ht="24" customHeight="1" x14ac:dyDescent="0.25">
      <c r="C102" s="39" t="s">
        <v>493</v>
      </c>
    </row>
  </sheetData>
  <mergeCells count="41">
    <mergeCell ref="F76:G76"/>
    <mergeCell ref="A1:Q1"/>
    <mergeCell ref="C2:Q2"/>
    <mergeCell ref="C3:Q3"/>
    <mergeCell ref="C4:Q4"/>
    <mergeCell ref="C5:Q5"/>
    <mergeCell ref="A2:B2"/>
    <mergeCell ref="A3:B3"/>
    <mergeCell ref="A4:B4"/>
    <mergeCell ref="A5:B5"/>
    <mergeCell ref="F74:G74"/>
    <mergeCell ref="A9:A72"/>
    <mergeCell ref="A6:B6"/>
    <mergeCell ref="C6:Q6"/>
    <mergeCell ref="A7:E7"/>
    <mergeCell ref="F7:G7"/>
    <mergeCell ref="AT7:AU7"/>
    <mergeCell ref="AV7:AW7"/>
    <mergeCell ref="AX7:AY7"/>
    <mergeCell ref="BH7:BI7"/>
    <mergeCell ref="AH7:AI7"/>
    <mergeCell ref="AJ7:AK7"/>
    <mergeCell ref="AN7:AO7"/>
    <mergeCell ref="AP7:AQ7"/>
    <mergeCell ref="BD7:BE7"/>
    <mergeCell ref="BW7:BY7"/>
    <mergeCell ref="BZ7:BZ8"/>
    <mergeCell ref="H7:Q7"/>
    <mergeCell ref="BJ7:BK7"/>
    <mergeCell ref="R7:U7"/>
    <mergeCell ref="AD7:AE7"/>
    <mergeCell ref="AL7:AM7"/>
    <mergeCell ref="AF7:AG7"/>
    <mergeCell ref="BB7:BC7"/>
    <mergeCell ref="AZ7:BA7"/>
    <mergeCell ref="Z7:AA7"/>
    <mergeCell ref="AB7:AC7"/>
    <mergeCell ref="V7:Y7"/>
    <mergeCell ref="BF7:BG7"/>
    <mergeCell ref="BR7:BV7"/>
    <mergeCell ref="AR7:AS7"/>
  </mergeCells>
  <pageMargins left="0.17" right="0.17" top="0.5" bottom="0.75" header="0.3" footer="0.3"/>
  <pageSetup paperSize="9" scale="14" orientation="landscape" r:id="rId1"/>
  <ignoredErrors>
    <ignoredError sqref="AG64 AI64 AK64 AM66 AU64 AW64 AY64 AM64 AO64:AQ64 BE64 BH64 BH65 AS64 BA64 BC6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AKQ90"/>
  <sheetViews>
    <sheetView zoomScale="90" zoomScaleNormal="90" workbookViewId="0">
      <pane xSplit="7" ySplit="7" topLeftCell="P62" activePane="bottomRight" state="frozen"/>
      <selection activeCell="C1" sqref="C1"/>
      <selection pane="topRight" activeCell="H1" sqref="H1"/>
      <selection pane="bottomLeft" activeCell="C8" sqref="C8"/>
      <selection pane="bottomRight" activeCell="F68" sqref="F68"/>
    </sheetView>
  </sheetViews>
  <sheetFormatPr defaultColWidth="12.28515625" defaultRowHeight="33.75" customHeight="1" x14ac:dyDescent="0.25"/>
  <cols>
    <col min="1" max="1" width="12.28515625" style="39"/>
    <col min="2" max="2" width="12.28515625" style="106"/>
    <col min="3" max="3" width="31.7109375" style="106" customWidth="1"/>
    <col min="4" max="6" width="12.28515625" style="569"/>
    <col min="7" max="8" width="14.7109375" style="569" customWidth="1"/>
    <col min="9" max="9" width="15.7109375" style="569" customWidth="1"/>
    <col min="10" max="17" width="12.28515625" style="569"/>
    <col min="18" max="21" width="12.28515625" style="39"/>
    <col min="22" max="22" width="13.7109375" style="39" customWidth="1"/>
    <col min="23" max="23" width="15" style="39" customWidth="1"/>
    <col min="24" max="24" width="14.28515625" style="39" customWidth="1"/>
    <col min="25" max="25" width="16" style="39" customWidth="1"/>
    <col min="26" max="26" width="12.28515625" style="39"/>
    <col min="27" max="27" width="14.42578125" style="39" customWidth="1"/>
    <col min="28" max="28" width="12.28515625" style="39"/>
    <col min="29" max="29" width="15.140625" style="39" customWidth="1"/>
    <col min="30" max="30" width="12.28515625" style="39"/>
    <col min="31" max="31" width="15.140625" style="39" customWidth="1"/>
    <col min="32" max="32" width="12.28515625" style="39"/>
    <col min="33" max="33" width="14.140625" style="39" customWidth="1"/>
    <col min="34" max="48" width="12.28515625" style="39"/>
    <col min="49" max="49" width="16.42578125" style="39" customWidth="1"/>
    <col min="50" max="50" width="12.28515625" style="39"/>
    <col min="51" max="51" width="15.28515625" style="39" customWidth="1"/>
    <col min="52" max="52" width="12.28515625" style="39"/>
    <col min="53" max="53" width="15.140625" style="39" customWidth="1"/>
    <col min="54" max="54" width="12.28515625" style="39"/>
    <col min="55" max="55" width="15.140625" style="39" customWidth="1"/>
    <col min="56" max="56" width="12.28515625" style="39"/>
    <col min="57" max="57" width="14.28515625" style="39" customWidth="1"/>
    <col min="58" max="58" width="12.28515625" style="39" customWidth="1"/>
    <col min="59" max="59" width="15.140625" style="39" customWidth="1"/>
    <col min="60" max="60" width="12.28515625" style="39" customWidth="1"/>
    <col min="61" max="61" width="14.5703125" style="39" customWidth="1"/>
    <col min="62" max="62" width="12.28515625" style="39"/>
    <col min="63" max="63" width="14.5703125" style="39" customWidth="1"/>
    <col min="64" max="64" width="22.42578125" style="39" customWidth="1"/>
    <col min="65" max="65" width="5.140625" style="39" customWidth="1"/>
    <col min="66" max="66" width="12.28515625" style="39"/>
    <col min="67" max="67" width="15.140625" style="39" customWidth="1"/>
    <col min="68" max="68" width="16.28515625" style="39" customWidth="1"/>
    <col min="69" max="69" width="16" style="39" customWidth="1"/>
    <col min="70" max="70" width="16.7109375" style="39" customWidth="1"/>
    <col min="71" max="73" width="12.28515625" style="39"/>
    <col min="74" max="74" width="18.140625" style="39" customWidth="1"/>
    <col min="75" max="16384" width="12.28515625" style="39"/>
  </cols>
  <sheetData>
    <row r="1" spans="1:979" ht="24.75" hidden="1" customHeight="1" x14ac:dyDescent="0.25">
      <c r="A1" s="872" t="s">
        <v>407</v>
      </c>
      <c r="B1" s="872"/>
      <c r="C1" s="874" t="s">
        <v>401</v>
      </c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67"/>
      <c r="S1" s="67"/>
      <c r="T1" s="67"/>
      <c r="U1" s="67"/>
      <c r="V1" s="67"/>
      <c r="W1" s="67"/>
      <c r="X1" s="67"/>
      <c r="Y1" s="67"/>
    </row>
    <row r="2" spans="1:979" ht="18.75" hidden="1" customHeight="1" x14ac:dyDescent="0.25">
      <c r="A2" s="872" t="s">
        <v>403</v>
      </c>
      <c r="B2" s="872"/>
      <c r="C2" s="874" t="s">
        <v>402</v>
      </c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67"/>
      <c r="S2" s="67"/>
      <c r="T2" s="67"/>
      <c r="U2" s="67"/>
      <c r="V2" s="67"/>
      <c r="W2" s="67"/>
      <c r="X2" s="67"/>
      <c r="Y2" s="67"/>
      <c r="Z2" s="351" t="s">
        <v>781</v>
      </c>
      <c r="AA2" s="351">
        <v>8.34</v>
      </c>
      <c r="AB2" s="351"/>
      <c r="AC2" s="351">
        <v>2.85</v>
      </c>
      <c r="AD2" s="351"/>
      <c r="AE2" s="351">
        <v>8.3800000000000008</v>
      </c>
      <c r="AF2" s="351"/>
      <c r="AG2" s="351">
        <v>7.49</v>
      </c>
      <c r="AH2" s="351"/>
      <c r="AI2" s="351">
        <v>3.33</v>
      </c>
      <c r="AJ2" s="351"/>
      <c r="AK2" s="351">
        <v>6.64</v>
      </c>
      <c r="AL2" s="351"/>
      <c r="AM2" s="351">
        <v>3.67</v>
      </c>
      <c r="AN2" s="351"/>
      <c r="AO2" s="351">
        <v>5.0599999999999996</v>
      </c>
      <c r="AP2" s="351"/>
      <c r="AQ2" s="351">
        <v>5.94</v>
      </c>
      <c r="AR2" s="351"/>
      <c r="AS2" s="351">
        <v>6.85</v>
      </c>
      <c r="AT2" s="351"/>
      <c r="AU2" s="351">
        <v>7.45</v>
      </c>
      <c r="AV2" s="351"/>
      <c r="AW2" s="351">
        <v>5.13</v>
      </c>
      <c r="AX2" s="351"/>
      <c r="AY2" s="351">
        <v>4.8600000000000003</v>
      </c>
      <c r="AZ2" s="351"/>
      <c r="BA2" s="351">
        <v>5.79</v>
      </c>
      <c r="BB2" s="351"/>
      <c r="BC2" s="351">
        <v>5.3</v>
      </c>
      <c r="BD2" s="351"/>
      <c r="BE2" s="351">
        <v>3.47</v>
      </c>
      <c r="BF2" s="351"/>
      <c r="BG2" s="351">
        <v>9.42</v>
      </c>
      <c r="BH2" s="351"/>
      <c r="BI2" s="351"/>
      <c r="BJ2" s="351"/>
      <c r="BK2" s="351"/>
    </row>
    <row r="3" spans="1:979" ht="18.75" hidden="1" customHeight="1" x14ac:dyDescent="0.25">
      <c r="A3" s="872" t="s">
        <v>404</v>
      </c>
      <c r="B3" s="872"/>
      <c r="C3" s="874" t="s">
        <v>746</v>
      </c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67"/>
      <c r="S3" s="67"/>
      <c r="T3" s="67"/>
      <c r="U3" s="67"/>
      <c r="V3" s="67"/>
      <c r="W3" s="67"/>
      <c r="X3" s="67"/>
      <c r="Y3" s="67"/>
      <c r="Z3" s="351" t="s">
        <v>779</v>
      </c>
      <c r="AA3" s="351">
        <v>48</v>
      </c>
      <c r="AB3" s="351"/>
      <c r="AC3" s="351">
        <v>23</v>
      </c>
      <c r="AD3" s="351"/>
      <c r="AE3" s="351">
        <v>80</v>
      </c>
      <c r="AF3" s="351"/>
      <c r="AG3" s="351">
        <v>105</v>
      </c>
      <c r="AH3" s="351"/>
      <c r="AI3" s="351">
        <v>43</v>
      </c>
      <c r="AJ3" s="351"/>
      <c r="AK3" s="351">
        <v>75</v>
      </c>
      <c r="AL3" s="351"/>
      <c r="AM3" s="351">
        <v>41</v>
      </c>
      <c r="AN3" s="351"/>
      <c r="AO3" s="351">
        <v>101</v>
      </c>
      <c r="AP3" s="351"/>
      <c r="AQ3" s="351">
        <v>8</v>
      </c>
      <c r="AR3" s="351"/>
      <c r="AS3" s="351">
        <v>33</v>
      </c>
      <c r="AT3" s="351"/>
      <c r="AU3" s="351">
        <v>53</v>
      </c>
      <c r="AV3" s="351"/>
      <c r="AW3" s="351">
        <v>52</v>
      </c>
      <c r="AX3" s="351"/>
      <c r="AY3" s="351">
        <v>76</v>
      </c>
      <c r="AZ3" s="351"/>
      <c r="BA3" s="351">
        <v>82</v>
      </c>
      <c r="BB3" s="351"/>
      <c r="BC3" s="351">
        <v>104</v>
      </c>
      <c r="BD3" s="351"/>
      <c r="BE3" s="351">
        <v>147</v>
      </c>
      <c r="BF3" s="351"/>
      <c r="BG3" s="351">
        <v>54</v>
      </c>
      <c r="BH3" s="351"/>
      <c r="BI3" s="351"/>
      <c r="BJ3" s="351"/>
      <c r="BK3" s="351"/>
    </row>
    <row r="4" spans="1:979" ht="18.75" hidden="1" customHeight="1" x14ac:dyDescent="0.25">
      <c r="A4" s="872" t="s">
        <v>405</v>
      </c>
      <c r="B4" s="872"/>
      <c r="C4" s="874" t="s">
        <v>0</v>
      </c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67"/>
      <c r="S4" s="67"/>
      <c r="T4" s="67"/>
      <c r="U4" s="67"/>
      <c r="V4" s="67"/>
      <c r="W4" s="67"/>
      <c r="X4" s="67"/>
      <c r="Y4" s="67"/>
      <c r="Z4" s="351" t="s">
        <v>780</v>
      </c>
      <c r="AA4" s="442">
        <f>AA3/1125*100</f>
        <v>4.2666666666666666</v>
      </c>
      <c r="AB4" s="442">
        <f t="shared" ref="AB4:BG4" si="0">AB3/1125*100</f>
        <v>0</v>
      </c>
      <c r="AC4" s="442">
        <f t="shared" si="0"/>
        <v>2.0444444444444447</v>
      </c>
      <c r="AD4" s="442">
        <f t="shared" si="0"/>
        <v>0</v>
      </c>
      <c r="AE4" s="442">
        <f t="shared" si="0"/>
        <v>7.1111111111111107</v>
      </c>
      <c r="AF4" s="442">
        <f t="shared" si="0"/>
        <v>0</v>
      </c>
      <c r="AG4" s="442">
        <f t="shared" si="0"/>
        <v>9.3333333333333339</v>
      </c>
      <c r="AH4" s="442">
        <f t="shared" si="0"/>
        <v>0</v>
      </c>
      <c r="AI4" s="442">
        <f t="shared" si="0"/>
        <v>3.822222222222222</v>
      </c>
      <c r="AJ4" s="442">
        <f t="shared" si="0"/>
        <v>0</v>
      </c>
      <c r="AK4" s="442">
        <f t="shared" si="0"/>
        <v>6.666666666666667</v>
      </c>
      <c r="AL4" s="442">
        <f t="shared" si="0"/>
        <v>0</v>
      </c>
      <c r="AM4" s="442">
        <f t="shared" si="0"/>
        <v>3.6444444444444448</v>
      </c>
      <c r="AN4" s="442">
        <f t="shared" si="0"/>
        <v>0</v>
      </c>
      <c r="AO4" s="442">
        <f t="shared" si="0"/>
        <v>8.9777777777777779</v>
      </c>
      <c r="AP4" s="442">
        <f t="shared" si="0"/>
        <v>0</v>
      </c>
      <c r="AQ4" s="442">
        <f t="shared" si="0"/>
        <v>0.71111111111111114</v>
      </c>
      <c r="AR4" s="442">
        <f t="shared" si="0"/>
        <v>0</v>
      </c>
      <c r="AS4" s="442">
        <f t="shared" si="0"/>
        <v>2.9333333333333331</v>
      </c>
      <c r="AT4" s="442">
        <f t="shared" si="0"/>
        <v>0</v>
      </c>
      <c r="AU4" s="442">
        <f t="shared" si="0"/>
        <v>4.7111111111111112</v>
      </c>
      <c r="AV4" s="442">
        <f t="shared" si="0"/>
        <v>0</v>
      </c>
      <c r="AW4" s="442">
        <f t="shared" si="0"/>
        <v>4.6222222222222218</v>
      </c>
      <c r="AX4" s="442">
        <f t="shared" si="0"/>
        <v>0</v>
      </c>
      <c r="AY4" s="442">
        <f t="shared" si="0"/>
        <v>6.7555555555555546</v>
      </c>
      <c r="AZ4" s="442">
        <f t="shared" si="0"/>
        <v>0</v>
      </c>
      <c r="BA4" s="442">
        <f t="shared" si="0"/>
        <v>7.2888888888888896</v>
      </c>
      <c r="BB4" s="442">
        <f t="shared" si="0"/>
        <v>0</v>
      </c>
      <c r="BC4" s="442">
        <f t="shared" si="0"/>
        <v>9.2444444444444436</v>
      </c>
      <c r="BD4" s="442">
        <f t="shared" si="0"/>
        <v>0</v>
      </c>
      <c r="BE4" s="442">
        <f t="shared" si="0"/>
        <v>13.066666666666665</v>
      </c>
      <c r="BF4" s="442">
        <f t="shared" si="0"/>
        <v>0</v>
      </c>
      <c r="BG4" s="442">
        <f t="shared" si="0"/>
        <v>4.8</v>
      </c>
      <c r="BH4" s="351"/>
      <c r="BI4" s="351"/>
      <c r="BJ4" s="351"/>
      <c r="BK4" s="351"/>
    </row>
    <row r="5" spans="1:979" ht="18.75" hidden="1" customHeight="1" x14ac:dyDescent="0.25">
      <c r="A5" s="872" t="s">
        <v>429</v>
      </c>
      <c r="B5" s="872"/>
      <c r="C5" s="874" t="s">
        <v>428</v>
      </c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67"/>
      <c r="S5" s="67"/>
      <c r="T5" s="67"/>
      <c r="U5" s="67"/>
      <c r="V5" s="67"/>
      <c r="W5" s="67"/>
      <c r="X5" s="67"/>
      <c r="Y5" s="67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</row>
    <row r="6" spans="1:979" ht="18.600000000000001" customHeight="1" x14ac:dyDescent="0.25">
      <c r="A6" s="553"/>
      <c r="B6" s="553"/>
      <c r="C6" s="553"/>
      <c r="D6" s="553"/>
      <c r="E6" s="554"/>
      <c r="F6" s="902" t="s">
        <v>11</v>
      </c>
      <c r="G6" s="903"/>
      <c r="H6" s="865" t="s">
        <v>400</v>
      </c>
      <c r="I6" s="866"/>
      <c r="J6" s="866"/>
      <c r="K6" s="866"/>
      <c r="L6" s="866"/>
      <c r="M6" s="866"/>
      <c r="N6" s="866"/>
      <c r="O6" s="866"/>
      <c r="P6" s="866"/>
      <c r="Q6" s="867"/>
      <c r="R6" s="886" t="s">
        <v>67</v>
      </c>
      <c r="S6" s="887"/>
      <c r="T6" s="887"/>
      <c r="U6" s="888"/>
      <c r="V6" s="892" t="s">
        <v>6</v>
      </c>
      <c r="W6" s="887"/>
      <c r="X6" s="887"/>
      <c r="Y6" s="888"/>
      <c r="Z6" s="871" t="s">
        <v>432</v>
      </c>
      <c r="AA6" s="871"/>
      <c r="AB6" s="871" t="s">
        <v>433</v>
      </c>
      <c r="AC6" s="871"/>
      <c r="AD6" s="871" t="s">
        <v>434</v>
      </c>
      <c r="AE6" s="871"/>
      <c r="AF6" s="871" t="s">
        <v>435</v>
      </c>
      <c r="AG6" s="871"/>
      <c r="AH6" s="871" t="s">
        <v>436</v>
      </c>
      <c r="AI6" s="871"/>
      <c r="AJ6" s="871" t="s">
        <v>437</v>
      </c>
      <c r="AK6" s="871"/>
      <c r="AL6" s="871" t="s">
        <v>438</v>
      </c>
      <c r="AM6" s="871"/>
      <c r="AN6" s="871" t="s">
        <v>439</v>
      </c>
      <c r="AO6" s="871"/>
      <c r="AP6" s="871" t="s">
        <v>440</v>
      </c>
      <c r="AQ6" s="871"/>
      <c r="AR6" s="871" t="s">
        <v>441</v>
      </c>
      <c r="AS6" s="871"/>
      <c r="AT6" s="871" t="s">
        <v>442</v>
      </c>
      <c r="AU6" s="871"/>
      <c r="AV6" s="894" t="s">
        <v>443</v>
      </c>
      <c r="AW6" s="895"/>
      <c r="AX6" s="894" t="s">
        <v>444</v>
      </c>
      <c r="AY6" s="895"/>
      <c r="AZ6" s="871" t="s">
        <v>445</v>
      </c>
      <c r="BA6" s="871"/>
      <c r="BB6" s="894" t="s">
        <v>446</v>
      </c>
      <c r="BC6" s="895"/>
      <c r="BD6" s="894" t="s">
        <v>447</v>
      </c>
      <c r="BE6" s="895"/>
      <c r="BF6" s="894" t="s">
        <v>448</v>
      </c>
      <c r="BG6" s="895"/>
      <c r="BH6" s="893" t="s">
        <v>449</v>
      </c>
      <c r="BI6" s="893"/>
      <c r="BJ6" s="893" t="s">
        <v>18</v>
      </c>
      <c r="BK6" s="893"/>
      <c r="BL6" s="47"/>
    </row>
    <row r="7" spans="1:979" ht="33.950000000000003" customHeight="1" x14ac:dyDescent="0.25">
      <c r="A7" s="898" t="s">
        <v>14</v>
      </c>
      <c r="B7" s="900" t="s">
        <v>47</v>
      </c>
      <c r="C7" s="898" t="s">
        <v>12</v>
      </c>
      <c r="D7" s="555" t="s">
        <v>15</v>
      </c>
      <c r="E7" s="556" t="s">
        <v>19</v>
      </c>
      <c r="F7" s="556" t="s">
        <v>20</v>
      </c>
      <c r="G7" s="556" t="s">
        <v>16</v>
      </c>
      <c r="H7" s="144" t="s">
        <v>455</v>
      </c>
      <c r="I7" s="144" t="s">
        <v>456</v>
      </c>
      <c r="J7" s="144" t="s">
        <v>457</v>
      </c>
      <c r="K7" s="144" t="s">
        <v>458</v>
      </c>
      <c r="L7" s="144" t="s">
        <v>459</v>
      </c>
      <c r="M7" s="144" t="s">
        <v>460</v>
      </c>
      <c r="N7" s="144" t="s">
        <v>461</v>
      </c>
      <c r="O7" s="144" t="s">
        <v>462</v>
      </c>
      <c r="P7" s="144" t="s">
        <v>463</v>
      </c>
      <c r="Q7" s="144" t="s">
        <v>464</v>
      </c>
      <c r="R7" s="889"/>
      <c r="S7" s="890"/>
      <c r="T7" s="890"/>
      <c r="U7" s="891"/>
      <c r="V7" s="889"/>
      <c r="W7" s="890"/>
      <c r="X7" s="890"/>
      <c r="Y7" s="891"/>
      <c r="Z7" s="871"/>
      <c r="AA7" s="871"/>
      <c r="AB7" s="871"/>
      <c r="AC7" s="871"/>
      <c r="AD7" s="871"/>
      <c r="AE7" s="871"/>
      <c r="AF7" s="871"/>
      <c r="AG7" s="871"/>
      <c r="AH7" s="871"/>
      <c r="AI7" s="871"/>
      <c r="AJ7" s="871"/>
      <c r="AK7" s="871"/>
      <c r="AL7" s="871"/>
      <c r="AM7" s="871"/>
      <c r="AN7" s="871"/>
      <c r="AO7" s="871"/>
      <c r="AP7" s="871"/>
      <c r="AQ7" s="871"/>
      <c r="AR7" s="871"/>
      <c r="AS7" s="871"/>
      <c r="AT7" s="871"/>
      <c r="AU7" s="871"/>
      <c r="AV7" s="896"/>
      <c r="AW7" s="897"/>
      <c r="AX7" s="896"/>
      <c r="AY7" s="897"/>
      <c r="AZ7" s="871"/>
      <c r="BA7" s="871"/>
      <c r="BB7" s="896"/>
      <c r="BC7" s="897"/>
      <c r="BD7" s="896"/>
      <c r="BE7" s="897"/>
      <c r="BF7" s="896"/>
      <c r="BG7" s="897"/>
      <c r="BH7" s="893"/>
      <c r="BI7" s="893"/>
      <c r="BJ7" s="893"/>
      <c r="BK7" s="893"/>
      <c r="BL7" s="864" t="s">
        <v>496</v>
      </c>
      <c r="BN7" s="883" t="s">
        <v>494</v>
      </c>
      <c r="BO7" s="884"/>
      <c r="BP7" s="884"/>
      <c r="BQ7" s="884"/>
      <c r="BR7" s="885"/>
      <c r="BS7" s="863" t="s">
        <v>495</v>
      </c>
      <c r="BT7" s="863"/>
      <c r="BU7" s="863"/>
      <c r="BV7" s="864" t="s">
        <v>18</v>
      </c>
    </row>
    <row r="8" spans="1:979" ht="66.75" customHeight="1" x14ac:dyDescent="0.25">
      <c r="A8" s="899"/>
      <c r="B8" s="901"/>
      <c r="C8" s="899"/>
      <c r="D8" s="557"/>
      <c r="E8" s="558"/>
      <c r="F8" s="558"/>
      <c r="G8" s="558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144" t="s">
        <v>7</v>
      </c>
      <c r="S8" s="144" t="s">
        <v>8</v>
      </c>
      <c r="T8" s="144" t="s">
        <v>9</v>
      </c>
      <c r="U8" s="144" t="s">
        <v>10</v>
      </c>
      <c r="V8" s="144" t="s">
        <v>7</v>
      </c>
      <c r="W8" s="144" t="s">
        <v>8</v>
      </c>
      <c r="X8" s="144" t="s">
        <v>9</v>
      </c>
      <c r="Y8" s="144" t="s">
        <v>10</v>
      </c>
      <c r="Z8" s="144" t="s">
        <v>15</v>
      </c>
      <c r="AA8" s="144" t="s">
        <v>16</v>
      </c>
      <c r="AB8" s="144" t="s">
        <v>15</v>
      </c>
      <c r="AC8" s="144" t="s">
        <v>16</v>
      </c>
      <c r="AD8" s="144" t="s">
        <v>15</v>
      </c>
      <c r="AE8" s="144" t="s">
        <v>16</v>
      </c>
      <c r="AF8" s="144" t="s">
        <v>15</v>
      </c>
      <c r="AG8" s="144" t="s">
        <v>16</v>
      </c>
      <c r="AH8" s="144" t="s">
        <v>15</v>
      </c>
      <c r="AI8" s="144" t="s">
        <v>16</v>
      </c>
      <c r="AJ8" s="144" t="s">
        <v>15</v>
      </c>
      <c r="AK8" s="144" t="s">
        <v>16</v>
      </c>
      <c r="AL8" s="144" t="s">
        <v>15</v>
      </c>
      <c r="AM8" s="144" t="s">
        <v>16</v>
      </c>
      <c r="AN8" s="144" t="s">
        <v>15</v>
      </c>
      <c r="AO8" s="144" t="s">
        <v>16</v>
      </c>
      <c r="AP8" s="144" t="s">
        <v>15</v>
      </c>
      <c r="AQ8" s="144" t="s">
        <v>16</v>
      </c>
      <c r="AR8" s="144" t="s">
        <v>15</v>
      </c>
      <c r="AS8" s="144" t="s">
        <v>16</v>
      </c>
      <c r="AT8" s="144" t="s">
        <v>15</v>
      </c>
      <c r="AU8" s="144" t="s">
        <v>16</v>
      </c>
      <c r="AV8" s="144" t="s">
        <v>15</v>
      </c>
      <c r="AW8" s="144" t="s">
        <v>16</v>
      </c>
      <c r="AX8" s="144" t="s">
        <v>15</v>
      </c>
      <c r="AY8" s="144" t="s">
        <v>16</v>
      </c>
      <c r="AZ8" s="144" t="s">
        <v>15</v>
      </c>
      <c r="BA8" s="144" t="s">
        <v>16</v>
      </c>
      <c r="BB8" s="144" t="s">
        <v>15</v>
      </c>
      <c r="BC8" s="144" t="s">
        <v>16</v>
      </c>
      <c r="BD8" s="144" t="s">
        <v>15</v>
      </c>
      <c r="BE8" s="144" t="s">
        <v>16</v>
      </c>
      <c r="BF8" s="144" t="s">
        <v>15</v>
      </c>
      <c r="BG8" s="144" t="s">
        <v>16</v>
      </c>
      <c r="BH8" s="144" t="s">
        <v>15</v>
      </c>
      <c r="BI8" s="144" t="s">
        <v>16</v>
      </c>
      <c r="BJ8" s="144" t="s">
        <v>15</v>
      </c>
      <c r="BK8" s="144" t="s">
        <v>16</v>
      </c>
      <c r="BL8" s="864"/>
      <c r="BN8" s="118" t="s">
        <v>485</v>
      </c>
      <c r="BO8" s="357" t="s">
        <v>486</v>
      </c>
      <c r="BP8" s="357" t="s">
        <v>487</v>
      </c>
      <c r="BQ8" s="358" t="s">
        <v>488</v>
      </c>
      <c r="BR8" s="359" t="s">
        <v>489</v>
      </c>
      <c r="BS8" s="357" t="s">
        <v>490</v>
      </c>
      <c r="BT8" s="357" t="s">
        <v>491</v>
      </c>
      <c r="BU8" s="359" t="s">
        <v>492</v>
      </c>
      <c r="BV8" s="864"/>
    </row>
    <row r="9" spans="1:979" ht="24" customHeight="1" x14ac:dyDescent="0.25">
      <c r="A9" s="881" t="s">
        <v>144</v>
      </c>
      <c r="B9" s="559">
        <v>12000</v>
      </c>
      <c r="C9" s="290" t="s">
        <v>98</v>
      </c>
      <c r="D9" s="560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144"/>
      <c r="S9" s="144"/>
      <c r="T9" s="144"/>
      <c r="U9" s="144"/>
      <c r="V9" s="144"/>
      <c r="W9" s="144"/>
      <c r="X9" s="144"/>
      <c r="Y9" s="144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64"/>
      <c r="BN9" s="113"/>
      <c r="BO9" s="113"/>
      <c r="BP9" s="113"/>
      <c r="BQ9" s="113"/>
      <c r="BR9" s="113"/>
      <c r="BS9" s="113"/>
      <c r="BT9" s="113"/>
      <c r="BU9" s="113"/>
      <c r="BV9" s="179">
        <f>BR9+BU9</f>
        <v>0</v>
      </c>
    </row>
    <row r="10" spans="1:979" ht="32.25" customHeight="1" x14ac:dyDescent="0.25">
      <c r="A10" s="882"/>
      <c r="B10" s="443">
        <v>12100</v>
      </c>
      <c r="C10" s="562" t="s">
        <v>99</v>
      </c>
      <c r="D10" s="560"/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144"/>
      <c r="S10" s="144"/>
      <c r="T10" s="144"/>
      <c r="U10" s="144"/>
      <c r="V10" s="144"/>
      <c r="W10" s="144"/>
      <c r="X10" s="144"/>
      <c r="Y10" s="144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47"/>
      <c r="BN10" s="113">
        <v>0</v>
      </c>
      <c r="BO10" s="113">
        <v>0</v>
      </c>
      <c r="BP10" s="113">
        <v>0</v>
      </c>
      <c r="BQ10" s="113">
        <v>0</v>
      </c>
      <c r="BR10" s="113">
        <f>BN10+BO10+BP10+BQ10</f>
        <v>0</v>
      </c>
      <c r="BS10" s="113">
        <v>0</v>
      </c>
      <c r="BT10" s="113">
        <v>0</v>
      </c>
      <c r="BU10" s="113">
        <f>BS10+BT10</f>
        <v>0</v>
      </c>
      <c r="BV10" s="179">
        <f t="shared" ref="BV10:BV66" si="1">BR10+BU10</f>
        <v>0</v>
      </c>
    </row>
    <row r="11" spans="1:979" s="168" customFormat="1" ht="15.75" x14ac:dyDescent="0.25">
      <c r="A11" s="882"/>
      <c r="B11" s="443">
        <v>12110</v>
      </c>
      <c r="C11" s="167" t="s">
        <v>100</v>
      </c>
      <c r="D11" s="127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85"/>
      <c r="BK11" s="85"/>
      <c r="BL11" s="47"/>
      <c r="BM11" s="39"/>
      <c r="BN11" s="113">
        <v>0</v>
      </c>
      <c r="BO11" s="113">
        <v>0</v>
      </c>
      <c r="BP11" s="113">
        <v>0</v>
      </c>
      <c r="BQ11" s="113">
        <v>0</v>
      </c>
      <c r="BR11" s="113">
        <f>BN11+BO11+BP11+BQ11</f>
        <v>0</v>
      </c>
      <c r="BS11" s="113">
        <v>0</v>
      </c>
      <c r="BT11" s="113">
        <v>0</v>
      </c>
      <c r="BU11" s="113">
        <f>BS11+BT11</f>
        <v>0</v>
      </c>
      <c r="BV11" s="179">
        <f t="shared" si="1"/>
        <v>0</v>
      </c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  <c r="ZY11" s="39"/>
      <c r="ZZ11" s="39"/>
      <c r="AAA11" s="39"/>
      <c r="AAB11" s="39"/>
      <c r="AAC11" s="39"/>
      <c r="AAD11" s="39"/>
      <c r="AAE11" s="39"/>
      <c r="AAF11" s="39"/>
      <c r="AAG11" s="39"/>
      <c r="AAH11" s="39"/>
      <c r="AAI11" s="39"/>
      <c r="AAJ11" s="39"/>
      <c r="AAK11" s="39"/>
      <c r="AAL11" s="39"/>
      <c r="AAM11" s="39"/>
      <c r="AAN11" s="39"/>
      <c r="AAO11" s="39"/>
      <c r="AAP11" s="39"/>
      <c r="AAQ11" s="39"/>
      <c r="AAR11" s="39"/>
      <c r="AAS11" s="39"/>
      <c r="AAT11" s="39"/>
      <c r="AAU11" s="39"/>
      <c r="AAV11" s="39"/>
      <c r="AAW11" s="39"/>
      <c r="AAX11" s="39"/>
      <c r="AAY11" s="39"/>
      <c r="AAZ11" s="39"/>
      <c r="ABA11" s="39"/>
      <c r="ABB11" s="39"/>
      <c r="ABC11" s="39"/>
      <c r="ABD11" s="39"/>
      <c r="ABE11" s="39"/>
      <c r="ABF11" s="39"/>
      <c r="ABG11" s="39"/>
      <c r="ABH11" s="39"/>
      <c r="ABI11" s="39"/>
      <c r="ABJ11" s="39"/>
      <c r="ABK11" s="39"/>
      <c r="ABL11" s="39"/>
      <c r="ABM11" s="39"/>
      <c r="ABN11" s="39"/>
      <c r="ABO11" s="39"/>
      <c r="ABP11" s="39"/>
      <c r="ABQ11" s="39"/>
      <c r="ABR11" s="39"/>
      <c r="ABS11" s="39"/>
      <c r="ABT11" s="39"/>
      <c r="ABU11" s="39"/>
      <c r="ABV11" s="39"/>
      <c r="ABW11" s="39"/>
      <c r="ABX11" s="39"/>
      <c r="ABY11" s="39"/>
      <c r="ABZ11" s="39"/>
      <c r="ACA11" s="39"/>
      <c r="ACB11" s="39"/>
      <c r="ACC11" s="39"/>
      <c r="ACD11" s="39"/>
      <c r="ACE11" s="39"/>
      <c r="ACF11" s="39"/>
      <c r="ACG11" s="39"/>
      <c r="ACH11" s="39"/>
      <c r="ACI11" s="39"/>
      <c r="ACJ11" s="39"/>
      <c r="ACK11" s="39"/>
      <c r="ACL11" s="39"/>
      <c r="ACM11" s="39"/>
      <c r="ACN11" s="39"/>
      <c r="ACO11" s="39"/>
      <c r="ACP11" s="39"/>
      <c r="ACQ11" s="39"/>
      <c r="ACR11" s="39"/>
      <c r="ACS11" s="39"/>
      <c r="ACT11" s="39"/>
      <c r="ACU11" s="39"/>
      <c r="ACV11" s="39"/>
      <c r="ACW11" s="39"/>
      <c r="ACX11" s="39"/>
      <c r="ACY11" s="39"/>
      <c r="ACZ11" s="39"/>
      <c r="ADA11" s="39"/>
      <c r="ADB11" s="39"/>
      <c r="ADC11" s="39"/>
      <c r="ADD11" s="39"/>
      <c r="ADE11" s="39"/>
      <c r="ADF11" s="39"/>
      <c r="ADG11" s="39"/>
      <c r="ADH11" s="39"/>
      <c r="ADI11" s="39"/>
      <c r="ADJ11" s="39"/>
      <c r="ADK11" s="39"/>
      <c r="ADL11" s="39"/>
      <c r="ADM11" s="39"/>
      <c r="ADN11" s="39"/>
      <c r="ADO11" s="39"/>
      <c r="ADP11" s="39"/>
      <c r="ADQ11" s="39"/>
      <c r="ADR11" s="39"/>
      <c r="ADS11" s="39"/>
      <c r="ADT11" s="39"/>
      <c r="ADU11" s="39"/>
      <c r="ADV11" s="39"/>
      <c r="ADW11" s="39"/>
      <c r="ADX11" s="39"/>
      <c r="ADY11" s="39"/>
      <c r="ADZ11" s="39"/>
      <c r="AEA11" s="39"/>
      <c r="AEB11" s="39"/>
      <c r="AEC11" s="39"/>
      <c r="AED11" s="39"/>
      <c r="AEE11" s="39"/>
      <c r="AEF11" s="39"/>
      <c r="AEG11" s="39"/>
      <c r="AEH11" s="39"/>
      <c r="AEI11" s="39"/>
      <c r="AEJ11" s="39"/>
      <c r="AEK11" s="39"/>
      <c r="AEL11" s="39"/>
      <c r="AEM11" s="39"/>
      <c r="AEN11" s="39"/>
      <c r="AEO11" s="39"/>
      <c r="AEP11" s="39"/>
      <c r="AEQ11" s="39"/>
      <c r="AER11" s="39"/>
      <c r="AES11" s="39"/>
      <c r="AET11" s="39"/>
      <c r="AEU11" s="39"/>
      <c r="AEV11" s="39"/>
      <c r="AEW11" s="39"/>
      <c r="AEX11" s="39"/>
      <c r="AEY11" s="39"/>
      <c r="AEZ11" s="39"/>
      <c r="AFA11" s="39"/>
      <c r="AFB11" s="39"/>
      <c r="AFC11" s="39"/>
      <c r="AFD11" s="39"/>
      <c r="AFE11" s="39"/>
      <c r="AFF11" s="39"/>
      <c r="AFG11" s="39"/>
      <c r="AFH11" s="39"/>
      <c r="AFI11" s="39"/>
      <c r="AFJ11" s="39"/>
      <c r="AFK11" s="39"/>
      <c r="AFL11" s="39"/>
      <c r="AFM11" s="39"/>
      <c r="AFN11" s="39"/>
      <c r="AFO11" s="39"/>
      <c r="AFP11" s="39"/>
      <c r="AFQ11" s="39"/>
      <c r="AFR11" s="39"/>
      <c r="AFS11" s="39"/>
      <c r="AFT11" s="39"/>
      <c r="AFU11" s="39"/>
      <c r="AFV11" s="39"/>
      <c r="AFW11" s="39"/>
      <c r="AFX11" s="39"/>
      <c r="AFY11" s="39"/>
      <c r="AFZ11" s="39"/>
      <c r="AGA11" s="39"/>
      <c r="AGB11" s="39"/>
      <c r="AGC11" s="39"/>
      <c r="AGD11" s="39"/>
      <c r="AGE11" s="39"/>
      <c r="AGF11" s="39"/>
      <c r="AGG11" s="39"/>
      <c r="AGH11" s="39"/>
      <c r="AGI11" s="39"/>
      <c r="AGJ11" s="39"/>
      <c r="AGK11" s="39"/>
      <c r="AGL11" s="39"/>
      <c r="AGM11" s="39"/>
      <c r="AGN11" s="39"/>
      <c r="AGO11" s="39"/>
      <c r="AGP11" s="39"/>
      <c r="AGQ11" s="39"/>
      <c r="AGR11" s="39"/>
      <c r="AGS11" s="39"/>
      <c r="AGT11" s="39"/>
      <c r="AGU11" s="39"/>
      <c r="AGV11" s="39"/>
      <c r="AGW11" s="39"/>
      <c r="AGX11" s="39"/>
      <c r="AGY11" s="39"/>
      <c r="AGZ11" s="39"/>
      <c r="AHA11" s="39"/>
      <c r="AHB11" s="39"/>
      <c r="AHC11" s="39"/>
      <c r="AHD11" s="39"/>
      <c r="AHE11" s="39"/>
      <c r="AHF11" s="39"/>
      <c r="AHG11" s="39"/>
      <c r="AHH11" s="39"/>
      <c r="AHI11" s="39"/>
      <c r="AHJ11" s="39"/>
      <c r="AHK11" s="39"/>
      <c r="AHL11" s="39"/>
      <c r="AHM11" s="39"/>
      <c r="AHN11" s="39"/>
      <c r="AHO11" s="39"/>
      <c r="AHP11" s="39"/>
      <c r="AHQ11" s="39"/>
      <c r="AHR11" s="39"/>
      <c r="AHS11" s="39"/>
      <c r="AHT11" s="39"/>
      <c r="AHU11" s="39"/>
      <c r="AHV11" s="39"/>
      <c r="AHW11" s="39"/>
      <c r="AHX11" s="39"/>
      <c r="AHY11" s="39"/>
      <c r="AHZ11" s="39"/>
      <c r="AIA11" s="39"/>
      <c r="AIB11" s="39"/>
      <c r="AIC11" s="39"/>
      <c r="AID11" s="39"/>
      <c r="AIE11" s="39"/>
      <c r="AIF11" s="39"/>
      <c r="AIG11" s="39"/>
      <c r="AIH11" s="39"/>
      <c r="AII11" s="39"/>
      <c r="AIJ11" s="39"/>
      <c r="AIK11" s="39"/>
      <c r="AIL11" s="39"/>
      <c r="AIM11" s="39"/>
      <c r="AIN11" s="39"/>
      <c r="AIO11" s="39"/>
      <c r="AIP11" s="39"/>
      <c r="AIQ11" s="39"/>
      <c r="AIR11" s="39"/>
      <c r="AIS11" s="39"/>
      <c r="AIT11" s="39"/>
      <c r="AIU11" s="39"/>
      <c r="AIV11" s="39"/>
      <c r="AIW11" s="39"/>
      <c r="AIX11" s="39"/>
      <c r="AIY11" s="39"/>
      <c r="AIZ11" s="39"/>
      <c r="AJA11" s="39"/>
      <c r="AJB11" s="39"/>
      <c r="AJC11" s="39"/>
      <c r="AJD11" s="39"/>
      <c r="AJE11" s="39"/>
      <c r="AJF11" s="39"/>
      <c r="AJG11" s="39"/>
      <c r="AJH11" s="39"/>
      <c r="AJI11" s="39"/>
      <c r="AJJ11" s="39"/>
      <c r="AJK11" s="39"/>
      <c r="AJL11" s="39"/>
      <c r="AJM11" s="39"/>
      <c r="AJN11" s="39"/>
      <c r="AJO11" s="39"/>
      <c r="AJP11" s="39"/>
      <c r="AJQ11" s="39"/>
      <c r="AJR11" s="39"/>
      <c r="AJS11" s="39"/>
      <c r="AJT11" s="39"/>
      <c r="AJU11" s="39"/>
      <c r="AJV11" s="39"/>
      <c r="AJW11" s="39"/>
      <c r="AJX11" s="39"/>
      <c r="AJY11" s="39"/>
      <c r="AJZ11" s="39"/>
      <c r="AKA11" s="39"/>
      <c r="AKB11" s="39"/>
      <c r="AKC11" s="39"/>
      <c r="AKD11" s="39"/>
      <c r="AKE11" s="39"/>
      <c r="AKF11" s="39"/>
      <c r="AKG11" s="39"/>
      <c r="AKH11" s="39"/>
      <c r="AKI11" s="39"/>
      <c r="AKJ11" s="39"/>
      <c r="AKK11" s="39"/>
      <c r="AKL11" s="39"/>
      <c r="AKM11" s="39"/>
      <c r="AKN11" s="39"/>
      <c r="AKO11" s="39"/>
      <c r="AKP11" s="39"/>
      <c r="AKQ11" s="39"/>
    </row>
    <row r="12" spans="1:979" s="168" customFormat="1" ht="31.5" x14ac:dyDescent="0.25">
      <c r="A12" s="882"/>
      <c r="B12" s="166"/>
      <c r="C12" s="167" t="s">
        <v>101</v>
      </c>
      <c r="D12" s="167" t="s">
        <v>102</v>
      </c>
      <c r="E12" s="167">
        <f>0.001*100000</f>
        <v>100</v>
      </c>
      <c r="F12" s="172">
        <f>BJ12</f>
        <v>0</v>
      </c>
      <c r="G12" s="69">
        <f>E12*F12</f>
        <v>0</v>
      </c>
      <c r="H12" s="69">
        <f>G12*0.07</f>
        <v>0</v>
      </c>
      <c r="I12" s="69">
        <f>G12*0.904</f>
        <v>0</v>
      </c>
      <c r="J12" s="69">
        <f>G12*0</f>
        <v>0</v>
      </c>
      <c r="K12" s="69">
        <f>G12*0</f>
        <v>0</v>
      </c>
      <c r="L12" s="69">
        <f>G12*0</f>
        <v>0</v>
      </c>
      <c r="M12" s="69">
        <f>G12*0</f>
        <v>0</v>
      </c>
      <c r="N12" s="69">
        <f>G12*0</f>
        <v>0</v>
      </c>
      <c r="O12" s="69">
        <f>G12*0</f>
        <v>0</v>
      </c>
      <c r="P12" s="69">
        <f>G12*0</f>
        <v>0</v>
      </c>
      <c r="Q12" s="69">
        <f>G12*0</f>
        <v>0</v>
      </c>
      <c r="R12" s="69"/>
      <c r="S12" s="69"/>
      <c r="T12" s="69"/>
      <c r="U12" s="69"/>
      <c r="V12" s="69">
        <f>R12*E12</f>
        <v>0</v>
      </c>
      <c r="W12" s="69">
        <f>S12*E12</f>
        <v>0</v>
      </c>
      <c r="X12" s="69">
        <f>T12*E12</f>
        <v>0</v>
      </c>
      <c r="Y12" s="69">
        <f>U12*E12</f>
        <v>0</v>
      </c>
      <c r="Z12" s="69">
        <v>0</v>
      </c>
      <c r="AA12" s="69">
        <f>Z12*100</f>
        <v>0</v>
      </c>
      <c r="AB12" s="69">
        <v>0</v>
      </c>
      <c r="AC12" s="69">
        <f>AB12*100</f>
        <v>0</v>
      </c>
      <c r="AD12" s="69">
        <v>0</v>
      </c>
      <c r="AE12" s="69">
        <f>AD12*100</f>
        <v>0</v>
      </c>
      <c r="AF12" s="69">
        <v>0</v>
      </c>
      <c r="AG12" s="69">
        <f>AF12*100</f>
        <v>0</v>
      </c>
      <c r="AH12" s="69">
        <v>0</v>
      </c>
      <c r="AI12" s="69">
        <f>AH12*100</f>
        <v>0</v>
      </c>
      <c r="AJ12" s="69">
        <v>0</v>
      </c>
      <c r="AK12" s="69">
        <f>AJ12*100</f>
        <v>0</v>
      </c>
      <c r="AL12" s="69">
        <v>0</v>
      </c>
      <c r="AM12" s="69">
        <f>AL12*100</f>
        <v>0</v>
      </c>
      <c r="AN12" s="69">
        <v>0</v>
      </c>
      <c r="AO12" s="69">
        <f>AN12*100</f>
        <v>0</v>
      </c>
      <c r="AP12" s="69">
        <v>0</v>
      </c>
      <c r="AQ12" s="69">
        <f>AP12*100</f>
        <v>0</v>
      </c>
      <c r="AR12" s="69">
        <v>0</v>
      </c>
      <c r="AS12" s="69">
        <f>AR12*100</f>
        <v>0</v>
      </c>
      <c r="AT12" s="69">
        <v>0</v>
      </c>
      <c r="AU12" s="69">
        <f>AT12*100</f>
        <v>0</v>
      </c>
      <c r="AV12" s="69">
        <v>0</v>
      </c>
      <c r="AW12" s="69">
        <f>AV12*100</f>
        <v>0</v>
      </c>
      <c r="AX12" s="69">
        <v>0</v>
      </c>
      <c r="AY12" s="69">
        <f>AX12*100</f>
        <v>0</v>
      </c>
      <c r="AZ12" s="69">
        <v>0</v>
      </c>
      <c r="BA12" s="69">
        <f>AZ12*100</f>
        <v>0</v>
      </c>
      <c r="BB12" s="69">
        <v>0</v>
      </c>
      <c r="BC12" s="69">
        <f>BB12*100</f>
        <v>0</v>
      </c>
      <c r="BD12" s="69">
        <v>0</v>
      </c>
      <c r="BE12" s="69">
        <f>BD12*100</f>
        <v>0</v>
      </c>
      <c r="BF12" s="69">
        <v>0</v>
      </c>
      <c r="BG12" s="69">
        <f>BF12*100</f>
        <v>0</v>
      </c>
      <c r="BH12" s="69">
        <v>0</v>
      </c>
      <c r="BI12" s="69">
        <f>BH12*100</f>
        <v>0</v>
      </c>
      <c r="BJ12" s="85">
        <f>Z12+AB12+AD12+AF12+AH12+AJ12+AL12+AN12+AP12+AR12+AT12+AV12+AX12+AZ12+BB12+BD12+BF12+BH12</f>
        <v>0</v>
      </c>
      <c r="BK12" s="85">
        <f>AA12+AC12+AE12+AG12+AI12+AK12+AM12+AO12+AQ12+AS12+AU12+AW12+AY12+BA12+BC12+BE12+BG12+BI12</f>
        <v>0</v>
      </c>
      <c r="BL12" s="324" t="s">
        <v>467</v>
      </c>
      <c r="BM12" s="39"/>
      <c r="BN12" s="113">
        <v>0</v>
      </c>
      <c r="BO12" s="113">
        <v>0</v>
      </c>
      <c r="BP12" s="113">
        <v>0</v>
      </c>
      <c r="BQ12" s="113">
        <v>0</v>
      </c>
      <c r="BR12" s="113">
        <f>BN12+BO12+BP12+BQ12</f>
        <v>0</v>
      </c>
      <c r="BS12" s="113">
        <v>0</v>
      </c>
      <c r="BT12" s="113">
        <v>0</v>
      </c>
      <c r="BU12" s="113">
        <f>BS12+BT12</f>
        <v>0</v>
      </c>
      <c r="BV12" s="179">
        <f t="shared" si="1"/>
        <v>0</v>
      </c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  <c r="LZ12" s="39"/>
      <c r="MA12" s="39"/>
      <c r="MB12" s="39"/>
      <c r="MC12" s="39"/>
      <c r="MD12" s="39"/>
      <c r="ME12" s="39"/>
      <c r="MF12" s="39"/>
      <c r="MG12" s="39"/>
      <c r="MH12" s="39"/>
      <c r="MI12" s="39"/>
      <c r="MJ12" s="39"/>
      <c r="MK12" s="39"/>
      <c r="ML12" s="39"/>
      <c r="MM12" s="39"/>
      <c r="MN12" s="39"/>
      <c r="MO12" s="39"/>
      <c r="MP12" s="39"/>
      <c r="MQ12" s="39"/>
      <c r="MR12" s="39"/>
      <c r="MS12" s="39"/>
      <c r="MT12" s="39"/>
      <c r="MU12" s="39"/>
      <c r="MV12" s="39"/>
      <c r="MW12" s="39"/>
      <c r="MX12" s="39"/>
      <c r="MY12" s="39"/>
      <c r="MZ12" s="39"/>
      <c r="NA12" s="39"/>
      <c r="NB12" s="39"/>
      <c r="NC12" s="39"/>
      <c r="ND12" s="39"/>
      <c r="NE12" s="39"/>
      <c r="NF12" s="39"/>
      <c r="NG12" s="39"/>
      <c r="NH12" s="39"/>
      <c r="NI12" s="39"/>
      <c r="NJ12" s="39"/>
      <c r="NK12" s="39"/>
      <c r="NL12" s="39"/>
      <c r="NM12" s="39"/>
      <c r="NN12" s="39"/>
      <c r="NO12" s="39"/>
      <c r="NP12" s="39"/>
      <c r="NQ12" s="39"/>
      <c r="NR12" s="39"/>
      <c r="NS12" s="39"/>
      <c r="NT12" s="39"/>
      <c r="NU12" s="39"/>
      <c r="NV12" s="39"/>
      <c r="NW12" s="39"/>
      <c r="NX12" s="39"/>
      <c r="NY12" s="39"/>
      <c r="NZ12" s="39"/>
      <c r="OA12" s="39"/>
      <c r="OB12" s="39"/>
      <c r="OC12" s="39"/>
      <c r="OD12" s="39"/>
      <c r="OE12" s="39"/>
      <c r="OF12" s="39"/>
      <c r="OG12" s="39"/>
      <c r="OH12" s="39"/>
      <c r="OI12" s="39"/>
      <c r="OJ12" s="39"/>
      <c r="OK12" s="39"/>
      <c r="OL12" s="39"/>
      <c r="OM12" s="39"/>
      <c r="ON12" s="39"/>
      <c r="OO12" s="39"/>
      <c r="OP12" s="39"/>
      <c r="OQ12" s="39"/>
      <c r="OR12" s="39"/>
      <c r="OS12" s="39"/>
      <c r="OT12" s="39"/>
      <c r="OU12" s="39"/>
      <c r="OV12" s="39"/>
      <c r="OW12" s="39"/>
      <c r="OX12" s="39"/>
      <c r="OY12" s="39"/>
      <c r="OZ12" s="39"/>
      <c r="PA12" s="39"/>
      <c r="PB12" s="39"/>
      <c r="PC12" s="39"/>
      <c r="PD12" s="39"/>
      <c r="PE12" s="39"/>
      <c r="PF12" s="39"/>
      <c r="PG12" s="39"/>
      <c r="PH12" s="39"/>
      <c r="PI12" s="39"/>
      <c r="PJ12" s="39"/>
      <c r="PK12" s="39"/>
      <c r="PL12" s="39"/>
      <c r="PM12" s="39"/>
      <c r="PN12" s="39"/>
      <c r="PO12" s="39"/>
      <c r="PP12" s="39"/>
      <c r="PQ12" s="39"/>
      <c r="PR12" s="39"/>
      <c r="PS12" s="39"/>
      <c r="PT12" s="39"/>
      <c r="PU12" s="39"/>
      <c r="PV12" s="39"/>
      <c r="PW12" s="39"/>
      <c r="PX12" s="39"/>
      <c r="PY12" s="39"/>
      <c r="PZ12" s="39"/>
      <c r="QA12" s="39"/>
      <c r="QB12" s="39"/>
      <c r="QC12" s="39"/>
      <c r="QD12" s="39"/>
      <c r="QE12" s="39"/>
      <c r="QF12" s="39"/>
      <c r="QG12" s="39"/>
      <c r="QH12" s="39"/>
      <c r="QI12" s="39"/>
      <c r="QJ12" s="39"/>
      <c r="QK12" s="39"/>
      <c r="QL12" s="39"/>
      <c r="QM12" s="39"/>
      <c r="QN12" s="39"/>
      <c r="QO12" s="39"/>
      <c r="QP12" s="39"/>
      <c r="QQ12" s="39"/>
      <c r="QR12" s="39"/>
      <c r="QS12" s="39"/>
      <c r="QT12" s="39"/>
      <c r="QU12" s="39"/>
      <c r="QV12" s="39"/>
      <c r="QW12" s="39"/>
      <c r="QX12" s="39"/>
      <c r="QY12" s="39"/>
      <c r="QZ12" s="39"/>
      <c r="RA12" s="39"/>
      <c r="RB12" s="39"/>
      <c r="RC12" s="39"/>
      <c r="RD12" s="39"/>
      <c r="RE12" s="39"/>
      <c r="RF12" s="39"/>
      <c r="RG12" s="39"/>
      <c r="RH12" s="39"/>
      <c r="RI12" s="39"/>
      <c r="RJ12" s="39"/>
      <c r="RK12" s="39"/>
      <c r="RL12" s="39"/>
      <c r="RM12" s="39"/>
      <c r="RN12" s="39"/>
      <c r="RO12" s="39"/>
      <c r="RP12" s="39"/>
      <c r="RQ12" s="39"/>
      <c r="RR12" s="39"/>
      <c r="RS12" s="39"/>
      <c r="RT12" s="39"/>
      <c r="RU12" s="39"/>
      <c r="RV12" s="39"/>
      <c r="RW12" s="39"/>
      <c r="RX12" s="39"/>
      <c r="RY12" s="39"/>
      <c r="RZ12" s="39"/>
      <c r="SA12" s="39"/>
      <c r="SB12" s="39"/>
      <c r="SC12" s="39"/>
      <c r="SD12" s="39"/>
      <c r="SE12" s="39"/>
      <c r="SF12" s="39"/>
      <c r="SG12" s="39"/>
      <c r="SH12" s="39"/>
      <c r="SI12" s="39"/>
      <c r="SJ12" s="39"/>
      <c r="SK12" s="39"/>
      <c r="SL12" s="39"/>
      <c r="SM12" s="39"/>
      <c r="SN12" s="39"/>
      <c r="SO12" s="39"/>
      <c r="SP12" s="39"/>
      <c r="SQ12" s="39"/>
      <c r="SR12" s="39"/>
      <c r="SS12" s="39"/>
      <c r="ST12" s="39"/>
      <c r="SU12" s="39"/>
      <c r="SV12" s="39"/>
      <c r="SW12" s="39"/>
      <c r="SX12" s="39"/>
      <c r="SY12" s="39"/>
      <c r="SZ12" s="39"/>
      <c r="TA12" s="39"/>
      <c r="TB12" s="39"/>
      <c r="TC12" s="39"/>
      <c r="TD12" s="39"/>
      <c r="TE12" s="39"/>
      <c r="TF12" s="39"/>
      <c r="TG12" s="39"/>
      <c r="TH12" s="39"/>
      <c r="TI12" s="39"/>
      <c r="TJ12" s="39"/>
      <c r="TK12" s="39"/>
      <c r="TL12" s="39"/>
      <c r="TM12" s="39"/>
      <c r="TN12" s="39"/>
      <c r="TO12" s="39"/>
      <c r="TP12" s="39"/>
      <c r="TQ12" s="39"/>
      <c r="TR12" s="39"/>
      <c r="TS12" s="39"/>
      <c r="TT12" s="39"/>
      <c r="TU12" s="39"/>
      <c r="TV12" s="39"/>
      <c r="TW12" s="39"/>
      <c r="TX12" s="39"/>
      <c r="TY12" s="39"/>
      <c r="TZ12" s="39"/>
      <c r="UA12" s="39"/>
      <c r="UB12" s="39"/>
      <c r="UC12" s="39"/>
      <c r="UD12" s="39"/>
      <c r="UE12" s="39"/>
      <c r="UF12" s="39"/>
      <c r="UG12" s="39"/>
      <c r="UH12" s="39"/>
      <c r="UI12" s="39"/>
      <c r="UJ12" s="39"/>
      <c r="UK12" s="39"/>
      <c r="UL12" s="39"/>
      <c r="UM12" s="39"/>
      <c r="UN12" s="39"/>
      <c r="UO12" s="39"/>
      <c r="UP12" s="39"/>
      <c r="UQ12" s="39"/>
      <c r="UR12" s="39"/>
      <c r="US12" s="39"/>
      <c r="UT12" s="39"/>
      <c r="UU12" s="39"/>
      <c r="UV12" s="39"/>
      <c r="UW12" s="39"/>
      <c r="UX12" s="39"/>
      <c r="UY12" s="39"/>
      <c r="UZ12" s="39"/>
      <c r="VA12" s="39"/>
      <c r="VB12" s="39"/>
      <c r="VC12" s="39"/>
      <c r="VD12" s="39"/>
      <c r="VE12" s="39"/>
      <c r="VF12" s="39"/>
      <c r="VG12" s="39"/>
      <c r="VH12" s="39"/>
      <c r="VI12" s="39"/>
      <c r="VJ12" s="39"/>
      <c r="VK12" s="39"/>
      <c r="VL12" s="39"/>
      <c r="VM12" s="39"/>
      <c r="VN12" s="39"/>
      <c r="VO12" s="39"/>
      <c r="VP12" s="39"/>
      <c r="VQ12" s="39"/>
      <c r="VR12" s="39"/>
      <c r="VS12" s="39"/>
      <c r="VT12" s="39"/>
      <c r="VU12" s="39"/>
      <c r="VV12" s="39"/>
      <c r="VW12" s="39"/>
      <c r="VX12" s="39"/>
      <c r="VY12" s="39"/>
      <c r="VZ12" s="39"/>
      <c r="WA12" s="39"/>
      <c r="WB12" s="39"/>
      <c r="WC12" s="39"/>
      <c r="WD12" s="39"/>
      <c r="WE12" s="39"/>
      <c r="WF12" s="39"/>
      <c r="WG12" s="39"/>
      <c r="WH12" s="39"/>
      <c r="WI12" s="39"/>
      <c r="WJ12" s="39"/>
      <c r="WK12" s="39"/>
      <c r="WL12" s="39"/>
      <c r="WM12" s="39"/>
      <c r="WN12" s="39"/>
      <c r="WO12" s="39"/>
      <c r="WP12" s="39"/>
      <c r="WQ12" s="39"/>
      <c r="WR12" s="39"/>
      <c r="WS12" s="39"/>
      <c r="WT12" s="39"/>
      <c r="WU12" s="39"/>
      <c r="WV12" s="39"/>
      <c r="WW12" s="39"/>
      <c r="WX12" s="39"/>
      <c r="WY12" s="39"/>
      <c r="WZ12" s="39"/>
      <c r="XA12" s="39"/>
      <c r="XB12" s="39"/>
      <c r="XC12" s="39"/>
      <c r="XD12" s="39"/>
      <c r="XE12" s="39"/>
      <c r="XF12" s="39"/>
      <c r="XG12" s="39"/>
      <c r="XH12" s="39"/>
      <c r="XI12" s="39"/>
      <c r="XJ12" s="39"/>
      <c r="XK12" s="39"/>
      <c r="XL12" s="39"/>
      <c r="XM12" s="39"/>
      <c r="XN12" s="39"/>
      <c r="XO12" s="39"/>
      <c r="XP12" s="39"/>
      <c r="XQ12" s="39"/>
      <c r="XR12" s="39"/>
      <c r="XS12" s="39"/>
      <c r="XT12" s="39"/>
      <c r="XU12" s="39"/>
      <c r="XV12" s="39"/>
      <c r="XW12" s="39"/>
      <c r="XX12" s="39"/>
      <c r="XY12" s="39"/>
      <c r="XZ12" s="39"/>
      <c r="YA12" s="39"/>
      <c r="YB12" s="39"/>
      <c r="YC12" s="39"/>
      <c r="YD12" s="39"/>
      <c r="YE12" s="39"/>
      <c r="YF12" s="39"/>
      <c r="YG12" s="39"/>
      <c r="YH12" s="39"/>
      <c r="YI12" s="39"/>
      <c r="YJ12" s="39"/>
      <c r="YK12" s="39"/>
      <c r="YL12" s="39"/>
      <c r="YM12" s="39"/>
      <c r="YN12" s="39"/>
      <c r="YO12" s="39"/>
      <c r="YP12" s="39"/>
      <c r="YQ12" s="39"/>
      <c r="YR12" s="39"/>
      <c r="YS12" s="39"/>
      <c r="YT12" s="39"/>
      <c r="YU12" s="39"/>
      <c r="YV12" s="39"/>
      <c r="YW12" s="39"/>
      <c r="YX12" s="39"/>
      <c r="YY12" s="39"/>
      <c r="YZ12" s="39"/>
      <c r="ZA12" s="39"/>
      <c r="ZB12" s="39"/>
      <c r="ZC12" s="39"/>
      <c r="ZD12" s="39"/>
      <c r="ZE12" s="39"/>
      <c r="ZF12" s="39"/>
      <c r="ZG12" s="39"/>
      <c r="ZH12" s="39"/>
      <c r="ZI12" s="39"/>
      <c r="ZJ12" s="39"/>
      <c r="ZK12" s="39"/>
      <c r="ZL12" s="39"/>
      <c r="ZM12" s="39"/>
      <c r="ZN12" s="39"/>
      <c r="ZO12" s="39"/>
      <c r="ZP12" s="39"/>
      <c r="ZQ12" s="39"/>
      <c r="ZR12" s="39"/>
      <c r="ZS12" s="39"/>
      <c r="ZT12" s="39"/>
      <c r="ZU12" s="39"/>
      <c r="ZV12" s="39"/>
      <c r="ZW12" s="39"/>
      <c r="ZX12" s="39"/>
      <c r="ZY12" s="39"/>
      <c r="ZZ12" s="39"/>
      <c r="AAA12" s="39"/>
      <c r="AAB12" s="39"/>
      <c r="AAC12" s="39"/>
      <c r="AAD12" s="39"/>
      <c r="AAE12" s="39"/>
      <c r="AAF12" s="39"/>
      <c r="AAG12" s="39"/>
      <c r="AAH12" s="39"/>
      <c r="AAI12" s="39"/>
      <c r="AAJ12" s="39"/>
      <c r="AAK12" s="39"/>
      <c r="AAL12" s="39"/>
      <c r="AAM12" s="39"/>
      <c r="AAN12" s="39"/>
      <c r="AAO12" s="39"/>
      <c r="AAP12" s="39"/>
      <c r="AAQ12" s="39"/>
      <c r="AAR12" s="39"/>
      <c r="AAS12" s="39"/>
      <c r="AAT12" s="39"/>
      <c r="AAU12" s="39"/>
      <c r="AAV12" s="39"/>
      <c r="AAW12" s="39"/>
      <c r="AAX12" s="39"/>
      <c r="AAY12" s="39"/>
      <c r="AAZ12" s="39"/>
      <c r="ABA12" s="39"/>
      <c r="ABB12" s="39"/>
      <c r="ABC12" s="39"/>
      <c r="ABD12" s="39"/>
      <c r="ABE12" s="39"/>
      <c r="ABF12" s="39"/>
      <c r="ABG12" s="39"/>
      <c r="ABH12" s="39"/>
      <c r="ABI12" s="39"/>
      <c r="ABJ12" s="39"/>
      <c r="ABK12" s="39"/>
      <c r="ABL12" s="39"/>
      <c r="ABM12" s="39"/>
      <c r="ABN12" s="39"/>
      <c r="ABO12" s="39"/>
      <c r="ABP12" s="39"/>
      <c r="ABQ12" s="39"/>
      <c r="ABR12" s="39"/>
      <c r="ABS12" s="39"/>
      <c r="ABT12" s="39"/>
      <c r="ABU12" s="39"/>
      <c r="ABV12" s="39"/>
      <c r="ABW12" s="39"/>
      <c r="ABX12" s="39"/>
      <c r="ABY12" s="39"/>
      <c r="ABZ12" s="39"/>
      <c r="ACA12" s="39"/>
      <c r="ACB12" s="39"/>
      <c r="ACC12" s="39"/>
      <c r="ACD12" s="39"/>
      <c r="ACE12" s="39"/>
      <c r="ACF12" s="39"/>
      <c r="ACG12" s="39"/>
      <c r="ACH12" s="39"/>
      <c r="ACI12" s="39"/>
      <c r="ACJ12" s="39"/>
      <c r="ACK12" s="39"/>
      <c r="ACL12" s="39"/>
      <c r="ACM12" s="39"/>
      <c r="ACN12" s="39"/>
      <c r="ACO12" s="39"/>
      <c r="ACP12" s="39"/>
      <c r="ACQ12" s="39"/>
      <c r="ACR12" s="39"/>
      <c r="ACS12" s="39"/>
      <c r="ACT12" s="39"/>
      <c r="ACU12" s="39"/>
      <c r="ACV12" s="39"/>
      <c r="ACW12" s="39"/>
      <c r="ACX12" s="39"/>
      <c r="ACY12" s="39"/>
      <c r="ACZ12" s="39"/>
      <c r="ADA12" s="39"/>
      <c r="ADB12" s="39"/>
      <c r="ADC12" s="39"/>
      <c r="ADD12" s="39"/>
      <c r="ADE12" s="39"/>
      <c r="ADF12" s="39"/>
      <c r="ADG12" s="39"/>
      <c r="ADH12" s="39"/>
      <c r="ADI12" s="39"/>
      <c r="ADJ12" s="39"/>
      <c r="ADK12" s="39"/>
      <c r="ADL12" s="39"/>
      <c r="ADM12" s="39"/>
      <c r="ADN12" s="39"/>
      <c r="ADO12" s="39"/>
      <c r="ADP12" s="39"/>
      <c r="ADQ12" s="39"/>
      <c r="ADR12" s="39"/>
      <c r="ADS12" s="39"/>
      <c r="ADT12" s="39"/>
      <c r="ADU12" s="39"/>
      <c r="ADV12" s="39"/>
      <c r="ADW12" s="39"/>
      <c r="ADX12" s="39"/>
      <c r="ADY12" s="39"/>
      <c r="ADZ12" s="39"/>
      <c r="AEA12" s="39"/>
      <c r="AEB12" s="39"/>
      <c r="AEC12" s="39"/>
      <c r="AED12" s="39"/>
      <c r="AEE12" s="39"/>
      <c r="AEF12" s="39"/>
      <c r="AEG12" s="39"/>
      <c r="AEH12" s="39"/>
      <c r="AEI12" s="39"/>
      <c r="AEJ12" s="39"/>
      <c r="AEK12" s="39"/>
      <c r="AEL12" s="39"/>
      <c r="AEM12" s="39"/>
      <c r="AEN12" s="39"/>
      <c r="AEO12" s="39"/>
      <c r="AEP12" s="39"/>
      <c r="AEQ12" s="39"/>
      <c r="AER12" s="39"/>
      <c r="AES12" s="39"/>
      <c r="AET12" s="39"/>
      <c r="AEU12" s="39"/>
      <c r="AEV12" s="39"/>
      <c r="AEW12" s="39"/>
      <c r="AEX12" s="39"/>
      <c r="AEY12" s="39"/>
      <c r="AEZ12" s="39"/>
      <c r="AFA12" s="39"/>
      <c r="AFB12" s="39"/>
      <c r="AFC12" s="39"/>
      <c r="AFD12" s="39"/>
      <c r="AFE12" s="39"/>
      <c r="AFF12" s="39"/>
      <c r="AFG12" s="39"/>
      <c r="AFH12" s="39"/>
      <c r="AFI12" s="39"/>
      <c r="AFJ12" s="39"/>
      <c r="AFK12" s="39"/>
      <c r="AFL12" s="39"/>
      <c r="AFM12" s="39"/>
      <c r="AFN12" s="39"/>
      <c r="AFO12" s="39"/>
      <c r="AFP12" s="39"/>
      <c r="AFQ12" s="39"/>
      <c r="AFR12" s="39"/>
      <c r="AFS12" s="39"/>
      <c r="AFT12" s="39"/>
      <c r="AFU12" s="39"/>
      <c r="AFV12" s="39"/>
      <c r="AFW12" s="39"/>
      <c r="AFX12" s="39"/>
      <c r="AFY12" s="39"/>
      <c r="AFZ12" s="39"/>
      <c r="AGA12" s="39"/>
      <c r="AGB12" s="39"/>
      <c r="AGC12" s="39"/>
      <c r="AGD12" s="39"/>
      <c r="AGE12" s="39"/>
      <c r="AGF12" s="39"/>
      <c r="AGG12" s="39"/>
      <c r="AGH12" s="39"/>
      <c r="AGI12" s="39"/>
      <c r="AGJ12" s="39"/>
      <c r="AGK12" s="39"/>
      <c r="AGL12" s="39"/>
      <c r="AGM12" s="39"/>
      <c r="AGN12" s="39"/>
      <c r="AGO12" s="39"/>
      <c r="AGP12" s="39"/>
      <c r="AGQ12" s="39"/>
      <c r="AGR12" s="39"/>
      <c r="AGS12" s="39"/>
      <c r="AGT12" s="39"/>
      <c r="AGU12" s="39"/>
      <c r="AGV12" s="39"/>
      <c r="AGW12" s="39"/>
      <c r="AGX12" s="39"/>
      <c r="AGY12" s="39"/>
      <c r="AGZ12" s="39"/>
      <c r="AHA12" s="39"/>
      <c r="AHB12" s="39"/>
      <c r="AHC12" s="39"/>
      <c r="AHD12" s="39"/>
      <c r="AHE12" s="39"/>
      <c r="AHF12" s="39"/>
      <c r="AHG12" s="39"/>
      <c r="AHH12" s="39"/>
      <c r="AHI12" s="39"/>
      <c r="AHJ12" s="39"/>
      <c r="AHK12" s="39"/>
      <c r="AHL12" s="39"/>
      <c r="AHM12" s="39"/>
      <c r="AHN12" s="39"/>
      <c r="AHO12" s="39"/>
      <c r="AHP12" s="39"/>
      <c r="AHQ12" s="39"/>
      <c r="AHR12" s="39"/>
      <c r="AHS12" s="39"/>
      <c r="AHT12" s="39"/>
      <c r="AHU12" s="39"/>
      <c r="AHV12" s="39"/>
      <c r="AHW12" s="39"/>
      <c r="AHX12" s="39"/>
      <c r="AHY12" s="39"/>
      <c r="AHZ12" s="39"/>
      <c r="AIA12" s="39"/>
      <c r="AIB12" s="39"/>
      <c r="AIC12" s="39"/>
      <c r="AID12" s="39"/>
      <c r="AIE12" s="39"/>
      <c r="AIF12" s="39"/>
      <c r="AIG12" s="39"/>
      <c r="AIH12" s="39"/>
      <c r="AII12" s="39"/>
      <c r="AIJ12" s="39"/>
      <c r="AIK12" s="39"/>
      <c r="AIL12" s="39"/>
      <c r="AIM12" s="39"/>
      <c r="AIN12" s="39"/>
      <c r="AIO12" s="39"/>
      <c r="AIP12" s="39"/>
      <c r="AIQ12" s="39"/>
      <c r="AIR12" s="39"/>
      <c r="AIS12" s="39"/>
      <c r="AIT12" s="39"/>
      <c r="AIU12" s="39"/>
      <c r="AIV12" s="39"/>
      <c r="AIW12" s="39"/>
      <c r="AIX12" s="39"/>
      <c r="AIY12" s="39"/>
      <c r="AIZ12" s="39"/>
      <c r="AJA12" s="39"/>
      <c r="AJB12" s="39"/>
      <c r="AJC12" s="39"/>
      <c r="AJD12" s="39"/>
      <c r="AJE12" s="39"/>
      <c r="AJF12" s="39"/>
      <c r="AJG12" s="39"/>
      <c r="AJH12" s="39"/>
      <c r="AJI12" s="39"/>
      <c r="AJJ12" s="39"/>
      <c r="AJK12" s="39"/>
      <c r="AJL12" s="39"/>
      <c r="AJM12" s="39"/>
      <c r="AJN12" s="39"/>
      <c r="AJO12" s="39"/>
      <c r="AJP12" s="39"/>
      <c r="AJQ12" s="39"/>
      <c r="AJR12" s="39"/>
      <c r="AJS12" s="39"/>
      <c r="AJT12" s="39"/>
      <c r="AJU12" s="39"/>
      <c r="AJV12" s="39"/>
      <c r="AJW12" s="39"/>
      <c r="AJX12" s="39"/>
      <c r="AJY12" s="39"/>
      <c r="AJZ12" s="39"/>
      <c r="AKA12" s="39"/>
      <c r="AKB12" s="39"/>
      <c r="AKC12" s="39"/>
      <c r="AKD12" s="39"/>
      <c r="AKE12" s="39"/>
      <c r="AKF12" s="39"/>
      <c r="AKG12" s="39"/>
      <c r="AKH12" s="39"/>
      <c r="AKI12" s="39"/>
      <c r="AKJ12" s="39"/>
      <c r="AKK12" s="39"/>
      <c r="AKL12" s="39"/>
      <c r="AKM12" s="39"/>
      <c r="AKN12" s="39"/>
      <c r="AKO12" s="39"/>
      <c r="AKP12" s="39"/>
      <c r="AKQ12" s="39"/>
    </row>
    <row r="13" spans="1:979" s="168" customFormat="1" ht="36.75" customHeight="1" x14ac:dyDescent="0.25">
      <c r="A13" s="882"/>
      <c r="B13" s="166"/>
      <c r="C13" s="167" t="s">
        <v>815</v>
      </c>
      <c r="D13" s="167" t="s">
        <v>102</v>
      </c>
      <c r="E13" s="167">
        <f>0.1*100000</f>
        <v>10000</v>
      </c>
      <c r="F13" s="172">
        <f>BJ13</f>
        <v>119</v>
      </c>
      <c r="G13" s="69">
        <f>E13*F13</f>
        <v>1190000</v>
      </c>
      <c r="H13" s="69">
        <f>G13*0.2</f>
        <v>238000</v>
      </c>
      <c r="I13" s="69">
        <f>G13*0.8</f>
        <v>952000</v>
      </c>
      <c r="J13" s="69">
        <f>G13*0</f>
        <v>0</v>
      </c>
      <c r="K13" s="69">
        <f>G13*0</f>
        <v>0</v>
      </c>
      <c r="L13" s="69">
        <f>G13*0</f>
        <v>0</v>
      </c>
      <c r="M13" s="69">
        <f>G13*0</f>
        <v>0</v>
      </c>
      <c r="N13" s="69">
        <f>G13*0</f>
        <v>0</v>
      </c>
      <c r="O13" s="69">
        <f>G13*0</f>
        <v>0</v>
      </c>
      <c r="P13" s="69">
        <f>G13*0</f>
        <v>0</v>
      </c>
      <c r="Q13" s="69">
        <f>G13*0</f>
        <v>0</v>
      </c>
      <c r="R13" s="153">
        <f>F13*0.1</f>
        <v>11.9</v>
      </c>
      <c r="S13" s="153">
        <f>F13*0.25</f>
        <v>29.75</v>
      </c>
      <c r="T13" s="153">
        <f>F13*0.35</f>
        <v>41.65</v>
      </c>
      <c r="U13" s="153">
        <f>F13*0.3</f>
        <v>35.699999999999996</v>
      </c>
      <c r="V13" s="69">
        <f>R13*E13</f>
        <v>119000</v>
      </c>
      <c r="W13" s="69">
        <f>S13*E13</f>
        <v>297500</v>
      </c>
      <c r="X13" s="69">
        <f>T13*E13</f>
        <v>416500</v>
      </c>
      <c r="Y13" s="69">
        <f>U13*E13</f>
        <v>356999.99999999994</v>
      </c>
      <c r="Z13" s="69">
        <v>7</v>
      </c>
      <c r="AA13" s="69">
        <f>Z13*10000</f>
        <v>70000</v>
      </c>
      <c r="AB13" s="69">
        <v>7</v>
      </c>
      <c r="AC13" s="69">
        <f>AB13*10000</f>
        <v>70000</v>
      </c>
      <c r="AD13" s="69">
        <v>7</v>
      </c>
      <c r="AE13" s="69">
        <f>AD13*10000</f>
        <v>70000</v>
      </c>
      <c r="AF13" s="69">
        <v>7</v>
      </c>
      <c r="AG13" s="69">
        <f>AF13*10000</f>
        <v>70000</v>
      </c>
      <c r="AH13" s="69">
        <v>7</v>
      </c>
      <c r="AI13" s="69">
        <f>AH13*10000</f>
        <v>70000</v>
      </c>
      <c r="AJ13" s="69">
        <v>7</v>
      </c>
      <c r="AK13" s="69">
        <f>AJ13*10000</f>
        <v>70000</v>
      </c>
      <c r="AL13" s="69">
        <v>7</v>
      </c>
      <c r="AM13" s="69">
        <f>AL13*10000</f>
        <v>70000</v>
      </c>
      <c r="AN13" s="69">
        <v>7</v>
      </c>
      <c r="AO13" s="69">
        <f>AN13*10000</f>
        <v>70000</v>
      </c>
      <c r="AP13" s="69">
        <v>7</v>
      </c>
      <c r="AQ13" s="69">
        <f>AP13*10000</f>
        <v>70000</v>
      </c>
      <c r="AR13" s="69">
        <v>7</v>
      </c>
      <c r="AS13" s="69">
        <f>AR13*10000</f>
        <v>70000</v>
      </c>
      <c r="AT13" s="69">
        <v>7</v>
      </c>
      <c r="AU13" s="69">
        <f>AT13*10000</f>
        <v>70000</v>
      </c>
      <c r="AV13" s="69">
        <v>7</v>
      </c>
      <c r="AW13" s="69">
        <f>AV13*10000</f>
        <v>70000</v>
      </c>
      <c r="AX13" s="69">
        <v>7</v>
      </c>
      <c r="AY13" s="69">
        <f>AX13*10000</f>
        <v>70000</v>
      </c>
      <c r="AZ13" s="69">
        <v>7</v>
      </c>
      <c r="BA13" s="69">
        <f>AZ13*10000</f>
        <v>70000</v>
      </c>
      <c r="BB13" s="69">
        <v>7</v>
      </c>
      <c r="BC13" s="69">
        <f>BB13*10000</f>
        <v>70000</v>
      </c>
      <c r="BD13" s="69">
        <v>7</v>
      </c>
      <c r="BE13" s="69">
        <f>BD13*10000</f>
        <v>70000</v>
      </c>
      <c r="BF13" s="69">
        <v>7</v>
      </c>
      <c r="BG13" s="69">
        <f>BF13*10000</f>
        <v>70000</v>
      </c>
      <c r="BH13" s="69">
        <v>0</v>
      </c>
      <c r="BI13" s="69">
        <f>BH13*10000</f>
        <v>0</v>
      </c>
      <c r="BJ13" s="85">
        <f>Z13+AB13+AD13+AF13+AH13+AJ13+AL13+AN13+AP13+AR13+AT13+AV13+AX13+AZ13+BB13+BD13+BF13+BH13</f>
        <v>119</v>
      </c>
      <c r="BK13" s="85">
        <f>AA13+AC13+AE13+AG13+AI13+AK13+AM13+AO13+AQ13+AS13+AU13+AW13+AY13+BA13+BC13+BE13+BG13+BI13</f>
        <v>1190000</v>
      </c>
      <c r="BL13" s="324" t="s">
        <v>467</v>
      </c>
      <c r="BM13" s="39"/>
      <c r="BN13" s="113">
        <v>0</v>
      </c>
      <c r="BO13" s="113">
        <f>G13</f>
        <v>1190000</v>
      </c>
      <c r="BP13" s="113">
        <v>0</v>
      </c>
      <c r="BQ13" s="113">
        <v>0</v>
      </c>
      <c r="BR13" s="113">
        <f>BN13+BO13+BP13+BQ13</f>
        <v>1190000</v>
      </c>
      <c r="BS13" s="113">
        <v>0</v>
      </c>
      <c r="BT13" s="113">
        <v>0</v>
      </c>
      <c r="BU13" s="113">
        <f>BS13+BT13</f>
        <v>0</v>
      </c>
      <c r="BV13" s="179">
        <f t="shared" si="1"/>
        <v>1190000</v>
      </c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  <c r="LZ13" s="39"/>
      <c r="MA13" s="39"/>
      <c r="MB13" s="39"/>
      <c r="MC13" s="39"/>
      <c r="MD13" s="39"/>
      <c r="ME13" s="39"/>
      <c r="MF13" s="39"/>
      <c r="MG13" s="39"/>
      <c r="MH13" s="39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39"/>
      <c r="MY13" s="39"/>
      <c r="MZ13" s="39"/>
      <c r="NA13" s="39"/>
      <c r="NB13" s="39"/>
      <c r="NC13" s="39"/>
      <c r="ND13" s="39"/>
      <c r="NE13" s="39"/>
      <c r="NF13" s="39"/>
      <c r="NG13" s="39"/>
      <c r="NH13" s="39"/>
      <c r="NI13" s="39"/>
      <c r="NJ13" s="39"/>
      <c r="NK13" s="39"/>
      <c r="NL13" s="39"/>
      <c r="NM13" s="39"/>
      <c r="NN13" s="39"/>
      <c r="NO13" s="39"/>
      <c r="NP13" s="39"/>
      <c r="NQ13" s="39"/>
      <c r="NR13" s="39"/>
      <c r="NS13" s="39"/>
      <c r="NT13" s="39"/>
      <c r="NU13" s="39"/>
      <c r="NV13" s="39"/>
      <c r="NW13" s="39"/>
      <c r="NX13" s="39"/>
      <c r="NY13" s="39"/>
      <c r="NZ13" s="39"/>
      <c r="OA13" s="39"/>
      <c r="OB13" s="39"/>
      <c r="OC13" s="39"/>
      <c r="OD13" s="39"/>
      <c r="OE13" s="39"/>
      <c r="OF13" s="39"/>
      <c r="OG13" s="39"/>
      <c r="OH13" s="39"/>
      <c r="OI13" s="39"/>
      <c r="OJ13" s="39"/>
      <c r="OK13" s="39"/>
      <c r="OL13" s="39"/>
      <c r="OM13" s="39"/>
      <c r="ON13" s="39"/>
      <c r="OO13" s="39"/>
      <c r="OP13" s="39"/>
      <c r="OQ13" s="39"/>
      <c r="OR13" s="39"/>
      <c r="OS13" s="39"/>
      <c r="OT13" s="39"/>
      <c r="OU13" s="39"/>
      <c r="OV13" s="39"/>
      <c r="OW13" s="39"/>
      <c r="OX13" s="39"/>
      <c r="OY13" s="39"/>
      <c r="OZ13" s="39"/>
      <c r="PA13" s="39"/>
      <c r="PB13" s="39"/>
      <c r="PC13" s="39"/>
      <c r="PD13" s="39"/>
      <c r="PE13" s="39"/>
      <c r="PF13" s="39"/>
      <c r="PG13" s="39"/>
      <c r="PH13" s="39"/>
      <c r="PI13" s="39"/>
      <c r="PJ13" s="39"/>
      <c r="PK13" s="39"/>
      <c r="PL13" s="39"/>
      <c r="PM13" s="39"/>
      <c r="PN13" s="39"/>
      <c r="PO13" s="39"/>
      <c r="PP13" s="39"/>
      <c r="PQ13" s="39"/>
      <c r="PR13" s="39"/>
      <c r="PS13" s="39"/>
      <c r="PT13" s="39"/>
      <c r="PU13" s="39"/>
      <c r="PV13" s="39"/>
      <c r="PW13" s="39"/>
      <c r="PX13" s="39"/>
      <c r="PY13" s="39"/>
      <c r="PZ13" s="39"/>
      <c r="QA13" s="39"/>
      <c r="QB13" s="39"/>
      <c r="QC13" s="39"/>
      <c r="QD13" s="39"/>
      <c r="QE13" s="39"/>
      <c r="QF13" s="39"/>
      <c r="QG13" s="39"/>
      <c r="QH13" s="39"/>
      <c r="QI13" s="39"/>
      <c r="QJ13" s="39"/>
      <c r="QK13" s="39"/>
      <c r="QL13" s="39"/>
      <c r="QM13" s="39"/>
      <c r="QN13" s="39"/>
      <c r="QO13" s="39"/>
      <c r="QP13" s="39"/>
      <c r="QQ13" s="39"/>
      <c r="QR13" s="39"/>
      <c r="QS13" s="39"/>
      <c r="QT13" s="39"/>
      <c r="QU13" s="39"/>
      <c r="QV13" s="39"/>
      <c r="QW13" s="39"/>
      <c r="QX13" s="39"/>
      <c r="QY13" s="39"/>
      <c r="QZ13" s="39"/>
      <c r="RA13" s="39"/>
      <c r="RB13" s="39"/>
      <c r="RC13" s="39"/>
      <c r="RD13" s="39"/>
      <c r="RE13" s="39"/>
      <c r="RF13" s="39"/>
      <c r="RG13" s="39"/>
      <c r="RH13" s="39"/>
      <c r="RI13" s="39"/>
      <c r="RJ13" s="39"/>
      <c r="RK13" s="39"/>
      <c r="RL13" s="39"/>
      <c r="RM13" s="39"/>
      <c r="RN13" s="39"/>
      <c r="RO13" s="39"/>
      <c r="RP13" s="39"/>
      <c r="RQ13" s="39"/>
      <c r="RR13" s="39"/>
      <c r="RS13" s="39"/>
      <c r="RT13" s="39"/>
      <c r="RU13" s="39"/>
      <c r="RV13" s="39"/>
      <c r="RW13" s="39"/>
      <c r="RX13" s="39"/>
      <c r="RY13" s="39"/>
      <c r="RZ13" s="39"/>
      <c r="SA13" s="39"/>
      <c r="SB13" s="39"/>
      <c r="SC13" s="39"/>
      <c r="SD13" s="39"/>
      <c r="SE13" s="39"/>
      <c r="SF13" s="39"/>
      <c r="SG13" s="39"/>
      <c r="SH13" s="39"/>
      <c r="SI13" s="39"/>
      <c r="SJ13" s="39"/>
      <c r="SK13" s="39"/>
      <c r="SL13" s="39"/>
      <c r="SM13" s="39"/>
      <c r="SN13" s="39"/>
      <c r="SO13" s="39"/>
      <c r="SP13" s="39"/>
      <c r="SQ13" s="39"/>
      <c r="SR13" s="39"/>
      <c r="SS13" s="39"/>
      <c r="ST13" s="39"/>
      <c r="SU13" s="39"/>
      <c r="SV13" s="39"/>
      <c r="SW13" s="39"/>
      <c r="SX13" s="39"/>
      <c r="SY13" s="39"/>
      <c r="SZ13" s="39"/>
      <c r="TA13" s="39"/>
      <c r="TB13" s="39"/>
      <c r="TC13" s="39"/>
      <c r="TD13" s="39"/>
      <c r="TE13" s="39"/>
      <c r="TF13" s="39"/>
      <c r="TG13" s="39"/>
      <c r="TH13" s="39"/>
      <c r="TI13" s="39"/>
      <c r="TJ13" s="39"/>
      <c r="TK13" s="39"/>
      <c r="TL13" s="39"/>
      <c r="TM13" s="39"/>
      <c r="TN13" s="39"/>
      <c r="TO13" s="39"/>
      <c r="TP13" s="39"/>
      <c r="TQ13" s="39"/>
      <c r="TR13" s="39"/>
      <c r="TS13" s="39"/>
      <c r="TT13" s="39"/>
      <c r="TU13" s="39"/>
      <c r="TV13" s="39"/>
      <c r="TW13" s="39"/>
      <c r="TX13" s="39"/>
      <c r="TY13" s="39"/>
      <c r="TZ13" s="39"/>
      <c r="UA13" s="39"/>
      <c r="UB13" s="39"/>
      <c r="UC13" s="39"/>
      <c r="UD13" s="39"/>
      <c r="UE13" s="39"/>
      <c r="UF13" s="39"/>
      <c r="UG13" s="39"/>
      <c r="UH13" s="39"/>
      <c r="UI13" s="39"/>
      <c r="UJ13" s="39"/>
      <c r="UK13" s="39"/>
      <c r="UL13" s="39"/>
      <c r="UM13" s="39"/>
      <c r="UN13" s="39"/>
      <c r="UO13" s="39"/>
      <c r="UP13" s="39"/>
      <c r="UQ13" s="39"/>
      <c r="UR13" s="39"/>
      <c r="US13" s="39"/>
      <c r="UT13" s="39"/>
      <c r="UU13" s="39"/>
      <c r="UV13" s="39"/>
      <c r="UW13" s="39"/>
      <c r="UX13" s="39"/>
      <c r="UY13" s="39"/>
      <c r="UZ13" s="39"/>
      <c r="VA13" s="39"/>
      <c r="VB13" s="39"/>
      <c r="VC13" s="39"/>
      <c r="VD13" s="39"/>
      <c r="VE13" s="39"/>
      <c r="VF13" s="39"/>
      <c r="VG13" s="39"/>
      <c r="VH13" s="39"/>
      <c r="VI13" s="39"/>
      <c r="VJ13" s="39"/>
      <c r="VK13" s="39"/>
      <c r="VL13" s="39"/>
      <c r="VM13" s="39"/>
      <c r="VN13" s="39"/>
      <c r="VO13" s="39"/>
      <c r="VP13" s="39"/>
      <c r="VQ13" s="39"/>
      <c r="VR13" s="39"/>
      <c r="VS13" s="39"/>
      <c r="VT13" s="39"/>
      <c r="VU13" s="39"/>
      <c r="VV13" s="39"/>
      <c r="VW13" s="39"/>
      <c r="VX13" s="39"/>
      <c r="VY13" s="39"/>
      <c r="VZ13" s="39"/>
      <c r="WA13" s="39"/>
      <c r="WB13" s="39"/>
      <c r="WC13" s="39"/>
      <c r="WD13" s="39"/>
      <c r="WE13" s="39"/>
      <c r="WF13" s="39"/>
      <c r="WG13" s="39"/>
      <c r="WH13" s="39"/>
      <c r="WI13" s="39"/>
      <c r="WJ13" s="39"/>
      <c r="WK13" s="39"/>
      <c r="WL13" s="39"/>
      <c r="WM13" s="39"/>
      <c r="WN13" s="39"/>
      <c r="WO13" s="39"/>
      <c r="WP13" s="39"/>
      <c r="WQ13" s="39"/>
      <c r="WR13" s="39"/>
      <c r="WS13" s="39"/>
      <c r="WT13" s="39"/>
      <c r="WU13" s="39"/>
      <c r="WV13" s="39"/>
      <c r="WW13" s="39"/>
      <c r="WX13" s="39"/>
      <c r="WY13" s="39"/>
      <c r="WZ13" s="39"/>
      <c r="XA13" s="39"/>
      <c r="XB13" s="39"/>
      <c r="XC13" s="39"/>
      <c r="XD13" s="39"/>
      <c r="XE13" s="39"/>
      <c r="XF13" s="39"/>
      <c r="XG13" s="39"/>
      <c r="XH13" s="39"/>
      <c r="XI13" s="39"/>
      <c r="XJ13" s="39"/>
      <c r="XK13" s="39"/>
      <c r="XL13" s="39"/>
      <c r="XM13" s="39"/>
      <c r="XN13" s="39"/>
      <c r="XO13" s="39"/>
      <c r="XP13" s="39"/>
      <c r="XQ13" s="39"/>
      <c r="XR13" s="39"/>
      <c r="XS13" s="39"/>
      <c r="XT13" s="39"/>
      <c r="XU13" s="39"/>
      <c r="XV13" s="39"/>
      <c r="XW13" s="39"/>
      <c r="XX13" s="39"/>
      <c r="XY13" s="39"/>
      <c r="XZ13" s="39"/>
      <c r="YA13" s="39"/>
      <c r="YB13" s="39"/>
      <c r="YC13" s="39"/>
      <c r="YD13" s="39"/>
      <c r="YE13" s="39"/>
      <c r="YF13" s="39"/>
      <c r="YG13" s="39"/>
      <c r="YH13" s="39"/>
      <c r="YI13" s="39"/>
      <c r="YJ13" s="39"/>
      <c r="YK13" s="39"/>
      <c r="YL13" s="39"/>
      <c r="YM13" s="39"/>
      <c r="YN13" s="39"/>
      <c r="YO13" s="39"/>
      <c r="YP13" s="39"/>
      <c r="YQ13" s="39"/>
      <c r="YR13" s="39"/>
      <c r="YS13" s="39"/>
      <c r="YT13" s="39"/>
      <c r="YU13" s="39"/>
      <c r="YV13" s="39"/>
      <c r="YW13" s="39"/>
      <c r="YX13" s="39"/>
      <c r="YY13" s="39"/>
      <c r="YZ13" s="39"/>
      <c r="ZA13" s="39"/>
      <c r="ZB13" s="39"/>
      <c r="ZC13" s="39"/>
      <c r="ZD13" s="39"/>
      <c r="ZE13" s="39"/>
      <c r="ZF13" s="39"/>
      <c r="ZG13" s="39"/>
      <c r="ZH13" s="39"/>
      <c r="ZI13" s="39"/>
      <c r="ZJ13" s="39"/>
      <c r="ZK13" s="39"/>
      <c r="ZL13" s="39"/>
      <c r="ZM13" s="39"/>
      <c r="ZN13" s="39"/>
      <c r="ZO13" s="39"/>
      <c r="ZP13" s="39"/>
      <c r="ZQ13" s="39"/>
      <c r="ZR13" s="39"/>
      <c r="ZS13" s="39"/>
      <c r="ZT13" s="39"/>
      <c r="ZU13" s="39"/>
      <c r="ZV13" s="39"/>
      <c r="ZW13" s="39"/>
      <c r="ZX13" s="39"/>
      <c r="ZY13" s="39"/>
      <c r="ZZ13" s="39"/>
      <c r="AAA13" s="39"/>
      <c r="AAB13" s="39"/>
      <c r="AAC13" s="39"/>
      <c r="AAD13" s="39"/>
      <c r="AAE13" s="39"/>
      <c r="AAF13" s="39"/>
      <c r="AAG13" s="39"/>
      <c r="AAH13" s="39"/>
      <c r="AAI13" s="39"/>
      <c r="AAJ13" s="39"/>
      <c r="AAK13" s="39"/>
      <c r="AAL13" s="39"/>
      <c r="AAM13" s="39"/>
      <c r="AAN13" s="39"/>
      <c r="AAO13" s="39"/>
      <c r="AAP13" s="39"/>
      <c r="AAQ13" s="39"/>
      <c r="AAR13" s="39"/>
      <c r="AAS13" s="39"/>
      <c r="AAT13" s="39"/>
      <c r="AAU13" s="39"/>
      <c r="AAV13" s="39"/>
      <c r="AAW13" s="39"/>
      <c r="AAX13" s="39"/>
      <c r="AAY13" s="39"/>
      <c r="AAZ13" s="39"/>
      <c r="ABA13" s="39"/>
      <c r="ABB13" s="39"/>
      <c r="ABC13" s="39"/>
      <c r="ABD13" s="39"/>
      <c r="ABE13" s="39"/>
      <c r="ABF13" s="39"/>
      <c r="ABG13" s="39"/>
      <c r="ABH13" s="39"/>
      <c r="ABI13" s="39"/>
      <c r="ABJ13" s="39"/>
      <c r="ABK13" s="39"/>
      <c r="ABL13" s="39"/>
      <c r="ABM13" s="39"/>
      <c r="ABN13" s="39"/>
      <c r="ABO13" s="39"/>
      <c r="ABP13" s="39"/>
      <c r="ABQ13" s="39"/>
      <c r="ABR13" s="39"/>
      <c r="ABS13" s="39"/>
      <c r="ABT13" s="39"/>
      <c r="ABU13" s="39"/>
      <c r="ABV13" s="39"/>
      <c r="ABW13" s="39"/>
      <c r="ABX13" s="39"/>
      <c r="ABY13" s="39"/>
      <c r="ABZ13" s="39"/>
      <c r="ACA13" s="39"/>
      <c r="ACB13" s="39"/>
      <c r="ACC13" s="39"/>
      <c r="ACD13" s="39"/>
      <c r="ACE13" s="39"/>
      <c r="ACF13" s="39"/>
      <c r="ACG13" s="39"/>
      <c r="ACH13" s="39"/>
      <c r="ACI13" s="39"/>
      <c r="ACJ13" s="39"/>
      <c r="ACK13" s="39"/>
      <c r="ACL13" s="39"/>
      <c r="ACM13" s="39"/>
      <c r="ACN13" s="39"/>
      <c r="ACO13" s="39"/>
      <c r="ACP13" s="39"/>
      <c r="ACQ13" s="39"/>
      <c r="ACR13" s="39"/>
      <c r="ACS13" s="39"/>
      <c r="ACT13" s="39"/>
      <c r="ACU13" s="39"/>
      <c r="ACV13" s="39"/>
      <c r="ACW13" s="39"/>
      <c r="ACX13" s="39"/>
      <c r="ACY13" s="39"/>
      <c r="ACZ13" s="39"/>
      <c r="ADA13" s="39"/>
      <c r="ADB13" s="39"/>
      <c r="ADC13" s="39"/>
      <c r="ADD13" s="39"/>
      <c r="ADE13" s="39"/>
      <c r="ADF13" s="39"/>
      <c r="ADG13" s="39"/>
      <c r="ADH13" s="39"/>
      <c r="ADI13" s="39"/>
      <c r="ADJ13" s="39"/>
      <c r="ADK13" s="39"/>
      <c r="ADL13" s="39"/>
      <c r="ADM13" s="39"/>
      <c r="ADN13" s="39"/>
      <c r="ADO13" s="39"/>
      <c r="ADP13" s="39"/>
      <c r="ADQ13" s="39"/>
      <c r="ADR13" s="39"/>
      <c r="ADS13" s="39"/>
      <c r="ADT13" s="39"/>
      <c r="ADU13" s="39"/>
      <c r="ADV13" s="39"/>
      <c r="ADW13" s="39"/>
      <c r="ADX13" s="39"/>
      <c r="ADY13" s="39"/>
      <c r="ADZ13" s="39"/>
      <c r="AEA13" s="39"/>
      <c r="AEB13" s="39"/>
      <c r="AEC13" s="39"/>
      <c r="AED13" s="39"/>
      <c r="AEE13" s="39"/>
      <c r="AEF13" s="39"/>
      <c r="AEG13" s="39"/>
      <c r="AEH13" s="39"/>
      <c r="AEI13" s="39"/>
      <c r="AEJ13" s="39"/>
      <c r="AEK13" s="39"/>
      <c r="AEL13" s="39"/>
      <c r="AEM13" s="39"/>
      <c r="AEN13" s="39"/>
      <c r="AEO13" s="39"/>
      <c r="AEP13" s="39"/>
      <c r="AEQ13" s="39"/>
      <c r="AER13" s="39"/>
      <c r="AES13" s="39"/>
      <c r="AET13" s="39"/>
      <c r="AEU13" s="39"/>
      <c r="AEV13" s="39"/>
      <c r="AEW13" s="39"/>
      <c r="AEX13" s="39"/>
      <c r="AEY13" s="39"/>
      <c r="AEZ13" s="39"/>
      <c r="AFA13" s="39"/>
      <c r="AFB13" s="39"/>
      <c r="AFC13" s="39"/>
      <c r="AFD13" s="39"/>
      <c r="AFE13" s="39"/>
      <c r="AFF13" s="39"/>
      <c r="AFG13" s="39"/>
      <c r="AFH13" s="39"/>
      <c r="AFI13" s="39"/>
      <c r="AFJ13" s="39"/>
      <c r="AFK13" s="39"/>
      <c r="AFL13" s="39"/>
      <c r="AFM13" s="39"/>
      <c r="AFN13" s="39"/>
      <c r="AFO13" s="39"/>
      <c r="AFP13" s="39"/>
      <c r="AFQ13" s="39"/>
      <c r="AFR13" s="39"/>
      <c r="AFS13" s="39"/>
      <c r="AFT13" s="39"/>
      <c r="AFU13" s="39"/>
      <c r="AFV13" s="39"/>
      <c r="AFW13" s="39"/>
      <c r="AFX13" s="39"/>
      <c r="AFY13" s="39"/>
      <c r="AFZ13" s="39"/>
      <c r="AGA13" s="39"/>
      <c r="AGB13" s="39"/>
      <c r="AGC13" s="39"/>
      <c r="AGD13" s="39"/>
      <c r="AGE13" s="39"/>
      <c r="AGF13" s="39"/>
      <c r="AGG13" s="39"/>
      <c r="AGH13" s="39"/>
      <c r="AGI13" s="39"/>
      <c r="AGJ13" s="39"/>
      <c r="AGK13" s="39"/>
      <c r="AGL13" s="39"/>
      <c r="AGM13" s="39"/>
      <c r="AGN13" s="39"/>
      <c r="AGO13" s="39"/>
      <c r="AGP13" s="39"/>
      <c r="AGQ13" s="39"/>
      <c r="AGR13" s="39"/>
      <c r="AGS13" s="39"/>
      <c r="AGT13" s="39"/>
      <c r="AGU13" s="39"/>
      <c r="AGV13" s="39"/>
      <c r="AGW13" s="39"/>
      <c r="AGX13" s="39"/>
      <c r="AGY13" s="39"/>
      <c r="AGZ13" s="39"/>
      <c r="AHA13" s="39"/>
      <c r="AHB13" s="39"/>
      <c r="AHC13" s="39"/>
      <c r="AHD13" s="39"/>
      <c r="AHE13" s="39"/>
      <c r="AHF13" s="39"/>
      <c r="AHG13" s="39"/>
      <c r="AHH13" s="39"/>
      <c r="AHI13" s="39"/>
      <c r="AHJ13" s="39"/>
      <c r="AHK13" s="39"/>
      <c r="AHL13" s="39"/>
      <c r="AHM13" s="39"/>
      <c r="AHN13" s="39"/>
      <c r="AHO13" s="39"/>
      <c r="AHP13" s="39"/>
      <c r="AHQ13" s="39"/>
      <c r="AHR13" s="39"/>
      <c r="AHS13" s="39"/>
      <c r="AHT13" s="39"/>
      <c r="AHU13" s="39"/>
      <c r="AHV13" s="39"/>
      <c r="AHW13" s="39"/>
      <c r="AHX13" s="39"/>
      <c r="AHY13" s="39"/>
      <c r="AHZ13" s="39"/>
      <c r="AIA13" s="39"/>
      <c r="AIB13" s="39"/>
      <c r="AIC13" s="39"/>
      <c r="AID13" s="39"/>
      <c r="AIE13" s="39"/>
      <c r="AIF13" s="39"/>
      <c r="AIG13" s="39"/>
      <c r="AIH13" s="39"/>
      <c r="AII13" s="39"/>
      <c r="AIJ13" s="39"/>
      <c r="AIK13" s="39"/>
      <c r="AIL13" s="39"/>
      <c r="AIM13" s="39"/>
      <c r="AIN13" s="39"/>
      <c r="AIO13" s="39"/>
      <c r="AIP13" s="39"/>
      <c r="AIQ13" s="39"/>
      <c r="AIR13" s="39"/>
      <c r="AIS13" s="39"/>
      <c r="AIT13" s="39"/>
      <c r="AIU13" s="39"/>
      <c r="AIV13" s="39"/>
      <c r="AIW13" s="39"/>
      <c r="AIX13" s="39"/>
      <c r="AIY13" s="39"/>
      <c r="AIZ13" s="39"/>
      <c r="AJA13" s="39"/>
      <c r="AJB13" s="39"/>
      <c r="AJC13" s="39"/>
      <c r="AJD13" s="39"/>
      <c r="AJE13" s="39"/>
      <c r="AJF13" s="39"/>
      <c r="AJG13" s="39"/>
      <c r="AJH13" s="39"/>
      <c r="AJI13" s="39"/>
      <c r="AJJ13" s="39"/>
      <c r="AJK13" s="39"/>
      <c r="AJL13" s="39"/>
      <c r="AJM13" s="39"/>
      <c r="AJN13" s="39"/>
      <c r="AJO13" s="39"/>
      <c r="AJP13" s="39"/>
      <c r="AJQ13" s="39"/>
      <c r="AJR13" s="39"/>
      <c r="AJS13" s="39"/>
      <c r="AJT13" s="39"/>
      <c r="AJU13" s="39"/>
      <c r="AJV13" s="39"/>
      <c r="AJW13" s="39"/>
      <c r="AJX13" s="39"/>
      <c r="AJY13" s="39"/>
      <c r="AJZ13" s="39"/>
      <c r="AKA13" s="39"/>
      <c r="AKB13" s="39"/>
      <c r="AKC13" s="39"/>
      <c r="AKD13" s="39"/>
      <c r="AKE13" s="39"/>
      <c r="AKF13" s="39"/>
      <c r="AKG13" s="39"/>
      <c r="AKH13" s="39"/>
      <c r="AKI13" s="39"/>
      <c r="AKJ13" s="39"/>
      <c r="AKK13" s="39"/>
      <c r="AKL13" s="39"/>
      <c r="AKM13" s="39"/>
      <c r="AKN13" s="39"/>
      <c r="AKO13" s="39"/>
      <c r="AKP13" s="39"/>
      <c r="AKQ13" s="39"/>
    </row>
    <row r="14" spans="1:979" s="168" customFormat="1" ht="24" customHeight="1" x14ac:dyDescent="0.25">
      <c r="A14" s="882"/>
      <c r="B14" s="563"/>
      <c r="C14" s="564"/>
      <c r="D14" s="139"/>
      <c r="E14" s="139"/>
      <c r="F14" s="139">
        <f>SUM(F12:F13)</f>
        <v>119</v>
      </c>
      <c r="G14" s="139">
        <f>SUM(G12:G13)</f>
        <v>1190000</v>
      </c>
      <c r="H14" s="139">
        <f t="shared" ref="H14:Q14" si="2">SUM(H12:H13)</f>
        <v>238000</v>
      </c>
      <c r="I14" s="139">
        <f t="shared" si="2"/>
        <v>952000</v>
      </c>
      <c r="J14" s="139">
        <f t="shared" si="2"/>
        <v>0</v>
      </c>
      <c r="K14" s="139">
        <f t="shared" si="2"/>
        <v>0</v>
      </c>
      <c r="L14" s="139">
        <f t="shared" si="2"/>
        <v>0</v>
      </c>
      <c r="M14" s="139">
        <f t="shared" si="2"/>
        <v>0</v>
      </c>
      <c r="N14" s="139">
        <f t="shared" si="2"/>
        <v>0</v>
      </c>
      <c r="O14" s="139">
        <f t="shared" si="2"/>
        <v>0</v>
      </c>
      <c r="P14" s="139">
        <f t="shared" si="2"/>
        <v>0</v>
      </c>
      <c r="Q14" s="139">
        <f t="shared" si="2"/>
        <v>0</v>
      </c>
      <c r="R14" s="139">
        <f t="shared" ref="R14:Y14" si="3">SUM(R13)</f>
        <v>11.9</v>
      </c>
      <c r="S14" s="139">
        <f t="shared" si="3"/>
        <v>29.75</v>
      </c>
      <c r="T14" s="139">
        <f t="shared" si="3"/>
        <v>41.65</v>
      </c>
      <c r="U14" s="139">
        <f t="shared" si="3"/>
        <v>35.699999999999996</v>
      </c>
      <c r="V14" s="139">
        <f t="shared" si="3"/>
        <v>119000</v>
      </c>
      <c r="W14" s="139">
        <f t="shared" si="3"/>
        <v>297500</v>
      </c>
      <c r="X14" s="139">
        <f t="shared" si="3"/>
        <v>416500</v>
      </c>
      <c r="Y14" s="139">
        <f t="shared" si="3"/>
        <v>356999.99999999994</v>
      </c>
      <c r="Z14" s="139">
        <f t="shared" ref="Z14:BK14" si="4">SUM(Z12:Z13)</f>
        <v>7</v>
      </c>
      <c r="AA14" s="139">
        <f t="shared" si="4"/>
        <v>70000</v>
      </c>
      <c r="AB14" s="139">
        <f t="shared" si="4"/>
        <v>7</v>
      </c>
      <c r="AC14" s="139">
        <f t="shared" si="4"/>
        <v>70000</v>
      </c>
      <c r="AD14" s="139">
        <f t="shared" si="4"/>
        <v>7</v>
      </c>
      <c r="AE14" s="139">
        <f t="shared" si="4"/>
        <v>70000</v>
      </c>
      <c r="AF14" s="139">
        <f t="shared" si="4"/>
        <v>7</v>
      </c>
      <c r="AG14" s="139">
        <f t="shared" si="4"/>
        <v>70000</v>
      </c>
      <c r="AH14" s="139">
        <f t="shared" si="4"/>
        <v>7</v>
      </c>
      <c r="AI14" s="139">
        <f t="shared" si="4"/>
        <v>70000</v>
      </c>
      <c r="AJ14" s="139">
        <f t="shared" si="4"/>
        <v>7</v>
      </c>
      <c r="AK14" s="139">
        <f t="shared" si="4"/>
        <v>70000</v>
      </c>
      <c r="AL14" s="139">
        <f t="shared" si="4"/>
        <v>7</v>
      </c>
      <c r="AM14" s="139">
        <f t="shared" si="4"/>
        <v>70000</v>
      </c>
      <c r="AN14" s="139">
        <f t="shared" si="4"/>
        <v>7</v>
      </c>
      <c r="AO14" s="139">
        <f t="shared" si="4"/>
        <v>70000</v>
      </c>
      <c r="AP14" s="139">
        <f t="shared" si="4"/>
        <v>7</v>
      </c>
      <c r="AQ14" s="139">
        <f t="shared" si="4"/>
        <v>70000</v>
      </c>
      <c r="AR14" s="139">
        <f t="shared" si="4"/>
        <v>7</v>
      </c>
      <c r="AS14" s="139">
        <f t="shared" si="4"/>
        <v>70000</v>
      </c>
      <c r="AT14" s="139">
        <f t="shared" si="4"/>
        <v>7</v>
      </c>
      <c r="AU14" s="139">
        <f t="shared" si="4"/>
        <v>70000</v>
      </c>
      <c r="AV14" s="139">
        <f t="shared" si="4"/>
        <v>7</v>
      </c>
      <c r="AW14" s="139">
        <f t="shared" si="4"/>
        <v>70000</v>
      </c>
      <c r="AX14" s="139">
        <f t="shared" si="4"/>
        <v>7</v>
      </c>
      <c r="AY14" s="139">
        <f t="shared" si="4"/>
        <v>70000</v>
      </c>
      <c r="AZ14" s="139">
        <f t="shared" si="4"/>
        <v>7</v>
      </c>
      <c r="BA14" s="139">
        <f t="shared" si="4"/>
        <v>70000</v>
      </c>
      <c r="BB14" s="139">
        <f t="shared" si="4"/>
        <v>7</v>
      </c>
      <c r="BC14" s="139">
        <f t="shared" si="4"/>
        <v>70000</v>
      </c>
      <c r="BD14" s="139">
        <f t="shared" si="4"/>
        <v>7</v>
      </c>
      <c r="BE14" s="139">
        <f t="shared" si="4"/>
        <v>70000</v>
      </c>
      <c r="BF14" s="139">
        <f t="shared" si="4"/>
        <v>7</v>
      </c>
      <c r="BG14" s="139">
        <f t="shared" si="4"/>
        <v>70000</v>
      </c>
      <c r="BH14" s="139">
        <f t="shared" si="4"/>
        <v>0</v>
      </c>
      <c r="BI14" s="139">
        <f t="shared" si="4"/>
        <v>0</v>
      </c>
      <c r="BJ14" s="139">
        <f t="shared" si="4"/>
        <v>119</v>
      </c>
      <c r="BK14" s="139">
        <f t="shared" si="4"/>
        <v>1190000</v>
      </c>
      <c r="BL14" s="47"/>
      <c r="BM14" s="39"/>
      <c r="BN14" s="139">
        <f t="shared" ref="BN14:BU14" si="5">SUM(BN12:BN13)</f>
        <v>0</v>
      </c>
      <c r="BO14" s="139">
        <f t="shared" si="5"/>
        <v>1190000</v>
      </c>
      <c r="BP14" s="139">
        <f t="shared" si="5"/>
        <v>0</v>
      </c>
      <c r="BQ14" s="139">
        <f t="shared" si="5"/>
        <v>0</v>
      </c>
      <c r="BR14" s="139">
        <f t="shared" si="5"/>
        <v>1190000</v>
      </c>
      <c r="BS14" s="139">
        <f t="shared" si="5"/>
        <v>0</v>
      </c>
      <c r="BT14" s="139">
        <f t="shared" si="5"/>
        <v>0</v>
      </c>
      <c r="BU14" s="139">
        <f t="shared" si="5"/>
        <v>0</v>
      </c>
      <c r="BV14" s="474">
        <f t="shared" si="1"/>
        <v>1190000</v>
      </c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/>
      <c r="ME14" s="39"/>
      <c r="MF14" s="39"/>
      <c r="MG14" s="39"/>
      <c r="MH14" s="39"/>
      <c r="MI14" s="39"/>
      <c r="MJ14" s="39"/>
      <c r="MK14" s="39"/>
      <c r="ML14" s="39"/>
      <c r="MM14" s="39"/>
      <c r="MN14" s="39"/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/>
      <c r="NC14" s="39"/>
      <c r="ND14" s="39"/>
      <c r="NE14" s="39"/>
      <c r="NF14" s="39"/>
      <c r="NG14" s="39"/>
      <c r="NH14" s="39"/>
      <c r="NI14" s="39"/>
      <c r="NJ14" s="39"/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  <c r="NY14" s="39"/>
      <c r="NZ14" s="39"/>
      <c r="OA14" s="39"/>
      <c r="OB14" s="39"/>
      <c r="OC14" s="39"/>
      <c r="OD14" s="39"/>
      <c r="OE14" s="39"/>
      <c r="OF14" s="39"/>
      <c r="OG14" s="39"/>
      <c r="OH14" s="39"/>
      <c r="OI14" s="39"/>
      <c r="OJ14" s="39"/>
      <c r="OK14" s="39"/>
      <c r="OL14" s="39"/>
      <c r="OM14" s="39"/>
      <c r="ON14" s="39"/>
      <c r="OO14" s="39"/>
      <c r="OP14" s="39"/>
      <c r="OQ14" s="39"/>
      <c r="OR14" s="39"/>
      <c r="OS14" s="39"/>
      <c r="OT14" s="39"/>
      <c r="OU14" s="39"/>
      <c r="OV14" s="39"/>
      <c r="OW14" s="39"/>
      <c r="OX14" s="39"/>
      <c r="OY14" s="39"/>
      <c r="OZ14" s="39"/>
      <c r="PA14" s="39"/>
      <c r="PB14" s="39"/>
      <c r="PC14" s="39"/>
      <c r="PD14" s="39"/>
      <c r="PE14" s="39"/>
      <c r="PF14" s="39"/>
      <c r="PG14" s="39"/>
      <c r="PH14" s="39"/>
      <c r="PI14" s="39"/>
      <c r="PJ14" s="39"/>
      <c r="PK14" s="39"/>
      <c r="PL14" s="39"/>
      <c r="PM14" s="39"/>
      <c r="PN14" s="39"/>
      <c r="PO14" s="39"/>
      <c r="PP14" s="39"/>
      <c r="PQ14" s="39"/>
      <c r="PR14" s="39"/>
      <c r="PS14" s="39"/>
      <c r="PT14" s="39"/>
      <c r="PU14" s="39"/>
      <c r="PV14" s="39"/>
      <c r="PW14" s="39"/>
      <c r="PX14" s="39"/>
      <c r="PY14" s="39"/>
      <c r="PZ14" s="39"/>
      <c r="QA14" s="39"/>
      <c r="QB14" s="39"/>
      <c r="QC14" s="39"/>
      <c r="QD14" s="39"/>
      <c r="QE14" s="39"/>
      <c r="QF14" s="39"/>
      <c r="QG14" s="39"/>
      <c r="QH14" s="39"/>
      <c r="QI14" s="39"/>
      <c r="QJ14" s="39"/>
      <c r="QK14" s="39"/>
      <c r="QL14" s="39"/>
      <c r="QM14" s="39"/>
      <c r="QN14" s="39"/>
      <c r="QO14" s="39"/>
      <c r="QP14" s="39"/>
      <c r="QQ14" s="39"/>
      <c r="QR14" s="39"/>
      <c r="QS14" s="39"/>
      <c r="QT14" s="39"/>
      <c r="QU14" s="39"/>
      <c r="QV14" s="39"/>
      <c r="QW14" s="39"/>
      <c r="QX14" s="39"/>
      <c r="QY14" s="39"/>
      <c r="QZ14" s="39"/>
      <c r="RA14" s="39"/>
      <c r="RB14" s="39"/>
      <c r="RC14" s="39"/>
      <c r="RD14" s="39"/>
      <c r="RE14" s="39"/>
      <c r="RF14" s="39"/>
      <c r="RG14" s="39"/>
      <c r="RH14" s="39"/>
      <c r="RI14" s="39"/>
      <c r="RJ14" s="39"/>
      <c r="RK14" s="39"/>
      <c r="RL14" s="39"/>
      <c r="RM14" s="39"/>
      <c r="RN14" s="39"/>
      <c r="RO14" s="39"/>
      <c r="RP14" s="39"/>
      <c r="RQ14" s="39"/>
      <c r="RR14" s="39"/>
      <c r="RS14" s="39"/>
      <c r="RT14" s="39"/>
      <c r="RU14" s="39"/>
      <c r="RV14" s="39"/>
      <c r="RW14" s="39"/>
      <c r="RX14" s="39"/>
      <c r="RY14" s="39"/>
      <c r="RZ14" s="39"/>
      <c r="SA14" s="39"/>
      <c r="SB14" s="39"/>
      <c r="SC14" s="39"/>
      <c r="SD14" s="39"/>
      <c r="SE14" s="39"/>
      <c r="SF14" s="39"/>
      <c r="SG14" s="39"/>
      <c r="SH14" s="39"/>
      <c r="SI14" s="39"/>
      <c r="SJ14" s="39"/>
      <c r="SK14" s="39"/>
      <c r="SL14" s="39"/>
      <c r="SM14" s="39"/>
      <c r="SN14" s="39"/>
      <c r="SO14" s="39"/>
      <c r="SP14" s="39"/>
      <c r="SQ14" s="39"/>
      <c r="SR14" s="39"/>
      <c r="SS14" s="39"/>
      <c r="ST14" s="39"/>
      <c r="SU14" s="39"/>
      <c r="SV14" s="39"/>
      <c r="SW14" s="39"/>
      <c r="SX14" s="39"/>
      <c r="SY14" s="39"/>
      <c r="SZ14" s="39"/>
      <c r="TA14" s="39"/>
      <c r="TB14" s="39"/>
      <c r="TC14" s="39"/>
      <c r="TD14" s="39"/>
      <c r="TE14" s="39"/>
      <c r="TF14" s="39"/>
      <c r="TG14" s="39"/>
      <c r="TH14" s="39"/>
      <c r="TI14" s="39"/>
      <c r="TJ14" s="39"/>
      <c r="TK14" s="39"/>
      <c r="TL14" s="39"/>
      <c r="TM14" s="39"/>
      <c r="TN14" s="39"/>
      <c r="TO14" s="39"/>
      <c r="TP14" s="39"/>
      <c r="TQ14" s="39"/>
      <c r="TR14" s="39"/>
      <c r="TS14" s="39"/>
      <c r="TT14" s="39"/>
      <c r="TU14" s="39"/>
      <c r="TV14" s="39"/>
      <c r="TW14" s="39"/>
      <c r="TX14" s="39"/>
      <c r="TY14" s="39"/>
      <c r="TZ14" s="39"/>
      <c r="UA14" s="39"/>
      <c r="UB14" s="39"/>
      <c r="UC14" s="39"/>
      <c r="UD14" s="39"/>
      <c r="UE14" s="39"/>
      <c r="UF14" s="39"/>
      <c r="UG14" s="39"/>
      <c r="UH14" s="39"/>
      <c r="UI14" s="39"/>
      <c r="UJ14" s="39"/>
      <c r="UK14" s="39"/>
      <c r="UL14" s="39"/>
      <c r="UM14" s="39"/>
      <c r="UN14" s="39"/>
      <c r="UO14" s="39"/>
      <c r="UP14" s="39"/>
      <c r="UQ14" s="39"/>
      <c r="UR14" s="39"/>
      <c r="US14" s="39"/>
      <c r="UT14" s="39"/>
      <c r="UU14" s="39"/>
      <c r="UV14" s="39"/>
      <c r="UW14" s="39"/>
      <c r="UX14" s="39"/>
      <c r="UY14" s="39"/>
      <c r="UZ14" s="39"/>
      <c r="VA14" s="39"/>
      <c r="VB14" s="39"/>
      <c r="VC14" s="39"/>
      <c r="VD14" s="39"/>
      <c r="VE14" s="39"/>
      <c r="VF14" s="39"/>
      <c r="VG14" s="39"/>
      <c r="VH14" s="39"/>
      <c r="VI14" s="39"/>
      <c r="VJ14" s="39"/>
      <c r="VK14" s="39"/>
      <c r="VL14" s="39"/>
      <c r="VM14" s="39"/>
      <c r="VN14" s="39"/>
      <c r="VO14" s="39"/>
      <c r="VP14" s="39"/>
      <c r="VQ14" s="39"/>
      <c r="VR14" s="39"/>
      <c r="VS14" s="39"/>
      <c r="VT14" s="39"/>
      <c r="VU14" s="39"/>
      <c r="VV14" s="39"/>
      <c r="VW14" s="39"/>
      <c r="VX14" s="39"/>
      <c r="VY14" s="39"/>
      <c r="VZ14" s="39"/>
      <c r="WA14" s="39"/>
      <c r="WB14" s="39"/>
      <c r="WC14" s="39"/>
      <c r="WD14" s="39"/>
      <c r="WE14" s="39"/>
      <c r="WF14" s="39"/>
      <c r="WG14" s="39"/>
      <c r="WH14" s="39"/>
      <c r="WI14" s="39"/>
      <c r="WJ14" s="39"/>
      <c r="WK14" s="39"/>
      <c r="WL14" s="39"/>
      <c r="WM14" s="39"/>
      <c r="WN14" s="39"/>
      <c r="WO14" s="39"/>
      <c r="WP14" s="39"/>
      <c r="WQ14" s="39"/>
      <c r="WR14" s="39"/>
      <c r="WS14" s="39"/>
      <c r="WT14" s="39"/>
      <c r="WU14" s="39"/>
      <c r="WV14" s="39"/>
      <c r="WW14" s="39"/>
      <c r="WX14" s="39"/>
      <c r="WY14" s="39"/>
      <c r="WZ14" s="39"/>
      <c r="XA14" s="39"/>
      <c r="XB14" s="39"/>
      <c r="XC14" s="39"/>
      <c r="XD14" s="39"/>
      <c r="XE14" s="39"/>
      <c r="XF14" s="39"/>
      <c r="XG14" s="39"/>
      <c r="XH14" s="39"/>
      <c r="XI14" s="39"/>
      <c r="XJ14" s="39"/>
      <c r="XK14" s="39"/>
      <c r="XL14" s="39"/>
      <c r="XM14" s="39"/>
      <c r="XN14" s="39"/>
      <c r="XO14" s="39"/>
      <c r="XP14" s="39"/>
      <c r="XQ14" s="39"/>
      <c r="XR14" s="39"/>
      <c r="XS14" s="39"/>
      <c r="XT14" s="39"/>
      <c r="XU14" s="39"/>
      <c r="XV14" s="39"/>
      <c r="XW14" s="39"/>
      <c r="XX14" s="39"/>
      <c r="XY14" s="39"/>
      <c r="XZ14" s="39"/>
      <c r="YA14" s="39"/>
      <c r="YB14" s="39"/>
      <c r="YC14" s="39"/>
      <c r="YD14" s="39"/>
      <c r="YE14" s="39"/>
      <c r="YF14" s="39"/>
      <c r="YG14" s="39"/>
      <c r="YH14" s="39"/>
      <c r="YI14" s="39"/>
      <c r="YJ14" s="39"/>
      <c r="YK14" s="39"/>
      <c r="YL14" s="39"/>
      <c r="YM14" s="39"/>
      <c r="YN14" s="39"/>
      <c r="YO14" s="39"/>
      <c r="YP14" s="39"/>
      <c r="YQ14" s="39"/>
      <c r="YR14" s="39"/>
      <c r="YS14" s="39"/>
      <c r="YT14" s="39"/>
      <c r="YU14" s="39"/>
      <c r="YV14" s="39"/>
      <c r="YW14" s="39"/>
      <c r="YX14" s="39"/>
      <c r="YY14" s="39"/>
      <c r="YZ14" s="39"/>
      <c r="ZA14" s="39"/>
      <c r="ZB14" s="39"/>
      <c r="ZC14" s="39"/>
      <c r="ZD14" s="39"/>
      <c r="ZE14" s="39"/>
      <c r="ZF14" s="39"/>
      <c r="ZG14" s="39"/>
      <c r="ZH14" s="39"/>
      <c r="ZI14" s="39"/>
      <c r="ZJ14" s="39"/>
      <c r="ZK14" s="39"/>
      <c r="ZL14" s="39"/>
      <c r="ZM14" s="39"/>
      <c r="ZN14" s="39"/>
      <c r="ZO14" s="39"/>
      <c r="ZP14" s="39"/>
      <c r="ZQ14" s="39"/>
      <c r="ZR14" s="39"/>
      <c r="ZS14" s="39"/>
      <c r="ZT14" s="39"/>
      <c r="ZU14" s="39"/>
      <c r="ZV14" s="39"/>
      <c r="ZW14" s="39"/>
      <c r="ZX14" s="39"/>
      <c r="ZY14" s="39"/>
      <c r="ZZ14" s="39"/>
      <c r="AAA14" s="39"/>
      <c r="AAB14" s="39"/>
      <c r="AAC14" s="39"/>
      <c r="AAD14" s="39"/>
      <c r="AAE14" s="39"/>
      <c r="AAF14" s="39"/>
      <c r="AAG14" s="39"/>
      <c r="AAH14" s="39"/>
      <c r="AAI14" s="39"/>
      <c r="AAJ14" s="39"/>
      <c r="AAK14" s="39"/>
      <c r="AAL14" s="39"/>
      <c r="AAM14" s="39"/>
      <c r="AAN14" s="39"/>
      <c r="AAO14" s="39"/>
      <c r="AAP14" s="39"/>
      <c r="AAQ14" s="39"/>
      <c r="AAR14" s="39"/>
      <c r="AAS14" s="39"/>
      <c r="AAT14" s="39"/>
      <c r="AAU14" s="39"/>
      <c r="AAV14" s="39"/>
      <c r="AAW14" s="39"/>
      <c r="AAX14" s="39"/>
      <c r="AAY14" s="39"/>
      <c r="AAZ14" s="39"/>
      <c r="ABA14" s="39"/>
      <c r="ABB14" s="39"/>
      <c r="ABC14" s="39"/>
      <c r="ABD14" s="39"/>
      <c r="ABE14" s="39"/>
      <c r="ABF14" s="39"/>
      <c r="ABG14" s="39"/>
      <c r="ABH14" s="39"/>
      <c r="ABI14" s="39"/>
      <c r="ABJ14" s="39"/>
      <c r="ABK14" s="39"/>
      <c r="ABL14" s="39"/>
      <c r="ABM14" s="39"/>
      <c r="ABN14" s="39"/>
      <c r="ABO14" s="39"/>
      <c r="ABP14" s="39"/>
      <c r="ABQ14" s="39"/>
      <c r="ABR14" s="39"/>
      <c r="ABS14" s="39"/>
      <c r="ABT14" s="39"/>
      <c r="ABU14" s="39"/>
      <c r="ABV14" s="39"/>
      <c r="ABW14" s="39"/>
      <c r="ABX14" s="39"/>
      <c r="ABY14" s="39"/>
      <c r="ABZ14" s="39"/>
      <c r="ACA14" s="39"/>
      <c r="ACB14" s="39"/>
      <c r="ACC14" s="39"/>
      <c r="ACD14" s="39"/>
      <c r="ACE14" s="39"/>
      <c r="ACF14" s="39"/>
      <c r="ACG14" s="39"/>
      <c r="ACH14" s="39"/>
      <c r="ACI14" s="39"/>
      <c r="ACJ14" s="39"/>
      <c r="ACK14" s="39"/>
      <c r="ACL14" s="39"/>
      <c r="ACM14" s="39"/>
      <c r="ACN14" s="39"/>
      <c r="ACO14" s="39"/>
      <c r="ACP14" s="39"/>
      <c r="ACQ14" s="39"/>
      <c r="ACR14" s="39"/>
      <c r="ACS14" s="39"/>
      <c r="ACT14" s="39"/>
      <c r="ACU14" s="39"/>
      <c r="ACV14" s="39"/>
      <c r="ACW14" s="39"/>
      <c r="ACX14" s="39"/>
      <c r="ACY14" s="39"/>
      <c r="ACZ14" s="39"/>
      <c r="ADA14" s="39"/>
      <c r="ADB14" s="39"/>
      <c r="ADC14" s="39"/>
      <c r="ADD14" s="39"/>
      <c r="ADE14" s="39"/>
      <c r="ADF14" s="39"/>
      <c r="ADG14" s="39"/>
      <c r="ADH14" s="39"/>
      <c r="ADI14" s="39"/>
      <c r="ADJ14" s="39"/>
      <c r="ADK14" s="39"/>
      <c r="ADL14" s="39"/>
      <c r="ADM14" s="39"/>
      <c r="ADN14" s="39"/>
      <c r="ADO14" s="39"/>
      <c r="ADP14" s="39"/>
      <c r="ADQ14" s="39"/>
      <c r="ADR14" s="39"/>
      <c r="ADS14" s="39"/>
      <c r="ADT14" s="39"/>
      <c r="ADU14" s="39"/>
      <c r="ADV14" s="39"/>
      <c r="ADW14" s="39"/>
      <c r="ADX14" s="39"/>
      <c r="ADY14" s="39"/>
      <c r="ADZ14" s="39"/>
      <c r="AEA14" s="39"/>
      <c r="AEB14" s="39"/>
      <c r="AEC14" s="39"/>
      <c r="AED14" s="39"/>
      <c r="AEE14" s="39"/>
      <c r="AEF14" s="39"/>
      <c r="AEG14" s="39"/>
      <c r="AEH14" s="39"/>
      <c r="AEI14" s="39"/>
      <c r="AEJ14" s="39"/>
      <c r="AEK14" s="39"/>
      <c r="AEL14" s="39"/>
      <c r="AEM14" s="39"/>
      <c r="AEN14" s="39"/>
      <c r="AEO14" s="39"/>
      <c r="AEP14" s="39"/>
      <c r="AEQ14" s="39"/>
      <c r="AER14" s="39"/>
      <c r="AES14" s="39"/>
      <c r="AET14" s="39"/>
      <c r="AEU14" s="39"/>
      <c r="AEV14" s="39"/>
      <c r="AEW14" s="39"/>
      <c r="AEX14" s="39"/>
      <c r="AEY14" s="39"/>
      <c r="AEZ14" s="39"/>
      <c r="AFA14" s="39"/>
      <c r="AFB14" s="39"/>
      <c r="AFC14" s="39"/>
      <c r="AFD14" s="39"/>
      <c r="AFE14" s="39"/>
      <c r="AFF14" s="39"/>
      <c r="AFG14" s="39"/>
      <c r="AFH14" s="39"/>
      <c r="AFI14" s="39"/>
      <c r="AFJ14" s="39"/>
      <c r="AFK14" s="39"/>
      <c r="AFL14" s="39"/>
      <c r="AFM14" s="39"/>
      <c r="AFN14" s="39"/>
      <c r="AFO14" s="39"/>
      <c r="AFP14" s="39"/>
      <c r="AFQ14" s="39"/>
      <c r="AFR14" s="39"/>
      <c r="AFS14" s="39"/>
      <c r="AFT14" s="39"/>
      <c r="AFU14" s="39"/>
      <c r="AFV14" s="39"/>
      <c r="AFW14" s="39"/>
      <c r="AFX14" s="39"/>
      <c r="AFY14" s="39"/>
      <c r="AFZ14" s="39"/>
      <c r="AGA14" s="39"/>
      <c r="AGB14" s="39"/>
      <c r="AGC14" s="39"/>
      <c r="AGD14" s="39"/>
      <c r="AGE14" s="39"/>
      <c r="AGF14" s="39"/>
      <c r="AGG14" s="39"/>
      <c r="AGH14" s="39"/>
      <c r="AGI14" s="39"/>
      <c r="AGJ14" s="39"/>
      <c r="AGK14" s="39"/>
      <c r="AGL14" s="39"/>
      <c r="AGM14" s="39"/>
      <c r="AGN14" s="39"/>
      <c r="AGO14" s="39"/>
      <c r="AGP14" s="39"/>
      <c r="AGQ14" s="39"/>
      <c r="AGR14" s="39"/>
      <c r="AGS14" s="39"/>
      <c r="AGT14" s="39"/>
      <c r="AGU14" s="39"/>
      <c r="AGV14" s="39"/>
      <c r="AGW14" s="39"/>
      <c r="AGX14" s="39"/>
      <c r="AGY14" s="39"/>
      <c r="AGZ14" s="39"/>
      <c r="AHA14" s="39"/>
      <c r="AHB14" s="39"/>
      <c r="AHC14" s="39"/>
      <c r="AHD14" s="39"/>
      <c r="AHE14" s="39"/>
      <c r="AHF14" s="39"/>
      <c r="AHG14" s="39"/>
      <c r="AHH14" s="39"/>
      <c r="AHI14" s="39"/>
      <c r="AHJ14" s="39"/>
      <c r="AHK14" s="39"/>
      <c r="AHL14" s="39"/>
      <c r="AHM14" s="39"/>
      <c r="AHN14" s="39"/>
      <c r="AHO14" s="39"/>
      <c r="AHP14" s="39"/>
      <c r="AHQ14" s="39"/>
      <c r="AHR14" s="39"/>
      <c r="AHS14" s="39"/>
      <c r="AHT14" s="39"/>
      <c r="AHU14" s="39"/>
      <c r="AHV14" s="39"/>
      <c r="AHW14" s="39"/>
      <c r="AHX14" s="39"/>
      <c r="AHY14" s="39"/>
      <c r="AHZ14" s="39"/>
      <c r="AIA14" s="39"/>
      <c r="AIB14" s="39"/>
      <c r="AIC14" s="39"/>
      <c r="AID14" s="39"/>
      <c r="AIE14" s="39"/>
      <c r="AIF14" s="39"/>
      <c r="AIG14" s="39"/>
      <c r="AIH14" s="39"/>
      <c r="AII14" s="39"/>
      <c r="AIJ14" s="39"/>
      <c r="AIK14" s="39"/>
      <c r="AIL14" s="39"/>
      <c r="AIM14" s="39"/>
      <c r="AIN14" s="39"/>
      <c r="AIO14" s="39"/>
      <c r="AIP14" s="39"/>
      <c r="AIQ14" s="39"/>
      <c r="AIR14" s="39"/>
      <c r="AIS14" s="39"/>
      <c r="AIT14" s="39"/>
      <c r="AIU14" s="39"/>
      <c r="AIV14" s="39"/>
      <c r="AIW14" s="39"/>
      <c r="AIX14" s="39"/>
      <c r="AIY14" s="39"/>
      <c r="AIZ14" s="39"/>
      <c r="AJA14" s="39"/>
      <c r="AJB14" s="39"/>
      <c r="AJC14" s="39"/>
      <c r="AJD14" s="39"/>
      <c r="AJE14" s="39"/>
      <c r="AJF14" s="39"/>
      <c r="AJG14" s="39"/>
      <c r="AJH14" s="39"/>
      <c r="AJI14" s="39"/>
      <c r="AJJ14" s="39"/>
      <c r="AJK14" s="39"/>
      <c r="AJL14" s="39"/>
      <c r="AJM14" s="39"/>
      <c r="AJN14" s="39"/>
      <c r="AJO14" s="39"/>
      <c r="AJP14" s="39"/>
      <c r="AJQ14" s="39"/>
      <c r="AJR14" s="39"/>
      <c r="AJS14" s="39"/>
      <c r="AJT14" s="39"/>
      <c r="AJU14" s="39"/>
      <c r="AJV14" s="39"/>
      <c r="AJW14" s="39"/>
      <c r="AJX14" s="39"/>
      <c r="AJY14" s="39"/>
      <c r="AJZ14" s="39"/>
      <c r="AKA14" s="39"/>
      <c r="AKB14" s="39"/>
      <c r="AKC14" s="39"/>
      <c r="AKD14" s="39"/>
      <c r="AKE14" s="39"/>
      <c r="AKF14" s="39"/>
      <c r="AKG14" s="39"/>
      <c r="AKH14" s="39"/>
      <c r="AKI14" s="39"/>
      <c r="AKJ14" s="39"/>
      <c r="AKK14" s="39"/>
      <c r="AKL14" s="39"/>
      <c r="AKM14" s="39"/>
      <c r="AKN14" s="39"/>
      <c r="AKO14" s="39"/>
      <c r="AKP14" s="39"/>
      <c r="AKQ14" s="39"/>
    </row>
    <row r="15" spans="1:979" s="163" customFormat="1" ht="48.75" customHeight="1" x14ac:dyDescent="0.25">
      <c r="A15" s="882"/>
      <c r="B15" s="447">
        <v>12120</v>
      </c>
      <c r="C15" s="172" t="s">
        <v>778</v>
      </c>
      <c r="D15" s="172" t="s">
        <v>102</v>
      </c>
      <c r="E15" s="172">
        <v>650</v>
      </c>
      <c r="F15" s="172">
        <f>BJ15</f>
        <v>3829</v>
      </c>
      <c r="G15" s="125">
        <f>E15*F15</f>
        <v>2488850</v>
      </c>
      <c r="H15" s="125">
        <f>G15*0.2</f>
        <v>497770</v>
      </c>
      <c r="I15" s="125">
        <f>G15*0.8</f>
        <v>1991080</v>
      </c>
      <c r="J15" s="125">
        <f>G15*0</f>
        <v>0</v>
      </c>
      <c r="K15" s="125">
        <f>G15*0</f>
        <v>0</v>
      </c>
      <c r="L15" s="125">
        <f>G15*0</f>
        <v>0</v>
      </c>
      <c r="M15" s="125">
        <f>G15*0</f>
        <v>0</v>
      </c>
      <c r="N15" s="125">
        <f>G15*0</f>
        <v>0</v>
      </c>
      <c r="O15" s="125">
        <f>G15*0</f>
        <v>0</v>
      </c>
      <c r="P15" s="125">
        <f>G15*0</f>
        <v>0</v>
      </c>
      <c r="Q15" s="125">
        <f>G15*0</f>
        <v>0</v>
      </c>
      <c r="R15" s="153">
        <f>F15*0.1</f>
        <v>382.90000000000003</v>
      </c>
      <c r="S15" s="153">
        <f>F15*0.25</f>
        <v>957.25</v>
      </c>
      <c r="T15" s="153">
        <f>F15*0.35</f>
        <v>1340.1499999999999</v>
      </c>
      <c r="U15" s="153">
        <f>F15*0.3</f>
        <v>1148.7</v>
      </c>
      <c r="V15" s="125">
        <f>R15*E15</f>
        <v>248885.00000000003</v>
      </c>
      <c r="W15" s="125">
        <f>S15*E15</f>
        <v>622212.5</v>
      </c>
      <c r="X15" s="125">
        <f>T15*E15</f>
        <v>871097.49999999988</v>
      </c>
      <c r="Y15" s="125">
        <f>U15*E15</f>
        <v>746655</v>
      </c>
      <c r="Z15" s="125">
        <v>196</v>
      </c>
      <c r="AA15" s="125">
        <f>Z15*E15</f>
        <v>127400</v>
      </c>
      <c r="AB15" s="125">
        <v>127</v>
      </c>
      <c r="AC15" s="125">
        <f>AB15*E15</f>
        <v>82550</v>
      </c>
      <c r="AD15" s="125">
        <v>193</v>
      </c>
      <c r="AE15" s="125">
        <f>AD15*E15</f>
        <v>125450</v>
      </c>
      <c r="AF15" s="125">
        <v>387</v>
      </c>
      <c r="AG15" s="125">
        <f>AF15*E15</f>
        <v>251550</v>
      </c>
      <c r="AH15" s="125">
        <v>138</v>
      </c>
      <c r="AI15" s="125">
        <f>AH15*E15</f>
        <v>89700</v>
      </c>
      <c r="AJ15" s="125">
        <v>186</v>
      </c>
      <c r="AK15" s="125">
        <f>AJ15*E15</f>
        <v>120900</v>
      </c>
      <c r="AL15" s="125">
        <v>147</v>
      </c>
      <c r="AM15" s="125">
        <f>AL15*E15</f>
        <v>95550</v>
      </c>
      <c r="AN15" s="125">
        <v>300</v>
      </c>
      <c r="AO15" s="125">
        <f>AN15*E15</f>
        <v>195000</v>
      </c>
      <c r="AP15" s="125">
        <v>79</v>
      </c>
      <c r="AQ15" s="125">
        <f>AP15*E15</f>
        <v>51350</v>
      </c>
      <c r="AR15" s="125">
        <v>204</v>
      </c>
      <c r="AS15" s="125">
        <f>AR15*E15</f>
        <v>132600</v>
      </c>
      <c r="AT15" s="125">
        <v>250</v>
      </c>
      <c r="AU15" s="125">
        <f>AT15*E15</f>
        <v>162500</v>
      </c>
      <c r="AV15" s="125">
        <v>251</v>
      </c>
      <c r="AW15" s="125">
        <f>AV15*E15</f>
        <v>163150</v>
      </c>
      <c r="AX15" s="125">
        <v>367</v>
      </c>
      <c r="AY15" s="125">
        <f>AX15*E15</f>
        <v>238550</v>
      </c>
      <c r="AZ15" s="125">
        <v>300</v>
      </c>
      <c r="BA15" s="125">
        <f>AZ15*E15</f>
        <v>195000</v>
      </c>
      <c r="BB15" s="125">
        <v>151</v>
      </c>
      <c r="BC15" s="125">
        <f>BB15*E15</f>
        <v>98150</v>
      </c>
      <c r="BD15" s="125">
        <v>305</v>
      </c>
      <c r="BE15" s="125">
        <f>BD15*E15</f>
        <v>198250</v>
      </c>
      <c r="BF15" s="125">
        <v>248</v>
      </c>
      <c r="BG15" s="125">
        <f>BF15*E15</f>
        <v>161200</v>
      </c>
      <c r="BH15" s="125">
        <v>0</v>
      </c>
      <c r="BI15" s="125">
        <f>BH15*1950</f>
        <v>0</v>
      </c>
      <c r="BJ15" s="133">
        <f>Z15+AB15+AD15+AF15+AH15+AJ15+AL15+AN15+AP15+AR15+AT15+AV15+AX15+AZ15+BB15+BD15+BF15+BH15</f>
        <v>3829</v>
      </c>
      <c r="BK15" s="133">
        <f>AA15+AC15+AE15+AG15+AI15+AK15+AM15+AO15+AQ15+AS15+AU15+AW15+AY15+BA15+BC15+BE15+BG15+BI15</f>
        <v>2488850</v>
      </c>
      <c r="BL15" s="325" t="s">
        <v>467</v>
      </c>
      <c r="BN15" s="176"/>
      <c r="BO15" s="176"/>
      <c r="BP15" s="176">
        <f>G15</f>
        <v>2488850</v>
      </c>
      <c r="BQ15" s="176"/>
      <c r="BR15" s="176">
        <f>BN15+BO15+BP15+BQ15</f>
        <v>2488850</v>
      </c>
      <c r="BS15" s="176"/>
      <c r="BT15" s="176"/>
      <c r="BU15" s="176"/>
      <c r="BV15" s="189">
        <f t="shared" si="1"/>
        <v>2488850</v>
      </c>
    </row>
    <row r="16" spans="1:979" ht="24" customHeight="1" x14ac:dyDescent="0.25">
      <c r="A16" s="882"/>
      <c r="B16" s="563"/>
      <c r="C16" s="564"/>
      <c r="D16" s="139"/>
      <c r="E16" s="139"/>
      <c r="F16" s="139">
        <f>SUM(F15)</f>
        <v>3829</v>
      </c>
      <c r="G16" s="139">
        <f>SUM(G15)</f>
        <v>2488850</v>
      </c>
      <c r="H16" s="139">
        <f t="shared" ref="H16:R16" si="6">SUM(H15)</f>
        <v>497770</v>
      </c>
      <c r="I16" s="139">
        <f t="shared" si="6"/>
        <v>1991080</v>
      </c>
      <c r="J16" s="139">
        <f t="shared" si="6"/>
        <v>0</v>
      </c>
      <c r="K16" s="139">
        <f t="shared" si="6"/>
        <v>0</v>
      </c>
      <c r="L16" s="139">
        <f t="shared" si="6"/>
        <v>0</v>
      </c>
      <c r="M16" s="139">
        <f t="shared" si="6"/>
        <v>0</v>
      </c>
      <c r="N16" s="139">
        <f t="shared" si="6"/>
        <v>0</v>
      </c>
      <c r="O16" s="139">
        <f t="shared" si="6"/>
        <v>0</v>
      </c>
      <c r="P16" s="139">
        <f t="shared" si="6"/>
        <v>0</v>
      </c>
      <c r="Q16" s="139">
        <f t="shared" si="6"/>
        <v>0</v>
      </c>
      <c r="R16" s="139">
        <f t="shared" si="6"/>
        <v>382.90000000000003</v>
      </c>
      <c r="S16" s="468">
        <f>SUM(S15)</f>
        <v>957.25</v>
      </c>
      <c r="T16" s="468">
        <f t="shared" ref="T16:Y16" si="7">SUM(T15)</f>
        <v>1340.1499999999999</v>
      </c>
      <c r="U16" s="468">
        <f t="shared" si="7"/>
        <v>1148.7</v>
      </c>
      <c r="V16" s="139">
        <f t="shared" si="7"/>
        <v>248885.00000000003</v>
      </c>
      <c r="W16" s="139">
        <f t="shared" si="7"/>
        <v>622212.5</v>
      </c>
      <c r="X16" s="139">
        <f t="shared" si="7"/>
        <v>871097.49999999988</v>
      </c>
      <c r="Y16" s="139">
        <f t="shared" si="7"/>
        <v>746655</v>
      </c>
      <c r="Z16" s="139">
        <f t="shared" ref="Z16:BI16" si="8">SUM(Z15)</f>
        <v>196</v>
      </c>
      <c r="AA16" s="139">
        <f t="shared" si="8"/>
        <v>127400</v>
      </c>
      <c r="AB16" s="139">
        <f t="shared" si="8"/>
        <v>127</v>
      </c>
      <c r="AC16" s="139">
        <f t="shared" si="8"/>
        <v>82550</v>
      </c>
      <c r="AD16" s="139">
        <f t="shared" si="8"/>
        <v>193</v>
      </c>
      <c r="AE16" s="139">
        <f t="shared" si="8"/>
        <v>125450</v>
      </c>
      <c r="AF16" s="139">
        <f t="shared" si="8"/>
        <v>387</v>
      </c>
      <c r="AG16" s="139">
        <f t="shared" si="8"/>
        <v>251550</v>
      </c>
      <c r="AH16" s="139">
        <f t="shared" si="8"/>
        <v>138</v>
      </c>
      <c r="AI16" s="139">
        <f t="shared" si="8"/>
        <v>89700</v>
      </c>
      <c r="AJ16" s="139">
        <f t="shared" si="8"/>
        <v>186</v>
      </c>
      <c r="AK16" s="139">
        <f t="shared" si="8"/>
        <v>120900</v>
      </c>
      <c r="AL16" s="139">
        <f t="shared" si="8"/>
        <v>147</v>
      </c>
      <c r="AM16" s="139">
        <f t="shared" si="8"/>
        <v>95550</v>
      </c>
      <c r="AN16" s="139">
        <f t="shared" si="8"/>
        <v>300</v>
      </c>
      <c r="AO16" s="139">
        <f t="shared" si="8"/>
        <v>195000</v>
      </c>
      <c r="AP16" s="139">
        <f t="shared" si="8"/>
        <v>79</v>
      </c>
      <c r="AQ16" s="139">
        <f t="shared" si="8"/>
        <v>51350</v>
      </c>
      <c r="AR16" s="139">
        <f t="shared" si="8"/>
        <v>204</v>
      </c>
      <c r="AS16" s="139">
        <f t="shared" si="8"/>
        <v>132600</v>
      </c>
      <c r="AT16" s="139">
        <f t="shared" si="8"/>
        <v>250</v>
      </c>
      <c r="AU16" s="139">
        <f t="shared" si="8"/>
        <v>162500</v>
      </c>
      <c r="AV16" s="139">
        <f t="shared" si="8"/>
        <v>251</v>
      </c>
      <c r="AW16" s="139">
        <f t="shared" si="8"/>
        <v>163150</v>
      </c>
      <c r="AX16" s="139">
        <f t="shared" si="8"/>
        <v>367</v>
      </c>
      <c r="AY16" s="139">
        <f t="shared" si="8"/>
        <v>238550</v>
      </c>
      <c r="AZ16" s="139">
        <f t="shared" si="8"/>
        <v>300</v>
      </c>
      <c r="BA16" s="139">
        <f t="shared" si="8"/>
        <v>195000</v>
      </c>
      <c r="BB16" s="139">
        <f t="shared" si="8"/>
        <v>151</v>
      </c>
      <c r="BC16" s="139">
        <f t="shared" si="8"/>
        <v>98150</v>
      </c>
      <c r="BD16" s="139">
        <f t="shared" si="8"/>
        <v>305</v>
      </c>
      <c r="BE16" s="139">
        <f t="shared" si="8"/>
        <v>198250</v>
      </c>
      <c r="BF16" s="139">
        <f t="shared" si="8"/>
        <v>248</v>
      </c>
      <c r="BG16" s="139">
        <f t="shared" si="8"/>
        <v>161200</v>
      </c>
      <c r="BH16" s="139">
        <f t="shared" si="8"/>
        <v>0</v>
      </c>
      <c r="BI16" s="139">
        <f t="shared" si="8"/>
        <v>0</v>
      </c>
      <c r="BJ16" s="139">
        <f>SUM(BJ15)</f>
        <v>3829</v>
      </c>
      <c r="BK16" s="139">
        <f>SUM(BK15)</f>
        <v>2488850</v>
      </c>
      <c r="BL16" s="47"/>
      <c r="BN16" s="139">
        <f t="shared" ref="BN16:BU16" si="9">SUM(BN15)</f>
        <v>0</v>
      </c>
      <c r="BO16" s="139">
        <f t="shared" si="9"/>
        <v>0</v>
      </c>
      <c r="BP16" s="139">
        <f t="shared" si="9"/>
        <v>2488850</v>
      </c>
      <c r="BQ16" s="139">
        <f t="shared" si="9"/>
        <v>0</v>
      </c>
      <c r="BR16" s="139">
        <f t="shared" si="9"/>
        <v>2488850</v>
      </c>
      <c r="BS16" s="139">
        <f t="shared" si="9"/>
        <v>0</v>
      </c>
      <c r="BT16" s="139">
        <f t="shared" si="9"/>
        <v>0</v>
      </c>
      <c r="BU16" s="139">
        <f t="shared" si="9"/>
        <v>0</v>
      </c>
      <c r="BV16" s="474">
        <f t="shared" si="1"/>
        <v>2488850</v>
      </c>
    </row>
    <row r="17" spans="1:979" s="67" customFormat="1" ht="24" customHeight="1" x14ac:dyDescent="0.25">
      <c r="A17" s="882"/>
      <c r="B17" s="180"/>
      <c r="C17" s="181"/>
      <c r="D17" s="181"/>
      <c r="E17" s="182"/>
      <c r="F17" s="182">
        <f>F16+F14</f>
        <v>3948</v>
      </c>
      <c r="G17" s="182">
        <f t="shared" ref="G17:BK17" si="10">G16+G14</f>
        <v>3678850</v>
      </c>
      <c r="H17" s="182">
        <f t="shared" si="10"/>
        <v>735770</v>
      </c>
      <c r="I17" s="182">
        <f t="shared" si="10"/>
        <v>2943080</v>
      </c>
      <c r="J17" s="182">
        <f t="shared" si="10"/>
        <v>0</v>
      </c>
      <c r="K17" s="182">
        <f t="shared" si="10"/>
        <v>0</v>
      </c>
      <c r="L17" s="182">
        <f t="shared" si="10"/>
        <v>0</v>
      </c>
      <c r="M17" s="182">
        <f t="shared" si="10"/>
        <v>0</v>
      </c>
      <c r="N17" s="182">
        <f t="shared" si="10"/>
        <v>0</v>
      </c>
      <c r="O17" s="182">
        <f t="shared" si="10"/>
        <v>0</v>
      </c>
      <c r="P17" s="182">
        <f t="shared" si="10"/>
        <v>0</v>
      </c>
      <c r="Q17" s="182">
        <f t="shared" si="10"/>
        <v>0</v>
      </c>
      <c r="R17" s="183">
        <f t="shared" si="10"/>
        <v>394.8</v>
      </c>
      <c r="S17" s="183">
        <f t="shared" si="10"/>
        <v>987</v>
      </c>
      <c r="T17" s="183">
        <f t="shared" si="10"/>
        <v>1381.8</v>
      </c>
      <c r="U17" s="183">
        <f t="shared" si="10"/>
        <v>1184.4000000000001</v>
      </c>
      <c r="V17" s="182">
        <f t="shared" si="10"/>
        <v>367885</v>
      </c>
      <c r="W17" s="182">
        <f t="shared" si="10"/>
        <v>919712.5</v>
      </c>
      <c r="X17" s="182">
        <f t="shared" si="10"/>
        <v>1287597.5</v>
      </c>
      <c r="Y17" s="182">
        <f t="shared" si="10"/>
        <v>1103655</v>
      </c>
      <c r="Z17" s="182">
        <f t="shared" si="10"/>
        <v>203</v>
      </c>
      <c r="AA17" s="182">
        <f t="shared" si="10"/>
        <v>197400</v>
      </c>
      <c r="AB17" s="182">
        <f t="shared" si="10"/>
        <v>134</v>
      </c>
      <c r="AC17" s="182">
        <f t="shared" si="10"/>
        <v>152550</v>
      </c>
      <c r="AD17" s="182">
        <f t="shared" si="10"/>
        <v>200</v>
      </c>
      <c r="AE17" s="182">
        <f t="shared" si="10"/>
        <v>195450</v>
      </c>
      <c r="AF17" s="182">
        <f t="shared" si="10"/>
        <v>394</v>
      </c>
      <c r="AG17" s="182">
        <f t="shared" si="10"/>
        <v>321550</v>
      </c>
      <c r="AH17" s="182">
        <f t="shared" si="10"/>
        <v>145</v>
      </c>
      <c r="AI17" s="182">
        <f t="shared" si="10"/>
        <v>159700</v>
      </c>
      <c r="AJ17" s="182">
        <f t="shared" si="10"/>
        <v>193</v>
      </c>
      <c r="AK17" s="182">
        <f t="shared" si="10"/>
        <v>190900</v>
      </c>
      <c r="AL17" s="182">
        <f t="shared" si="10"/>
        <v>154</v>
      </c>
      <c r="AM17" s="182">
        <f t="shared" si="10"/>
        <v>165550</v>
      </c>
      <c r="AN17" s="182">
        <f t="shared" si="10"/>
        <v>307</v>
      </c>
      <c r="AO17" s="182">
        <f t="shared" si="10"/>
        <v>265000</v>
      </c>
      <c r="AP17" s="182">
        <f t="shared" si="10"/>
        <v>86</v>
      </c>
      <c r="AQ17" s="182">
        <f t="shared" si="10"/>
        <v>121350</v>
      </c>
      <c r="AR17" s="182">
        <f t="shared" si="10"/>
        <v>211</v>
      </c>
      <c r="AS17" s="182">
        <f t="shared" si="10"/>
        <v>202600</v>
      </c>
      <c r="AT17" s="182">
        <f t="shared" si="10"/>
        <v>257</v>
      </c>
      <c r="AU17" s="182">
        <f t="shared" si="10"/>
        <v>232500</v>
      </c>
      <c r="AV17" s="182">
        <f t="shared" si="10"/>
        <v>258</v>
      </c>
      <c r="AW17" s="182">
        <f t="shared" si="10"/>
        <v>233150</v>
      </c>
      <c r="AX17" s="182">
        <f t="shared" si="10"/>
        <v>374</v>
      </c>
      <c r="AY17" s="182">
        <f t="shared" si="10"/>
        <v>308550</v>
      </c>
      <c r="AZ17" s="182">
        <f t="shared" si="10"/>
        <v>307</v>
      </c>
      <c r="BA17" s="182">
        <f t="shared" si="10"/>
        <v>265000</v>
      </c>
      <c r="BB17" s="182">
        <f t="shared" si="10"/>
        <v>158</v>
      </c>
      <c r="BC17" s="182">
        <f t="shared" si="10"/>
        <v>168150</v>
      </c>
      <c r="BD17" s="182">
        <f t="shared" si="10"/>
        <v>312</v>
      </c>
      <c r="BE17" s="182">
        <f t="shared" si="10"/>
        <v>268250</v>
      </c>
      <c r="BF17" s="182">
        <f t="shared" si="10"/>
        <v>255</v>
      </c>
      <c r="BG17" s="182">
        <f t="shared" si="10"/>
        <v>231200</v>
      </c>
      <c r="BH17" s="182">
        <f t="shared" si="10"/>
        <v>0</v>
      </c>
      <c r="BI17" s="182">
        <f t="shared" si="10"/>
        <v>0</v>
      </c>
      <c r="BJ17" s="182">
        <f t="shared" si="10"/>
        <v>3948</v>
      </c>
      <c r="BK17" s="182">
        <f t="shared" si="10"/>
        <v>3678850</v>
      </c>
      <c r="BL17" s="118"/>
      <c r="BN17" s="182">
        <f t="shared" ref="BN17:BU17" si="11">BN16+BN14</f>
        <v>0</v>
      </c>
      <c r="BO17" s="182">
        <f t="shared" si="11"/>
        <v>1190000</v>
      </c>
      <c r="BP17" s="182">
        <f t="shared" si="11"/>
        <v>2488850</v>
      </c>
      <c r="BQ17" s="182">
        <f t="shared" si="11"/>
        <v>0</v>
      </c>
      <c r="BR17" s="182">
        <f t="shared" si="11"/>
        <v>3678850</v>
      </c>
      <c r="BS17" s="182">
        <f t="shared" si="11"/>
        <v>0</v>
      </c>
      <c r="BT17" s="182">
        <f t="shared" si="11"/>
        <v>0</v>
      </c>
      <c r="BU17" s="182">
        <f t="shared" si="11"/>
        <v>0</v>
      </c>
      <c r="BV17" s="435">
        <f t="shared" si="1"/>
        <v>3678850</v>
      </c>
    </row>
    <row r="18" spans="1:979" ht="36.75" customHeight="1" x14ac:dyDescent="0.25">
      <c r="A18" s="882"/>
      <c r="B18" s="443">
        <v>12200</v>
      </c>
      <c r="C18" s="562" t="s">
        <v>103</v>
      </c>
      <c r="D18" s="127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153"/>
      <c r="S18" s="153"/>
      <c r="T18" s="153"/>
      <c r="U18" s="153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47"/>
      <c r="BN18" s="113"/>
      <c r="BO18" s="113"/>
      <c r="BP18" s="113"/>
      <c r="BQ18" s="113"/>
      <c r="BR18" s="113"/>
      <c r="BS18" s="113"/>
      <c r="BT18" s="113"/>
      <c r="BU18" s="113"/>
      <c r="BV18" s="179">
        <f t="shared" si="1"/>
        <v>0</v>
      </c>
    </row>
    <row r="19" spans="1:979" ht="24" customHeight="1" x14ac:dyDescent="0.25">
      <c r="A19" s="882"/>
      <c r="B19" s="443">
        <v>12210</v>
      </c>
      <c r="C19" s="172" t="s">
        <v>104</v>
      </c>
      <c r="D19" s="127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153"/>
      <c r="S19" s="153"/>
      <c r="T19" s="153"/>
      <c r="U19" s="153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47"/>
      <c r="BN19" s="113"/>
      <c r="BO19" s="113"/>
      <c r="BP19" s="113"/>
      <c r="BQ19" s="113"/>
      <c r="BR19" s="113"/>
      <c r="BS19" s="113"/>
      <c r="BT19" s="113"/>
      <c r="BU19" s="113"/>
      <c r="BV19" s="179">
        <f t="shared" si="1"/>
        <v>0</v>
      </c>
    </row>
    <row r="20" spans="1:979" s="565" customFormat="1" ht="24" customHeight="1" x14ac:dyDescent="0.25">
      <c r="A20" s="882"/>
      <c r="B20" s="166"/>
      <c r="C20" s="167" t="s">
        <v>105</v>
      </c>
      <c r="D20" s="167" t="s">
        <v>17</v>
      </c>
      <c r="E20" s="167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53"/>
      <c r="S20" s="153"/>
      <c r="T20" s="153"/>
      <c r="U20" s="153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47"/>
      <c r="BM20" s="39"/>
      <c r="BN20" s="113"/>
      <c r="BO20" s="113"/>
      <c r="BP20" s="113"/>
      <c r="BQ20" s="113"/>
      <c r="BR20" s="113">
        <f>BN20+BO20+BP20+BQ20</f>
        <v>0</v>
      </c>
      <c r="BS20" s="113"/>
      <c r="BT20" s="113"/>
      <c r="BU20" s="113"/>
      <c r="BV20" s="179">
        <f t="shared" si="1"/>
        <v>0</v>
      </c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  <c r="WT20" s="39"/>
      <c r="WU20" s="39"/>
      <c r="WV20" s="39"/>
      <c r="WW20" s="39"/>
      <c r="WX20" s="39"/>
      <c r="WY20" s="39"/>
      <c r="WZ20" s="39"/>
      <c r="XA20" s="39"/>
      <c r="XB20" s="39"/>
      <c r="XC20" s="39"/>
      <c r="XD20" s="39"/>
      <c r="XE20" s="39"/>
      <c r="XF20" s="39"/>
      <c r="XG20" s="39"/>
      <c r="XH20" s="39"/>
      <c r="XI20" s="39"/>
      <c r="XJ20" s="39"/>
      <c r="XK20" s="39"/>
      <c r="XL20" s="39"/>
      <c r="XM20" s="39"/>
      <c r="XN20" s="39"/>
      <c r="XO20" s="39"/>
      <c r="XP20" s="39"/>
      <c r="XQ20" s="39"/>
      <c r="XR20" s="39"/>
      <c r="XS20" s="39"/>
      <c r="XT20" s="39"/>
      <c r="XU20" s="39"/>
      <c r="XV20" s="39"/>
      <c r="XW20" s="39"/>
      <c r="XX20" s="39"/>
      <c r="XY20" s="39"/>
      <c r="XZ20" s="39"/>
      <c r="YA20" s="39"/>
      <c r="YB20" s="39"/>
      <c r="YC20" s="39"/>
      <c r="YD20" s="39"/>
      <c r="YE20" s="39"/>
      <c r="YF20" s="39"/>
      <c r="YG20" s="39"/>
      <c r="YH20" s="39"/>
      <c r="YI20" s="39"/>
      <c r="YJ20" s="39"/>
      <c r="YK20" s="39"/>
      <c r="YL20" s="39"/>
      <c r="YM20" s="39"/>
      <c r="YN20" s="39"/>
      <c r="YO20" s="39"/>
      <c r="YP20" s="39"/>
      <c r="YQ20" s="39"/>
      <c r="YR20" s="39"/>
      <c r="YS20" s="39"/>
      <c r="YT20" s="39"/>
      <c r="YU20" s="39"/>
      <c r="YV20" s="39"/>
      <c r="YW20" s="39"/>
      <c r="YX20" s="39"/>
      <c r="YY20" s="39"/>
      <c r="YZ20" s="39"/>
      <c r="ZA20" s="39"/>
      <c r="ZB20" s="39"/>
      <c r="ZC20" s="39"/>
      <c r="ZD20" s="39"/>
      <c r="ZE20" s="39"/>
      <c r="ZF20" s="39"/>
      <c r="ZG20" s="39"/>
      <c r="ZH20" s="39"/>
      <c r="ZI20" s="39"/>
      <c r="ZJ20" s="39"/>
      <c r="ZK20" s="39"/>
      <c r="ZL20" s="39"/>
      <c r="ZM20" s="39"/>
      <c r="ZN20" s="39"/>
      <c r="ZO20" s="39"/>
      <c r="ZP20" s="39"/>
      <c r="ZQ20" s="39"/>
      <c r="ZR20" s="39"/>
      <c r="ZS20" s="39"/>
      <c r="ZT20" s="39"/>
      <c r="ZU20" s="39"/>
      <c r="ZV20" s="39"/>
      <c r="ZW20" s="39"/>
      <c r="ZX20" s="39"/>
      <c r="ZY20" s="39"/>
      <c r="ZZ20" s="39"/>
      <c r="AAA20" s="39"/>
      <c r="AAB20" s="39"/>
      <c r="AAC20" s="39"/>
      <c r="AAD20" s="39"/>
      <c r="AAE20" s="39"/>
      <c r="AAF20" s="39"/>
      <c r="AAG20" s="39"/>
      <c r="AAH20" s="39"/>
      <c r="AAI20" s="39"/>
      <c r="AAJ20" s="39"/>
      <c r="AAK20" s="39"/>
      <c r="AAL20" s="39"/>
      <c r="AAM20" s="39"/>
      <c r="AAN20" s="39"/>
      <c r="AAO20" s="39"/>
      <c r="AAP20" s="39"/>
      <c r="AAQ20" s="39"/>
      <c r="AAR20" s="39"/>
      <c r="AAS20" s="39"/>
      <c r="AAT20" s="39"/>
      <c r="AAU20" s="39"/>
      <c r="AAV20" s="39"/>
      <c r="AAW20" s="39"/>
      <c r="AAX20" s="39"/>
      <c r="AAY20" s="39"/>
      <c r="AAZ20" s="39"/>
      <c r="ABA20" s="39"/>
      <c r="ABB20" s="39"/>
      <c r="ABC20" s="39"/>
      <c r="ABD20" s="39"/>
      <c r="ABE20" s="39"/>
      <c r="ABF20" s="39"/>
      <c r="ABG20" s="39"/>
      <c r="ABH20" s="39"/>
      <c r="ABI20" s="39"/>
      <c r="ABJ20" s="39"/>
      <c r="ABK20" s="39"/>
      <c r="ABL20" s="39"/>
      <c r="ABM20" s="39"/>
      <c r="ABN20" s="39"/>
      <c r="ABO20" s="39"/>
      <c r="ABP20" s="39"/>
      <c r="ABQ20" s="39"/>
      <c r="ABR20" s="39"/>
      <c r="ABS20" s="39"/>
      <c r="ABT20" s="39"/>
      <c r="ABU20" s="39"/>
      <c r="ABV20" s="39"/>
      <c r="ABW20" s="39"/>
      <c r="ABX20" s="39"/>
      <c r="ABY20" s="39"/>
      <c r="ABZ20" s="39"/>
      <c r="ACA20" s="39"/>
      <c r="ACB20" s="39"/>
      <c r="ACC20" s="39"/>
      <c r="ACD20" s="39"/>
      <c r="ACE20" s="39"/>
      <c r="ACF20" s="39"/>
      <c r="ACG20" s="39"/>
      <c r="ACH20" s="39"/>
      <c r="ACI20" s="39"/>
      <c r="ACJ20" s="39"/>
      <c r="ACK20" s="39"/>
      <c r="ACL20" s="39"/>
      <c r="ACM20" s="39"/>
      <c r="ACN20" s="39"/>
      <c r="ACO20" s="39"/>
      <c r="ACP20" s="39"/>
      <c r="ACQ20" s="39"/>
      <c r="ACR20" s="39"/>
      <c r="ACS20" s="39"/>
      <c r="ACT20" s="39"/>
      <c r="ACU20" s="39"/>
      <c r="ACV20" s="39"/>
      <c r="ACW20" s="39"/>
      <c r="ACX20" s="39"/>
      <c r="ACY20" s="39"/>
      <c r="ACZ20" s="39"/>
      <c r="ADA20" s="39"/>
      <c r="ADB20" s="39"/>
      <c r="ADC20" s="39"/>
      <c r="ADD20" s="39"/>
      <c r="ADE20" s="39"/>
      <c r="ADF20" s="39"/>
      <c r="ADG20" s="39"/>
      <c r="ADH20" s="39"/>
      <c r="ADI20" s="39"/>
      <c r="ADJ20" s="39"/>
      <c r="ADK20" s="39"/>
      <c r="ADL20" s="39"/>
      <c r="ADM20" s="39"/>
      <c r="ADN20" s="39"/>
      <c r="ADO20" s="39"/>
      <c r="ADP20" s="39"/>
      <c r="ADQ20" s="39"/>
      <c r="ADR20" s="39"/>
      <c r="ADS20" s="39"/>
      <c r="ADT20" s="39"/>
      <c r="ADU20" s="39"/>
      <c r="ADV20" s="39"/>
      <c r="ADW20" s="39"/>
      <c r="ADX20" s="39"/>
      <c r="ADY20" s="39"/>
      <c r="ADZ20" s="39"/>
      <c r="AEA20" s="39"/>
      <c r="AEB20" s="39"/>
      <c r="AEC20" s="39"/>
      <c r="AED20" s="39"/>
      <c r="AEE20" s="39"/>
      <c r="AEF20" s="39"/>
      <c r="AEG20" s="39"/>
      <c r="AEH20" s="39"/>
      <c r="AEI20" s="39"/>
      <c r="AEJ20" s="39"/>
      <c r="AEK20" s="39"/>
      <c r="AEL20" s="39"/>
      <c r="AEM20" s="39"/>
      <c r="AEN20" s="39"/>
      <c r="AEO20" s="39"/>
      <c r="AEP20" s="39"/>
      <c r="AEQ20" s="39"/>
      <c r="AER20" s="39"/>
      <c r="AES20" s="39"/>
      <c r="AET20" s="39"/>
      <c r="AEU20" s="39"/>
      <c r="AEV20" s="39"/>
      <c r="AEW20" s="39"/>
      <c r="AEX20" s="39"/>
      <c r="AEY20" s="39"/>
      <c r="AEZ20" s="39"/>
      <c r="AFA20" s="39"/>
      <c r="AFB20" s="39"/>
      <c r="AFC20" s="39"/>
      <c r="AFD20" s="39"/>
      <c r="AFE20" s="39"/>
      <c r="AFF20" s="39"/>
      <c r="AFG20" s="39"/>
      <c r="AFH20" s="39"/>
      <c r="AFI20" s="39"/>
      <c r="AFJ20" s="39"/>
      <c r="AFK20" s="39"/>
      <c r="AFL20" s="39"/>
      <c r="AFM20" s="39"/>
      <c r="AFN20" s="39"/>
      <c r="AFO20" s="39"/>
      <c r="AFP20" s="39"/>
      <c r="AFQ20" s="39"/>
      <c r="AFR20" s="39"/>
      <c r="AFS20" s="39"/>
      <c r="AFT20" s="39"/>
      <c r="AFU20" s="39"/>
      <c r="AFV20" s="39"/>
      <c r="AFW20" s="39"/>
      <c r="AFX20" s="39"/>
      <c r="AFY20" s="39"/>
      <c r="AFZ20" s="39"/>
      <c r="AGA20" s="39"/>
      <c r="AGB20" s="39"/>
      <c r="AGC20" s="39"/>
      <c r="AGD20" s="39"/>
      <c r="AGE20" s="39"/>
      <c r="AGF20" s="39"/>
      <c r="AGG20" s="39"/>
      <c r="AGH20" s="39"/>
      <c r="AGI20" s="39"/>
      <c r="AGJ20" s="39"/>
      <c r="AGK20" s="39"/>
      <c r="AGL20" s="39"/>
      <c r="AGM20" s="39"/>
      <c r="AGN20" s="39"/>
      <c r="AGO20" s="39"/>
      <c r="AGP20" s="39"/>
      <c r="AGQ20" s="39"/>
      <c r="AGR20" s="39"/>
      <c r="AGS20" s="39"/>
      <c r="AGT20" s="39"/>
      <c r="AGU20" s="39"/>
      <c r="AGV20" s="39"/>
      <c r="AGW20" s="39"/>
      <c r="AGX20" s="39"/>
      <c r="AGY20" s="39"/>
      <c r="AGZ20" s="39"/>
      <c r="AHA20" s="39"/>
      <c r="AHB20" s="39"/>
      <c r="AHC20" s="39"/>
      <c r="AHD20" s="39"/>
      <c r="AHE20" s="39"/>
      <c r="AHF20" s="39"/>
      <c r="AHG20" s="39"/>
      <c r="AHH20" s="39"/>
      <c r="AHI20" s="39"/>
      <c r="AHJ20" s="39"/>
      <c r="AHK20" s="39"/>
      <c r="AHL20" s="39"/>
      <c r="AHM20" s="39"/>
      <c r="AHN20" s="39"/>
      <c r="AHO20" s="39"/>
      <c r="AHP20" s="39"/>
      <c r="AHQ20" s="39"/>
      <c r="AHR20" s="39"/>
      <c r="AHS20" s="39"/>
      <c r="AHT20" s="39"/>
      <c r="AHU20" s="39"/>
      <c r="AHV20" s="39"/>
      <c r="AHW20" s="39"/>
      <c r="AHX20" s="39"/>
      <c r="AHY20" s="39"/>
      <c r="AHZ20" s="39"/>
      <c r="AIA20" s="39"/>
      <c r="AIB20" s="39"/>
      <c r="AIC20" s="39"/>
      <c r="AID20" s="39"/>
      <c r="AIE20" s="39"/>
      <c r="AIF20" s="39"/>
      <c r="AIG20" s="39"/>
      <c r="AIH20" s="39"/>
      <c r="AII20" s="39"/>
      <c r="AIJ20" s="39"/>
      <c r="AIK20" s="39"/>
      <c r="AIL20" s="39"/>
      <c r="AIM20" s="39"/>
      <c r="AIN20" s="39"/>
      <c r="AIO20" s="39"/>
      <c r="AIP20" s="39"/>
      <c r="AIQ20" s="39"/>
      <c r="AIR20" s="39"/>
      <c r="AIS20" s="39"/>
      <c r="AIT20" s="39"/>
      <c r="AIU20" s="39"/>
      <c r="AIV20" s="39"/>
      <c r="AIW20" s="39"/>
      <c r="AIX20" s="39"/>
      <c r="AIY20" s="39"/>
      <c r="AIZ20" s="39"/>
      <c r="AJA20" s="39"/>
      <c r="AJB20" s="39"/>
      <c r="AJC20" s="39"/>
      <c r="AJD20" s="39"/>
      <c r="AJE20" s="39"/>
      <c r="AJF20" s="39"/>
      <c r="AJG20" s="39"/>
      <c r="AJH20" s="39"/>
      <c r="AJI20" s="39"/>
      <c r="AJJ20" s="39"/>
      <c r="AJK20" s="39"/>
      <c r="AJL20" s="39"/>
      <c r="AJM20" s="39"/>
      <c r="AJN20" s="39"/>
      <c r="AJO20" s="39"/>
      <c r="AJP20" s="39"/>
      <c r="AJQ20" s="39"/>
      <c r="AJR20" s="39"/>
      <c r="AJS20" s="39"/>
      <c r="AJT20" s="39"/>
      <c r="AJU20" s="39"/>
      <c r="AJV20" s="39"/>
      <c r="AJW20" s="39"/>
      <c r="AJX20" s="39"/>
      <c r="AJY20" s="39"/>
      <c r="AJZ20" s="39"/>
      <c r="AKA20" s="39"/>
      <c r="AKB20" s="39"/>
      <c r="AKC20" s="39"/>
      <c r="AKD20" s="39"/>
      <c r="AKE20" s="39"/>
      <c r="AKF20" s="39"/>
      <c r="AKG20" s="39"/>
      <c r="AKH20" s="39"/>
      <c r="AKI20" s="39"/>
      <c r="AKJ20" s="39"/>
      <c r="AKK20" s="39"/>
      <c r="AKL20" s="39"/>
      <c r="AKM20" s="39"/>
      <c r="AKN20" s="39"/>
      <c r="AKO20" s="39"/>
      <c r="AKP20" s="39"/>
      <c r="AKQ20" s="39"/>
    </row>
    <row r="21" spans="1:979" s="565" customFormat="1" ht="34.5" customHeight="1" x14ac:dyDescent="0.25">
      <c r="A21" s="882"/>
      <c r="B21" s="166"/>
      <c r="C21" s="167" t="s">
        <v>895</v>
      </c>
      <c r="D21" s="167" t="s">
        <v>109</v>
      </c>
      <c r="E21" s="167">
        <v>2000</v>
      </c>
      <c r="F21" s="172">
        <f>BJ21</f>
        <v>599</v>
      </c>
      <c r="G21" s="69">
        <f>E21*F21</f>
        <v>1198000</v>
      </c>
      <c r="H21" s="69">
        <f>G21*0.2</f>
        <v>239600</v>
      </c>
      <c r="I21" s="69">
        <f>G21*0.8</f>
        <v>958400</v>
      </c>
      <c r="J21" s="69">
        <f>G21*0</f>
        <v>0</v>
      </c>
      <c r="K21" s="69">
        <f>G21*0</f>
        <v>0</v>
      </c>
      <c r="L21" s="69">
        <f>G21*0</f>
        <v>0</v>
      </c>
      <c r="M21" s="69">
        <f>G21*0</f>
        <v>0</v>
      </c>
      <c r="N21" s="69">
        <f>G21*0</f>
        <v>0</v>
      </c>
      <c r="O21" s="69">
        <f>G21*0</f>
        <v>0</v>
      </c>
      <c r="P21" s="69">
        <f>G21*0</f>
        <v>0</v>
      </c>
      <c r="Q21" s="69">
        <f>G21*0</f>
        <v>0</v>
      </c>
      <c r="R21" s="153">
        <f>F21*0.1</f>
        <v>59.900000000000006</v>
      </c>
      <c r="S21" s="153">
        <f>F21*0.25</f>
        <v>149.75</v>
      </c>
      <c r="T21" s="153">
        <f>F21*0.35</f>
        <v>209.64999999999998</v>
      </c>
      <c r="U21" s="153">
        <f>F21*0.3</f>
        <v>179.7</v>
      </c>
      <c r="V21" s="69">
        <f>R21*E21</f>
        <v>119800.00000000001</v>
      </c>
      <c r="W21" s="69">
        <f>S21*E21</f>
        <v>299500</v>
      </c>
      <c r="X21" s="69">
        <f>T21*E21</f>
        <v>419299.99999999994</v>
      </c>
      <c r="Y21" s="69">
        <f>U21*E21</f>
        <v>359400</v>
      </c>
      <c r="Z21" s="69">
        <v>30</v>
      </c>
      <c r="AA21" s="69">
        <f>Z21*E21</f>
        <v>60000</v>
      </c>
      <c r="AB21" s="69">
        <v>21</v>
      </c>
      <c r="AC21" s="69">
        <f>AB21*E21</f>
        <v>42000</v>
      </c>
      <c r="AD21" s="69">
        <v>30</v>
      </c>
      <c r="AE21" s="69">
        <f>AD21*E21</f>
        <v>60000</v>
      </c>
      <c r="AF21" s="69">
        <v>51</v>
      </c>
      <c r="AG21" s="69">
        <f>AF21*E21</f>
        <v>102000</v>
      </c>
      <c r="AH21" s="69">
        <v>22</v>
      </c>
      <c r="AI21" s="69">
        <f>AH21*E21</f>
        <v>44000</v>
      </c>
      <c r="AJ21" s="69">
        <v>30</v>
      </c>
      <c r="AK21" s="69">
        <f>AJ21*E21</f>
        <v>60000</v>
      </c>
      <c r="AL21" s="69">
        <v>22</v>
      </c>
      <c r="AM21" s="69">
        <f>AL21*E21</f>
        <v>44000</v>
      </c>
      <c r="AN21" s="69">
        <v>40</v>
      </c>
      <c r="AO21" s="69">
        <f>AN21*E21</f>
        <v>80000</v>
      </c>
      <c r="AP21" s="69">
        <v>6</v>
      </c>
      <c r="AQ21" s="69">
        <f>AP21*E21</f>
        <v>12000</v>
      </c>
      <c r="AR21" s="69">
        <v>32</v>
      </c>
      <c r="AS21" s="69">
        <f>AR21*E21</f>
        <v>64000</v>
      </c>
      <c r="AT21" s="69">
        <v>30</v>
      </c>
      <c r="AU21" s="69">
        <f>AT21*E21</f>
        <v>60000</v>
      </c>
      <c r="AV21" s="69">
        <v>30</v>
      </c>
      <c r="AW21" s="69">
        <f>AV21*E21</f>
        <v>60000</v>
      </c>
      <c r="AX21" s="69">
        <v>30</v>
      </c>
      <c r="AY21" s="69">
        <f>AX21*E21</f>
        <v>60000</v>
      </c>
      <c r="AZ21" s="69">
        <v>30</v>
      </c>
      <c r="BA21" s="69">
        <f>AZ21*E21</f>
        <v>60000</v>
      </c>
      <c r="BB21" s="69">
        <v>45</v>
      </c>
      <c r="BC21" s="69">
        <f>BB21*E21</f>
        <v>90000</v>
      </c>
      <c r="BD21" s="69">
        <v>60</v>
      </c>
      <c r="BE21" s="69">
        <f>BD21*E21</f>
        <v>120000</v>
      </c>
      <c r="BF21" s="69">
        <v>30</v>
      </c>
      <c r="BG21" s="69">
        <f>BF21*E21</f>
        <v>60000</v>
      </c>
      <c r="BH21" s="69">
        <v>60</v>
      </c>
      <c r="BI21" s="69">
        <f>BH21*E21</f>
        <v>120000</v>
      </c>
      <c r="BJ21" s="85">
        <f t="shared" ref="BJ21:BK24" si="12">Z21+AB21+AD21+AF21+AH21+AJ21+AL21+AN21+AP21+AR21+AT21+AV21+AX21+AZ21+BB21+BD21+BF21+BH21</f>
        <v>599</v>
      </c>
      <c r="BK21" s="85">
        <f t="shared" si="12"/>
        <v>1198000</v>
      </c>
      <c r="BL21" s="324" t="s">
        <v>467</v>
      </c>
      <c r="BM21" s="39"/>
      <c r="BN21" s="113"/>
      <c r="BO21" s="69">
        <f>G21</f>
        <v>1198000</v>
      </c>
      <c r="BP21" s="113">
        <v>0</v>
      </c>
      <c r="BQ21" s="113">
        <v>0</v>
      </c>
      <c r="BR21" s="113">
        <f>BN21+BO21+BP21+BQ21</f>
        <v>1198000</v>
      </c>
      <c r="BS21" s="113">
        <v>0</v>
      </c>
      <c r="BT21" s="113">
        <v>0</v>
      </c>
      <c r="BU21" s="113">
        <f>BS21+BT21</f>
        <v>0</v>
      </c>
      <c r="BV21" s="179">
        <f t="shared" si="1"/>
        <v>1198000</v>
      </c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  <c r="KR21" s="39"/>
      <c r="KS21" s="39"/>
      <c r="KT21" s="39"/>
      <c r="KU21" s="39"/>
      <c r="KV21" s="39"/>
      <c r="KW21" s="39"/>
      <c r="KX21" s="39"/>
      <c r="KY21" s="39"/>
      <c r="KZ21" s="39"/>
      <c r="LA21" s="39"/>
      <c r="LB21" s="39"/>
      <c r="LC21" s="39"/>
      <c r="LD21" s="39"/>
      <c r="LE21" s="39"/>
      <c r="LF21" s="39"/>
      <c r="LG21" s="39"/>
      <c r="LH21" s="39"/>
      <c r="LI21" s="39"/>
      <c r="LJ21" s="39"/>
      <c r="LK21" s="39"/>
      <c r="LL21" s="39"/>
      <c r="LM21" s="39"/>
      <c r="LN21" s="39"/>
      <c r="LO21" s="39"/>
      <c r="LP21" s="39"/>
      <c r="LQ21" s="39"/>
      <c r="LR21" s="39"/>
      <c r="LS21" s="39"/>
      <c r="LT21" s="39"/>
      <c r="LU21" s="39"/>
      <c r="LV21" s="39"/>
      <c r="LW21" s="39"/>
      <c r="LX21" s="39"/>
      <c r="LY21" s="39"/>
      <c r="LZ21" s="39"/>
      <c r="MA21" s="39"/>
      <c r="MB21" s="39"/>
      <c r="MC21" s="39"/>
      <c r="MD21" s="39"/>
      <c r="ME21" s="39"/>
      <c r="MF21" s="39"/>
      <c r="MG21" s="39"/>
      <c r="MH21" s="39"/>
      <c r="MI21" s="39"/>
      <c r="MJ21" s="39"/>
      <c r="MK21" s="39"/>
      <c r="ML21" s="39"/>
      <c r="MM21" s="39"/>
      <c r="MN21" s="39"/>
      <c r="MO21" s="39"/>
      <c r="MP21" s="39"/>
      <c r="MQ21" s="39"/>
      <c r="MR21" s="39"/>
      <c r="MS21" s="39"/>
      <c r="MT21" s="39"/>
      <c r="MU21" s="39"/>
      <c r="MV21" s="39"/>
      <c r="MW21" s="39"/>
      <c r="MX21" s="39"/>
      <c r="MY21" s="39"/>
      <c r="MZ21" s="39"/>
      <c r="NA21" s="39"/>
      <c r="NB21" s="39"/>
      <c r="NC21" s="39"/>
      <c r="ND21" s="39"/>
      <c r="NE21" s="39"/>
      <c r="NF21" s="39"/>
      <c r="NG21" s="39"/>
      <c r="NH21" s="39"/>
      <c r="NI21" s="39"/>
      <c r="NJ21" s="39"/>
      <c r="NK21" s="39"/>
      <c r="NL21" s="39"/>
      <c r="NM21" s="39"/>
      <c r="NN21" s="39"/>
      <c r="NO21" s="39"/>
      <c r="NP21" s="39"/>
      <c r="NQ21" s="39"/>
      <c r="NR21" s="39"/>
      <c r="NS21" s="39"/>
      <c r="NT21" s="39"/>
      <c r="NU21" s="39"/>
      <c r="NV21" s="39"/>
      <c r="NW21" s="39"/>
      <c r="NX21" s="39"/>
      <c r="NY21" s="39"/>
      <c r="NZ21" s="39"/>
      <c r="OA21" s="39"/>
      <c r="OB21" s="39"/>
      <c r="OC21" s="39"/>
      <c r="OD21" s="39"/>
      <c r="OE21" s="39"/>
      <c r="OF21" s="39"/>
      <c r="OG21" s="39"/>
      <c r="OH21" s="39"/>
      <c r="OI21" s="39"/>
      <c r="OJ21" s="39"/>
      <c r="OK21" s="39"/>
      <c r="OL21" s="39"/>
      <c r="OM21" s="39"/>
      <c r="ON21" s="39"/>
      <c r="OO21" s="39"/>
      <c r="OP21" s="39"/>
      <c r="OQ21" s="39"/>
      <c r="OR21" s="39"/>
      <c r="OS21" s="39"/>
      <c r="OT21" s="39"/>
      <c r="OU21" s="39"/>
      <c r="OV21" s="39"/>
      <c r="OW21" s="39"/>
      <c r="OX21" s="39"/>
      <c r="OY21" s="39"/>
      <c r="OZ21" s="39"/>
      <c r="PA21" s="39"/>
      <c r="PB21" s="39"/>
      <c r="PC21" s="39"/>
      <c r="PD21" s="39"/>
      <c r="PE21" s="39"/>
      <c r="PF21" s="39"/>
      <c r="PG21" s="39"/>
      <c r="PH21" s="39"/>
      <c r="PI21" s="39"/>
      <c r="PJ21" s="39"/>
      <c r="PK21" s="39"/>
      <c r="PL21" s="39"/>
      <c r="PM21" s="39"/>
      <c r="PN21" s="39"/>
      <c r="PO21" s="39"/>
      <c r="PP21" s="39"/>
      <c r="PQ21" s="39"/>
      <c r="PR21" s="39"/>
      <c r="PS21" s="39"/>
      <c r="PT21" s="39"/>
      <c r="PU21" s="39"/>
      <c r="PV21" s="39"/>
      <c r="PW21" s="39"/>
      <c r="PX21" s="39"/>
      <c r="PY21" s="39"/>
      <c r="PZ21" s="39"/>
      <c r="QA21" s="39"/>
      <c r="QB21" s="39"/>
      <c r="QC21" s="39"/>
      <c r="QD21" s="39"/>
      <c r="QE21" s="39"/>
      <c r="QF21" s="39"/>
      <c r="QG21" s="39"/>
      <c r="QH21" s="39"/>
      <c r="QI21" s="39"/>
      <c r="QJ21" s="39"/>
      <c r="QK21" s="39"/>
      <c r="QL21" s="39"/>
      <c r="QM21" s="39"/>
      <c r="QN21" s="39"/>
      <c r="QO21" s="39"/>
      <c r="QP21" s="39"/>
      <c r="QQ21" s="39"/>
      <c r="QR21" s="39"/>
      <c r="QS21" s="39"/>
      <c r="QT21" s="39"/>
      <c r="QU21" s="39"/>
      <c r="QV21" s="39"/>
      <c r="QW21" s="39"/>
      <c r="QX21" s="39"/>
      <c r="QY21" s="39"/>
      <c r="QZ21" s="39"/>
      <c r="RA21" s="39"/>
      <c r="RB21" s="39"/>
      <c r="RC21" s="39"/>
      <c r="RD21" s="39"/>
      <c r="RE21" s="39"/>
      <c r="RF21" s="39"/>
      <c r="RG21" s="39"/>
      <c r="RH21" s="39"/>
      <c r="RI21" s="39"/>
      <c r="RJ21" s="39"/>
      <c r="RK21" s="39"/>
      <c r="RL21" s="39"/>
      <c r="RM21" s="39"/>
      <c r="RN21" s="39"/>
      <c r="RO21" s="39"/>
      <c r="RP21" s="39"/>
      <c r="RQ21" s="39"/>
      <c r="RR21" s="39"/>
      <c r="RS21" s="39"/>
      <c r="RT21" s="39"/>
      <c r="RU21" s="39"/>
      <c r="RV21" s="39"/>
      <c r="RW21" s="39"/>
      <c r="RX21" s="39"/>
      <c r="RY21" s="39"/>
      <c r="RZ21" s="39"/>
      <c r="SA21" s="39"/>
      <c r="SB21" s="39"/>
      <c r="SC21" s="39"/>
      <c r="SD21" s="39"/>
      <c r="SE21" s="39"/>
      <c r="SF21" s="39"/>
      <c r="SG21" s="39"/>
      <c r="SH21" s="39"/>
      <c r="SI21" s="39"/>
      <c r="SJ21" s="39"/>
      <c r="SK21" s="39"/>
      <c r="SL21" s="39"/>
      <c r="SM21" s="39"/>
      <c r="SN21" s="39"/>
      <c r="SO21" s="39"/>
      <c r="SP21" s="39"/>
      <c r="SQ21" s="39"/>
      <c r="SR21" s="39"/>
      <c r="SS21" s="39"/>
      <c r="ST21" s="39"/>
      <c r="SU21" s="39"/>
      <c r="SV21" s="39"/>
      <c r="SW21" s="39"/>
      <c r="SX21" s="39"/>
      <c r="SY21" s="39"/>
      <c r="SZ21" s="39"/>
      <c r="TA21" s="39"/>
      <c r="TB21" s="39"/>
      <c r="TC21" s="39"/>
      <c r="TD21" s="39"/>
      <c r="TE21" s="39"/>
      <c r="TF21" s="39"/>
      <c r="TG21" s="39"/>
      <c r="TH21" s="39"/>
      <c r="TI21" s="39"/>
      <c r="TJ21" s="39"/>
      <c r="TK21" s="39"/>
      <c r="TL21" s="39"/>
      <c r="TM21" s="39"/>
      <c r="TN21" s="39"/>
      <c r="TO21" s="39"/>
      <c r="TP21" s="39"/>
      <c r="TQ21" s="39"/>
      <c r="TR21" s="39"/>
      <c r="TS21" s="39"/>
      <c r="TT21" s="39"/>
      <c r="TU21" s="39"/>
      <c r="TV21" s="39"/>
      <c r="TW21" s="39"/>
      <c r="TX21" s="39"/>
      <c r="TY21" s="39"/>
      <c r="TZ21" s="39"/>
      <c r="UA21" s="39"/>
      <c r="UB21" s="39"/>
      <c r="UC21" s="39"/>
      <c r="UD21" s="39"/>
      <c r="UE21" s="39"/>
      <c r="UF21" s="39"/>
      <c r="UG21" s="39"/>
      <c r="UH21" s="39"/>
      <c r="UI21" s="39"/>
      <c r="UJ21" s="39"/>
      <c r="UK21" s="39"/>
      <c r="UL21" s="39"/>
      <c r="UM21" s="39"/>
      <c r="UN21" s="39"/>
      <c r="UO21" s="39"/>
      <c r="UP21" s="39"/>
      <c r="UQ21" s="39"/>
      <c r="UR21" s="39"/>
      <c r="US21" s="39"/>
      <c r="UT21" s="39"/>
      <c r="UU21" s="39"/>
      <c r="UV21" s="39"/>
      <c r="UW21" s="39"/>
      <c r="UX21" s="39"/>
      <c r="UY21" s="39"/>
      <c r="UZ21" s="39"/>
      <c r="VA21" s="39"/>
      <c r="VB21" s="39"/>
      <c r="VC21" s="39"/>
      <c r="VD21" s="39"/>
      <c r="VE21" s="39"/>
      <c r="VF21" s="39"/>
      <c r="VG21" s="39"/>
      <c r="VH21" s="39"/>
      <c r="VI21" s="39"/>
      <c r="VJ21" s="39"/>
      <c r="VK21" s="39"/>
      <c r="VL21" s="39"/>
      <c r="VM21" s="39"/>
      <c r="VN21" s="39"/>
      <c r="VO21" s="39"/>
      <c r="VP21" s="39"/>
      <c r="VQ21" s="39"/>
      <c r="VR21" s="39"/>
      <c r="VS21" s="39"/>
      <c r="VT21" s="39"/>
      <c r="VU21" s="39"/>
      <c r="VV21" s="39"/>
      <c r="VW21" s="39"/>
      <c r="VX21" s="39"/>
      <c r="VY21" s="39"/>
      <c r="VZ21" s="39"/>
      <c r="WA21" s="39"/>
      <c r="WB21" s="39"/>
      <c r="WC21" s="39"/>
      <c r="WD21" s="39"/>
      <c r="WE21" s="39"/>
      <c r="WF21" s="39"/>
      <c r="WG21" s="39"/>
      <c r="WH21" s="39"/>
      <c r="WI21" s="39"/>
      <c r="WJ21" s="39"/>
      <c r="WK21" s="39"/>
      <c r="WL21" s="39"/>
      <c r="WM21" s="39"/>
      <c r="WN21" s="39"/>
      <c r="WO21" s="39"/>
      <c r="WP21" s="39"/>
      <c r="WQ21" s="39"/>
      <c r="WR21" s="39"/>
      <c r="WS21" s="39"/>
      <c r="WT21" s="39"/>
      <c r="WU21" s="39"/>
      <c r="WV21" s="39"/>
      <c r="WW21" s="39"/>
      <c r="WX21" s="39"/>
      <c r="WY21" s="39"/>
      <c r="WZ21" s="39"/>
      <c r="XA21" s="39"/>
      <c r="XB21" s="39"/>
      <c r="XC21" s="39"/>
      <c r="XD21" s="39"/>
      <c r="XE21" s="39"/>
      <c r="XF21" s="39"/>
      <c r="XG21" s="39"/>
      <c r="XH21" s="39"/>
      <c r="XI21" s="39"/>
      <c r="XJ21" s="39"/>
      <c r="XK21" s="39"/>
      <c r="XL21" s="39"/>
      <c r="XM21" s="39"/>
      <c r="XN21" s="39"/>
      <c r="XO21" s="39"/>
      <c r="XP21" s="39"/>
      <c r="XQ21" s="39"/>
      <c r="XR21" s="39"/>
      <c r="XS21" s="39"/>
      <c r="XT21" s="39"/>
      <c r="XU21" s="39"/>
      <c r="XV21" s="39"/>
      <c r="XW21" s="39"/>
      <c r="XX21" s="39"/>
      <c r="XY21" s="39"/>
      <c r="XZ21" s="39"/>
      <c r="YA21" s="39"/>
      <c r="YB21" s="39"/>
      <c r="YC21" s="39"/>
      <c r="YD21" s="39"/>
      <c r="YE21" s="39"/>
      <c r="YF21" s="39"/>
      <c r="YG21" s="39"/>
      <c r="YH21" s="39"/>
      <c r="YI21" s="39"/>
      <c r="YJ21" s="39"/>
      <c r="YK21" s="39"/>
      <c r="YL21" s="39"/>
      <c r="YM21" s="39"/>
      <c r="YN21" s="39"/>
      <c r="YO21" s="39"/>
      <c r="YP21" s="39"/>
      <c r="YQ21" s="39"/>
      <c r="YR21" s="39"/>
      <c r="YS21" s="39"/>
      <c r="YT21" s="39"/>
      <c r="YU21" s="39"/>
      <c r="YV21" s="39"/>
      <c r="YW21" s="39"/>
      <c r="YX21" s="39"/>
      <c r="YY21" s="39"/>
      <c r="YZ21" s="39"/>
      <c r="ZA21" s="39"/>
      <c r="ZB21" s="39"/>
      <c r="ZC21" s="39"/>
      <c r="ZD21" s="39"/>
      <c r="ZE21" s="39"/>
      <c r="ZF21" s="39"/>
      <c r="ZG21" s="39"/>
      <c r="ZH21" s="39"/>
      <c r="ZI21" s="39"/>
      <c r="ZJ21" s="39"/>
      <c r="ZK21" s="39"/>
      <c r="ZL21" s="39"/>
      <c r="ZM21" s="39"/>
      <c r="ZN21" s="39"/>
      <c r="ZO21" s="39"/>
      <c r="ZP21" s="39"/>
      <c r="ZQ21" s="39"/>
      <c r="ZR21" s="39"/>
      <c r="ZS21" s="39"/>
      <c r="ZT21" s="39"/>
      <c r="ZU21" s="39"/>
      <c r="ZV21" s="39"/>
      <c r="ZW21" s="39"/>
      <c r="ZX21" s="39"/>
      <c r="ZY21" s="39"/>
      <c r="ZZ21" s="39"/>
      <c r="AAA21" s="39"/>
      <c r="AAB21" s="39"/>
      <c r="AAC21" s="39"/>
      <c r="AAD21" s="39"/>
      <c r="AAE21" s="39"/>
      <c r="AAF21" s="39"/>
      <c r="AAG21" s="39"/>
      <c r="AAH21" s="39"/>
      <c r="AAI21" s="39"/>
      <c r="AAJ21" s="39"/>
      <c r="AAK21" s="39"/>
      <c r="AAL21" s="39"/>
      <c r="AAM21" s="39"/>
      <c r="AAN21" s="39"/>
      <c r="AAO21" s="39"/>
      <c r="AAP21" s="39"/>
      <c r="AAQ21" s="39"/>
      <c r="AAR21" s="39"/>
      <c r="AAS21" s="39"/>
      <c r="AAT21" s="39"/>
      <c r="AAU21" s="39"/>
      <c r="AAV21" s="39"/>
      <c r="AAW21" s="39"/>
      <c r="AAX21" s="39"/>
      <c r="AAY21" s="39"/>
      <c r="AAZ21" s="39"/>
      <c r="ABA21" s="39"/>
      <c r="ABB21" s="39"/>
      <c r="ABC21" s="39"/>
      <c r="ABD21" s="39"/>
      <c r="ABE21" s="39"/>
      <c r="ABF21" s="39"/>
      <c r="ABG21" s="39"/>
      <c r="ABH21" s="39"/>
      <c r="ABI21" s="39"/>
      <c r="ABJ21" s="39"/>
      <c r="ABK21" s="39"/>
      <c r="ABL21" s="39"/>
      <c r="ABM21" s="39"/>
      <c r="ABN21" s="39"/>
      <c r="ABO21" s="39"/>
      <c r="ABP21" s="39"/>
      <c r="ABQ21" s="39"/>
      <c r="ABR21" s="39"/>
      <c r="ABS21" s="39"/>
      <c r="ABT21" s="39"/>
      <c r="ABU21" s="39"/>
      <c r="ABV21" s="39"/>
      <c r="ABW21" s="39"/>
      <c r="ABX21" s="39"/>
      <c r="ABY21" s="39"/>
      <c r="ABZ21" s="39"/>
      <c r="ACA21" s="39"/>
      <c r="ACB21" s="39"/>
      <c r="ACC21" s="39"/>
      <c r="ACD21" s="39"/>
      <c r="ACE21" s="39"/>
      <c r="ACF21" s="39"/>
      <c r="ACG21" s="39"/>
      <c r="ACH21" s="39"/>
      <c r="ACI21" s="39"/>
      <c r="ACJ21" s="39"/>
      <c r="ACK21" s="39"/>
      <c r="ACL21" s="39"/>
      <c r="ACM21" s="39"/>
      <c r="ACN21" s="39"/>
      <c r="ACO21" s="39"/>
      <c r="ACP21" s="39"/>
      <c r="ACQ21" s="39"/>
      <c r="ACR21" s="39"/>
      <c r="ACS21" s="39"/>
      <c r="ACT21" s="39"/>
      <c r="ACU21" s="39"/>
      <c r="ACV21" s="39"/>
      <c r="ACW21" s="39"/>
      <c r="ACX21" s="39"/>
      <c r="ACY21" s="39"/>
      <c r="ACZ21" s="39"/>
      <c r="ADA21" s="39"/>
      <c r="ADB21" s="39"/>
      <c r="ADC21" s="39"/>
      <c r="ADD21" s="39"/>
      <c r="ADE21" s="39"/>
      <c r="ADF21" s="39"/>
      <c r="ADG21" s="39"/>
      <c r="ADH21" s="39"/>
      <c r="ADI21" s="39"/>
      <c r="ADJ21" s="39"/>
      <c r="ADK21" s="39"/>
      <c r="ADL21" s="39"/>
      <c r="ADM21" s="39"/>
      <c r="ADN21" s="39"/>
      <c r="ADO21" s="39"/>
      <c r="ADP21" s="39"/>
      <c r="ADQ21" s="39"/>
      <c r="ADR21" s="39"/>
      <c r="ADS21" s="39"/>
      <c r="ADT21" s="39"/>
      <c r="ADU21" s="39"/>
      <c r="ADV21" s="39"/>
      <c r="ADW21" s="39"/>
      <c r="ADX21" s="39"/>
      <c r="ADY21" s="39"/>
      <c r="ADZ21" s="39"/>
      <c r="AEA21" s="39"/>
      <c r="AEB21" s="39"/>
      <c r="AEC21" s="39"/>
      <c r="AED21" s="39"/>
      <c r="AEE21" s="39"/>
      <c r="AEF21" s="39"/>
      <c r="AEG21" s="39"/>
      <c r="AEH21" s="39"/>
      <c r="AEI21" s="39"/>
      <c r="AEJ21" s="39"/>
      <c r="AEK21" s="39"/>
      <c r="AEL21" s="39"/>
      <c r="AEM21" s="39"/>
      <c r="AEN21" s="39"/>
      <c r="AEO21" s="39"/>
      <c r="AEP21" s="39"/>
      <c r="AEQ21" s="39"/>
      <c r="AER21" s="39"/>
      <c r="AES21" s="39"/>
      <c r="AET21" s="39"/>
      <c r="AEU21" s="39"/>
      <c r="AEV21" s="39"/>
      <c r="AEW21" s="39"/>
      <c r="AEX21" s="39"/>
      <c r="AEY21" s="39"/>
      <c r="AEZ21" s="39"/>
      <c r="AFA21" s="39"/>
      <c r="AFB21" s="39"/>
      <c r="AFC21" s="39"/>
      <c r="AFD21" s="39"/>
      <c r="AFE21" s="39"/>
      <c r="AFF21" s="39"/>
      <c r="AFG21" s="39"/>
      <c r="AFH21" s="39"/>
      <c r="AFI21" s="39"/>
      <c r="AFJ21" s="39"/>
      <c r="AFK21" s="39"/>
      <c r="AFL21" s="39"/>
      <c r="AFM21" s="39"/>
      <c r="AFN21" s="39"/>
      <c r="AFO21" s="39"/>
      <c r="AFP21" s="39"/>
      <c r="AFQ21" s="39"/>
      <c r="AFR21" s="39"/>
      <c r="AFS21" s="39"/>
      <c r="AFT21" s="39"/>
      <c r="AFU21" s="39"/>
      <c r="AFV21" s="39"/>
      <c r="AFW21" s="39"/>
      <c r="AFX21" s="39"/>
      <c r="AFY21" s="39"/>
      <c r="AFZ21" s="39"/>
      <c r="AGA21" s="39"/>
      <c r="AGB21" s="39"/>
      <c r="AGC21" s="39"/>
      <c r="AGD21" s="39"/>
      <c r="AGE21" s="39"/>
      <c r="AGF21" s="39"/>
      <c r="AGG21" s="39"/>
      <c r="AGH21" s="39"/>
      <c r="AGI21" s="39"/>
      <c r="AGJ21" s="39"/>
      <c r="AGK21" s="39"/>
      <c r="AGL21" s="39"/>
      <c r="AGM21" s="39"/>
      <c r="AGN21" s="39"/>
      <c r="AGO21" s="39"/>
      <c r="AGP21" s="39"/>
      <c r="AGQ21" s="39"/>
      <c r="AGR21" s="39"/>
      <c r="AGS21" s="39"/>
      <c r="AGT21" s="39"/>
      <c r="AGU21" s="39"/>
      <c r="AGV21" s="39"/>
      <c r="AGW21" s="39"/>
      <c r="AGX21" s="39"/>
      <c r="AGY21" s="39"/>
      <c r="AGZ21" s="39"/>
      <c r="AHA21" s="39"/>
      <c r="AHB21" s="39"/>
      <c r="AHC21" s="39"/>
      <c r="AHD21" s="39"/>
      <c r="AHE21" s="39"/>
      <c r="AHF21" s="39"/>
      <c r="AHG21" s="39"/>
      <c r="AHH21" s="39"/>
      <c r="AHI21" s="39"/>
      <c r="AHJ21" s="39"/>
      <c r="AHK21" s="39"/>
      <c r="AHL21" s="39"/>
      <c r="AHM21" s="39"/>
      <c r="AHN21" s="39"/>
      <c r="AHO21" s="39"/>
      <c r="AHP21" s="39"/>
      <c r="AHQ21" s="39"/>
      <c r="AHR21" s="39"/>
      <c r="AHS21" s="39"/>
      <c r="AHT21" s="39"/>
      <c r="AHU21" s="39"/>
      <c r="AHV21" s="39"/>
      <c r="AHW21" s="39"/>
      <c r="AHX21" s="39"/>
      <c r="AHY21" s="39"/>
      <c r="AHZ21" s="39"/>
      <c r="AIA21" s="39"/>
      <c r="AIB21" s="39"/>
      <c r="AIC21" s="39"/>
      <c r="AID21" s="39"/>
      <c r="AIE21" s="39"/>
      <c r="AIF21" s="39"/>
      <c r="AIG21" s="39"/>
      <c r="AIH21" s="39"/>
      <c r="AII21" s="39"/>
      <c r="AIJ21" s="39"/>
      <c r="AIK21" s="39"/>
      <c r="AIL21" s="39"/>
      <c r="AIM21" s="39"/>
      <c r="AIN21" s="39"/>
      <c r="AIO21" s="39"/>
      <c r="AIP21" s="39"/>
      <c r="AIQ21" s="39"/>
      <c r="AIR21" s="39"/>
      <c r="AIS21" s="39"/>
      <c r="AIT21" s="39"/>
      <c r="AIU21" s="39"/>
      <c r="AIV21" s="39"/>
      <c r="AIW21" s="39"/>
      <c r="AIX21" s="39"/>
      <c r="AIY21" s="39"/>
      <c r="AIZ21" s="39"/>
      <c r="AJA21" s="39"/>
      <c r="AJB21" s="39"/>
      <c r="AJC21" s="39"/>
      <c r="AJD21" s="39"/>
      <c r="AJE21" s="39"/>
      <c r="AJF21" s="39"/>
      <c r="AJG21" s="39"/>
      <c r="AJH21" s="39"/>
      <c r="AJI21" s="39"/>
      <c r="AJJ21" s="39"/>
      <c r="AJK21" s="39"/>
      <c r="AJL21" s="39"/>
      <c r="AJM21" s="39"/>
      <c r="AJN21" s="39"/>
      <c r="AJO21" s="39"/>
      <c r="AJP21" s="39"/>
      <c r="AJQ21" s="39"/>
      <c r="AJR21" s="39"/>
      <c r="AJS21" s="39"/>
      <c r="AJT21" s="39"/>
      <c r="AJU21" s="39"/>
      <c r="AJV21" s="39"/>
      <c r="AJW21" s="39"/>
      <c r="AJX21" s="39"/>
      <c r="AJY21" s="39"/>
      <c r="AJZ21" s="39"/>
      <c r="AKA21" s="39"/>
      <c r="AKB21" s="39"/>
      <c r="AKC21" s="39"/>
      <c r="AKD21" s="39"/>
      <c r="AKE21" s="39"/>
      <c r="AKF21" s="39"/>
      <c r="AKG21" s="39"/>
      <c r="AKH21" s="39"/>
      <c r="AKI21" s="39"/>
      <c r="AKJ21" s="39"/>
      <c r="AKK21" s="39"/>
      <c r="AKL21" s="39"/>
      <c r="AKM21" s="39"/>
      <c r="AKN21" s="39"/>
      <c r="AKO21" s="39"/>
      <c r="AKP21" s="39"/>
      <c r="AKQ21" s="39"/>
    </row>
    <row r="22" spans="1:979" s="565" customFormat="1" ht="24" customHeight="1" x14ac:dyDescent="0.25">
      <c r="A22" s="882"/>
      <c r="B22" s="166"/>
      <c r="C22" s="167" t="s">
        <v>106</v>
      </c>
      <c r="D22" s="167" t="s">
        <v>90</v>
      </c>
      <c r="E22" s="167">
        <f>0.0035*100000</f>
        <v>350</v>
      </c>
      <c r="F22" s="172">
        <f>BJ22</f>
        <v>0</v>
      </c>
      <c r="G22" s="69">
        <f>E22*F22</f>
        <v>0</v>
      </c>
      <c r="H22" s="69">
        <f>G22*0.2</f>
        <v>0</v>
      </c>
      <c r="I22" s="69">
        <f>G22*0.8</f>
        <v>0</v>
      </c>
      <c r="J22" s="69">
        <f>G22*0</f>
        <v>0</v>
      </c>
      <c r="K22" s="69">
        <f>G22*0</f>
        <v>0</v>
      </c>
      <c r="L22" s="69">
        <f>G22*0</f>
        <v>0</v>
      </c>
      <c r="M22" s="69">
        <f>G22*0</f>
        <v>0</v>
      </c>
      <c r="N22" s="69">
        <f>G22*0</f>
        <v>0</v>
      </c>
      <c r="O22" s="69">
        <f>G22*0</f>
        <v>0</v>
      </c>
      <c r="P22" s="69">
        <f>G22*0</f>
        <v>0</v>
      </c>
      <c r="Q22" s="69">
        <f>G22*0</f>
        <v>0</v>
      </c>
      <c r="R22" s="153">
        <f t="shared" ref="R22:R24" si="13">F22*0.1</f>
        <v>0</v>
      </c>
      <c r="S22" s="153">
        <f t="shared" ref="S22:S24" si="14">F22*0.25</f>
        <v>0</v>
      </c>
      <c r="T22" s="153">
        <f t="shared" ref="T22:T24" si="15">F22*0.35</f>
        <v>0</v>
      </c>
      <c r="U22" s="153">
        <f t="shared" ref="U22:U24" si="16">F22*0.3</f>
        <v>0</v>
      </c>
      <c r="V22" s="69">
        <f>R22*E22</f>
        <v>0</v>
      </c>
      <c r="W22" s="69">
        <f>S22*E22</f>
        <v>0</v>
      </c>
      <c r="X22" s="69">
        <f>T22*E22</f>
        <v>0</v>
      </c>
      <c r="Y22" s="69">
        <f>U22*E22</f>
        <v>0</v>
      </c>
      <c r="Z22" s="69">
        <v>0</v>
      </c>
      <c r="AA22" s="69">
        <f>Z22*350</f>
        <v>0</v>
      </c>
      <c r="AB22" s="69">
        <v>0</v>
      </c>
      <c r="AC22" s="69">
        <f>AB22*350</f>
        <v>0</v>
      </c>
      <c r="AD22" s="69">
        <v>0</v>
      </c>
      <c r="AE22" s="69">
        <f>AD22*350</f>
        <v>0</v>
      </c>
      <c r="AF22" s="69">
        <v>0</v>
      </c>
      <c r="AG22" s="69">
        <f>AF22*350</f>
        <v>0</v>
      </c>
      <c r="AH22" s="69">
        <v>0</v>
      </c>
      <c r="AI22" s="69">
        <f>AH22*350</f>
        <v>0</v>
      </c>
      <c r="AJ22" s="69">
        <v>0</v>
      </c>
      <c r="AK22" s="69">
        <f>AJ22*350</f>
        <v>0</v>
      </c>
      <c r="AL22" s="69">
        <v>0</v>
      </c>
      <c r="AM22" s="69">
        <f>AL22*350</f>
        <v>0</v>
      </c>
      <c r="AN22" s="69">
        <v>0</v>
      </c>
      <c r="AO22" s="69">
        <f>AN22*350</f>
        <v>0</v>
      </c>
      <c r="AP22" s="69">
        <v>0</v>
      </c>
      <c r="AQ22" s="69">
        <f>AP22*350</f>
        <v>0</v>
      </c>
      <c r="AR22" s="69">
        <v>0</v>
      </c>
      <c r="AS22" s="69">
        <f>AR22*350</f>
        <v>0</v>
      </c>
      <c r="AT22" s="69">
        <v>0</v>
      </c>
      <c r="AU22" s="69">
        <f>AT22*350</f>
        <v>0</v>
      </c>
      <c r="AV22" s="69">
        <v>0</v>
      </c>
      <c r="AW22" s="69">
        <f>AV22*350</f>
        <v>0</v>
      </c>
      <c r="AX22" s="69">
        <v>0</v>
      </c>
      <c r="AY22" s="69">
        <f>AX22*350</f>
        <v>0</v>
      </c>
      <c r="AZ22" s="69">
        <v>0</v>
      </c>
      <c r="BA22" s="69">
        <f>AZ22*350</f>
        <v>0</v>
      </c>
      <c r="BB22" s="69">
        <v>0</v>
      </c>
      <c r="BC22" s="69">
        <f>BB22*350</f>
        <v>0</v>
      </c>
      <c r="BD22" s="69">
        <v>0</v>
      </c>
      <c r="BE22" s="69">
        <f>BD22*350</f>
        <v>0</v>
      </c>
      <c r="BF22" s="69">
        <v>0</v>
      </c>
      <c r="BG22" s="69">
        <f>BF22*350</f>
        <v>0</v>
      </c>
      <c r="BH22" s="69">
        <v>0</v>
      </c>
      <c r="BI22" s="69">
        <f t="shared" ref="BI22:BI24" si="17">BH22*E22</f>
        <v>0</v>
      </c>
      <c r="BJ22" s="85">
        <f t="shared" si="12"/>
        <v>0</v>
      </c>
      <c r="BK22" s="85">
        <f t="shared" si="12"/>
        <v>0</v>
      </c>
      <c r="BL22" s="324" t="s">
        <v>467</v>
      </c>
      <c r="BM22" s="39"/>
      <c r="BN22" s="113"/>
      <c r="BO22" s="69">
        <f>G22</f>
        <v>0</v>
      </c>
      <c r="BP22" s="113">
        <v>0</v>
      </c>
      <c r="BQ22" s="113">
        <v>0</v>
      </c>
      <c r="BR22" s="113">
        <f>BN22+BO22+BP22+BQ22</f>
        <v>0</v>
      </c>
      <c r="BS22" s="113">
        <v>0</v>
      </c>
      <c r="BT22" s="113">
        <v>0</v>
      </c>
      <c r="BU22" s="113">
        <f>BS22+BT22</f>
        <v>0</v>
      </c>
      <c r="BV22" s="179">
        <f t="shared" si="1"/>
        <v>0</v>
      </c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  <c r="KR22" s="39"/>
      <c r="KS22" s="39"/>
      <c r="KT22" s="39"/>
      <c r="KU22" s="39"/>
      <c r="KV22" s="39"/>
      <c r="KW22" s="39"/>
      <c r="KX22" s="39"/>
      <c r="KY22" s="39"/>
      <c r="KZ22" s="39"/>
      <c r="LA22" s="39"/>
      <c r="LB22" s="39"/>
      <c r="LC22" s="39"/>
      <c r="LD22" s="39"/>
      <c r="LE22" s="39"/>
      <c r="LF22" s="39"/>
      <c r="LG22" s="39"/>
      <c r="LH22" s="39"/>
      <c r="LI22" s="39"/>
      <c r="LJ22" s="39"/>
      <c r="LK22" s="39"/>
      <c r="LL22" s="39"/>
      <c r="LM22" s="39"/>
      <c r="LN22" s="39"/>
      <c r="LO22" s="39"/>
      <c r="LP22" s="39"/>
      <c r="LQ22" s="39"/>
      <c r="LR22" s="39"/>
      <c r="LS22" s="39"/>
      <c r="LT22" s="39"/>
      <c r="LU22" s="39"/>
      <c r="LV22" s="39"/>
      <c r="LW22" s="39"/>
      <c r="LX22" s="39"/>
      <c r="LY22" s="39"/>
      <c r="LZ22" s="39"/>
      <c r="MA22" s="39"/>
      <c r="MB22" s="39"/>
      <c r="MC22" s="39"/>
      <c r="MD22" s="39"/>
      <c r="ME22" s="39"/>
      <c r="MF22" s="39"/>
      <c r="MG22" s="39"/>
      <c r="MH22" s="39"/>
      <c r="MI22" s="39"/>
      <c r="MJ22" s="39"/>
      <c r="MK22" s="39"/>
      <c r="ML22" s="39"/>
      <c r="MM22" s="39"/>
      <c r="MN22" s="39"/>
      <c r="MO22" s="39"/>
      <c r="MP22" s="39"/>
      <c r="MQ22" s="39"/>
      <c r="MR22" s="39"/>
      <c r="MS22" s="39"/>
      <c r="MT22" s="39"/>
      <c r="MU22" s="39"/>
      <c r="MV22" s="39"/>
      <c r="MW22" s="39"/>
      <c r="MX22" s="39"/>
      <c r="MY22" s="39"/>
      <c r="MZ22" s="39"/>
      <c r="NA22" s="39"/>
      <c r="NB22" s="39"/>
      <c r="NC22" s="39"/>
      <c r="ND22" s="39"/>
      <c r="NE22" s="39"/>
      <c r="NF22" s="39"/>
      <c r="NG22" s="39"/>
      <c r="NH22" s="39"/>
      <c r="NI22" s="39"/>
      <c r="NJ22" s="39"/>
      <c r="NK22" s="39"/>
      <c r="NL22" s="39"/>
      <c r="NM22" s="39"/>
      <c r="NN22" s="39"/>
      <c r="NO22" s="39"/>
      <c r="NP22" s="39"/>
      <c r="NQ22" s="39"/>
      <c r="NR22" s="39"/>
      <c r="NS22" s="39"/>
      <c r="NT22" s="39"/>
      <c r="NU22" s="39"/>
      <c r="NV22" s="39"/>
      <c r="NW22" s="39"/>
      <c r="NX22" s="39"/>
      <c r="NY22" s="39"/>
      <c r="NZ22" s="39"/>
      <c r="OA22" s="39"/>
      <c r="OB22" s="39"/>
      <c r="OC22" s="39"/>
      <c r="OD22" s="39"/>
      <c r="OE22" s="39"/>
      <c r="OF22" s="39"/>
      <c r="OG22" s="39"/>
      <c r="OH22" s="39"/>
      <c r="OI22" s="39"/>
      <c r="OJ22" s="39"/>
      <c r="OK22" s="39"/>
      <c r="OL22" s="39"/>
      <c r="OM22" s="39"/>
      <c r="ON22" s="39"/>
      <c r="OO22" s="39"/>
      <c r="OP22" s="39"/>
      <c r="OQ22" s="39"/>
      <c r="OR22" s="39"/>
      <c r="OS22" s="39"/>
      <c r="OT22" s="39"/>
      <c r="OU22" s="39"/>
      <c r="OV22" s="39"/>
      <c r="OW22" s="39"/>
      <c r="OX22" s="39"/>
      <c r="OY22" s="39"/>
      <c r="OZ22" s="39"/>
      <c r="PA22" s="39"/>
      <c r="PB22" s="39"/>
      <c r="PC22" s="39"/>
      <c r="PD22" s="39"/>
      <c r="PE22" s="39"/>
      <c r="PF22" s="39"/>
      <c r="PG22" s="39"/>
      <c r="PH22" s="39"/>
      <c r="PI22" s="39"/>
      <c r="PJ22" s="39"/>
      <c r="PK22" s="39"/>
      <c r="PL22" s="39"/>
      <c r="PM22" s="39"/>
      <c r="PN22" s="39"/>
      <c r="PO22" s="39"/>
      <c r="PP22" s="39"/>
      <c r="PQ22" s="39"/>
      <c r="PR22" s="39"/>
      <c r="PS22" s="39"/>
      <c r="PT22" s="39"/>
      <c r="PU22" s="39"/>
      <c r="PV22" s="39"/>
      <c r="PW22" s="39"/>
      <c r="PX22" s="39"/>
      <c r="PY22" s="39"/>
      <c r="PZ22" s="39"/>
      <c r="QA22" s="39"/>
      <c r="QB22" s="39"/>
      <c r="QC22" s="39"/>
      <c r="QD22" s="39"/>
      <c r="QE22" s="39"/>
      <c r="QF22" s="39"/>
      <c r="QG22" s="39"/>
      <c r="QH22" s="39"/>
      <c r="QI22" s="39"/>
      <c r="QJ22" s="39"/>
      <c r="QK22" s="39"/>
      <c r="QL22" s="39"/>
      <c r="QM22" s="39"/>
      <c r="QN22" s="39"/>
      <c r="QO22" s="39"/>
      <c r="QP22" s="39"/>
      <c r="QQ22" s="39"/>
      <c r="QR22" s="39"/>
      <c r="QS22" s="39"/>
      <c r="QT22" s="39"/>
      <c r="QU22" s="39"/>
      <c r="QV22" s="39"/>
      <c r="QW22" s="39"/>
      <c r="QX22" s="39"/>
      <c r="QY22" s="39"/>
      <c r="QZ22" s="39"/>
      <c r="RA22" s="39"/>
      <c r="RB22" s="39"/>
      <c r="RC22" s="39"/>
      <c r="RD22" s="39"/>
      <c r="RE22" s="39"/>
      <c r="RF22" s="39"/>
      <c r="RG22" s="39"/>
      <c r="RH22" s="39"/>
      <c r="RI22" s="39"/>
      <c r="RJ22" s="39"/>
      <c r="RK22" s="39"/>
      <c r="RL22" s="39"/>
      <c r="RM22" s="39"/>
      <c r="RN22" s="39"/>
      <c r="RO22" s="39"/>
      <c r="RP22" s="39"/>
      <c r="RQ22" s="39"/>
      <c r="RR22" s="39"/>
      <c r="RS22" s="39"/>
      <c r="RT22" s="39"/>
      <c r="RU22" s="39"/>
      <c r="RV22" s="39"/>
      <c r="RW22" s="39"/>
      <c r="RX22" s="39"/>
      <c r="RY22" s="39"/>
      <c r="RZ22" s="39"/>
      <c r="SA22" s="39"/>
      <c r="SB22" s="39"/>
      <c r="SC22" s="39"/>
      <c r="SD22" s="39"/>
      <c r="SE22" s="39"/>
      <c r="SF22" s="39"/>
      <c r="SG22" s="39"/>
      <c r="SH22" s="39"/>
      <c r="SI22" s="39"/>
      <c r="SJ22" s="39"/>
      <c r="SK22" s="39"/>
      <c r="SL22" s="39"/>
      <c r="SM22" s="39"/>
      <c r="SN22" s="39"/>
      <c r="SO22" s="39"/>
      <c r="SP22" s="39"/>
      <c r="SQ22" s="39"/>
      <c r="SR22" s="39"/>
      <c r="SS22" s="39"/>
      <c r="ST22" s="39"/>
      <c r="SU22" s="39"/>
      <c r="SV22" s="39"/>
      <c r="SW22" s="39"/>
      <c r="SX22" s="39"/>
      <c r="SY22" s="39"/>
      <c r="SZ22" s="39"/>
      <c r="TA22" s="39"/>
      <c r="TB22" s="39"/>
      <c r="TC22" s="39"/>
      <c r="TD22" s="39"/>
      <c r="TE22" s="39"/>
      <c r="TF22" s="39"/>
      <c r="TG22" s="39"/>
      <c r="TH22" s="39"/>
      <c r="TI22" s="39"/>
      <c r="TJ22" s="39"/>
      <c r="TK22" s="39"/>
      <c r="TL22" s="39"/>
      <c r="TM22" s="39"/>
      <c r="TN22" s="39"/>
      <c r="TO22" s="39"/>
      <c r="TP22" s="39"/>
      <c r="TQ22" s="39"/>
      <c r="TR22" s="39"/>
      <c r="TS22" s="39"/>
      <c r="TT22" s="39"/>
      <c r="TU22" s="39"/>
      <c r="TV22" s="39"/>
      <c r="TW22" s="39"/>
      <c r="TX22" s="39"/>
      <c r="TY22" s="39"/>
      <c r="TZ22" s="39"/>
      <c r="UA22" s="39"/>
      <c r="UB22" s="39"/>
      <c r="UC22" s="39"/>
      <c r="UD22" s="39"/>
      <c r="UE22" s="39"/>
      <c r="UF22" s="39"/>
      <c r="UG22" s="39"/>
      <c r="UH22" s="39"/>
      <c r="UI22" s="39"/>
      <c r="UJ22" s="39"/>
      <c r="UK22" s="39"/>
      <c r="UL22" s="39"/>
      <c r="UM22" s="39"/>
      <c r="UN22" s="39"/>
      <c r="UO22" s="39"/>
      <c r="UP22" s="39"/>
      <c r="UQ22" s="39"/>
      <c r="UR22" s="39"/>
      <c r="US22" s="39"/>
      <c r="UT22" s="39"/>
      <c r="UU22" s="39"/>
      <c r="UV22" s="39"/>
      <c r="UW22" s="39"/>
      <c r="UX22" s="39"/>
      <c r="UY22" s="39"/>
      <c r="UZ22" s="39"/>
      <c r="VA22" s="39"/>
      <c r="VB22" s="39"/>
      <c r="VC22" s="39"/>
      <c r="VD22" s="39"/>
      <c r="VE22" s="39"/>
      <c r="VF22" s="39"/>
      <c r="VG22" s="39"/>
      <c r="VH22" s="39"/>
      <c r="VI22" s="39"/>
      <c r="VJ22" s="39"/>
      <c r="VK22" s="39"/>
      <c r="VL22" s="39"/>
      <c r="VM22" s="39"/>
      <c r="VN22" s="39"/>
      <c r="VO22" s="39"/>
      <c r="VP22" s="39"/>
      <c r="VQ22" s="39"/>
      <c r="VR22" s="39"/>
      <c r="VS22" s="39"/>
      <c r="VT22" s="39"/>
      <c r="VU22" s="39"/>
      <c r="VV22" s="39"/>
      <c r="VW22" s="39"/>
      <c r="VX22" s="39"/>
      <c r="VY22" s="39"/>
      <c r="VZ22" s="39"/>
      <c r="WA22" s="39"/>
      <c r="WB22" s="39"/>
      <c r="WC22" s="39"/>
      <c r="WD22" s="39"/>
      <c r="WE22" s="39"/>
      <c r="WF22" s="39"/>
      <c r="WG22" s="39"/>
      <c r="WH22" s="39"/>
      <c r="WI22" s="39"/>
      <c r="WJ22" s="39"/>
      <c r="WK22" s="39"/>
      <c r="WL22" s="39"/>
      <c r="WM22" s="39"/>
      <c r="WN22" s="39"/>
      <c r="WO22" s="39"/>
      <c r="WP22" s="39"/>
      <c r="WQ22" s="39"/>
      <c r="WR22" s="39"/>
      <c r="WS22" s="39"/>
      <c r="WT22" s="39"/>
      <c r="WU22" s="39"/>
      <c r="WV22" s="39"/>
      <c r="WW22" s="39"/>
      <c r="WX22" s="39"/>
      <c r="WY22" s="39"/>
      <c r="WZ22" s="39"/>
      <c r="XA22" s="39"/>
      <c r="XB22" s="39"/>
      <c r="XC22" s="39"/>
      <c r="XD22" s="39"/>
      <c r="XE22" s="39"/>
      <c r="XF22" s="39"/>
      <c r="XG22" s="39"/>
      <c r="XH22" s="39"/>
      <c r="XI22" s="39"/>
      <c r="XJ22" s="39"/>
      <c r="XK22" s="39"/>
      <c r="XL22" s="39"/>
      <c r="XM22" s="39"/>
      <c r="XN22" s="39"/>
      <c r="XO22" s="39"/>
      <c r="XP22" s="39"/>
      <c r="XQ22" s="39"/>
      <c r="XR22" s="39"/>
      <c r="XS22" s="39"/>
      <c r="XT22" s="39"/>
      <c r="XU22" s="39"/>
      <c r="XV22" s="39"/>
      <c r="XW22" s="39"/>
      <c r="XX22" s="39"/>
      <c r="XY22" s="39"/>
      <c r="XZ22" s="39"/>
      <c r="YA22" s="39"/>
      <c r="YB22" s="39"/>
      <c r="YC22" s="39"/>
      <c r="YD22" s="39"/>
      <c r="YE22" s="39"/>
      <c r="YF22" s="39"/>
      <c r="YG22" s="39"/>
      <c r="YH22" s="39"/>
      <c r="YI22" s="39"/>
      <c r="YJ22" s="39"/>
      <c r="YK22" s="39"/>
      <c r="YL22" s="39"/>
      <c r="YM22" s="39"/>
      <c r="YN22" s="39"/>
      <c r="YO22" s="39"/>
      <c r="YP22" s="39"/>
      <c r="YQ22" s="39"/>
      <c r="YR22" s="39"/>
      <c r="YS22" s="39"/>
      <c r="YT22" s="39"/>
      <c r="YU22" s="39"/>
      <c r="YV22" s="39"/>
      <c r="YW22" s="39"/>
      <c r="YX22" s="39"/>
      <c r="YY22" s="39"/>
      <c r="YZ22" s="39"/>
      <c r="ZA22" s="39"/>
      <c r="ZB22" s="39"/>
      <c r="ZC22" s="39"/>
      <c r="ZD22" s="39"/>
      <c r="ZE22" s="39"/>
      <c r="ZF22" s="39"/>
      <c r="ZG22" s="39"/>
      <c r="ZH22" s="39"/>
      <c r="ZI22" s="39"/>
      <c r="ZJ22" s="39"/>
      <c r="ZK22" s="39"/>
      <c r="ZL22" s="39"/>
      <c r="ZM22" s="39"/>
      <c r="ZN22" s="39"/>
      <c r="ZO22" s="39"/>
      <c r="ZP22" s="39"/>
      <c r="ZQ22" s="39"/>
      <c r="ZR22" s="39"/>
      <c r="ZS22" s="39"/>
      <c r="ZT22" s="39"/>
      <c r="ZU22" s="39"/>
      <c r="ZV22" s="39"/>
      <c r="ZW22" s="39"/>
      <c r="ZX22" s="39"/>
      <c r="ZY22" s="39"/>
      <c r="ZZ22" s="39"/>
      <c r="AAA22" s="39"/>
      <c r="AAB22" s="39"/>
      <c r="AAC22" s="39"/>
      <c r="AAD22" s="39"/>
      <c r="AAE22" s="39"/>
      <c r="AAF22" s="39"/>
      <c r="AAG22" s="39"/>
      <c r="AAH22" s="39"/>
      <c r="AAI22" s="39"/>
      <c r="AAJ22" s="39"/>
      <c r="AAK22" s="39"/>
      <c r="AAL22" s="39"/>
      <c r="AAM22" s="39"/>
      <c r="AAN22" s="39"/>
      <c r="AAO22" s="39"/>
      <c r="AAP22" s="39"/>
      <c r="AAQ22" s="39"/>
      <c r="AAR22" s="39"/>
      <c r="AAS22" s="39"/>
      <c r="AAT22" s="39"/>
      <c r="AAU22" s="39"/>
      <c r="AAV22" s="39"/>
      <c r="AAW22" s="39"/>
      <c r="AAX22" s="39"/>
      <c r="AAY22" s="39"/>
      <c r="AAZ22" s="39"/>
      <c r="ABA22" s="39"/>
      <c r="ABB22" s="39"/>
      <c r="ABC22" s="39"/>
      <c r="ABD22" s="39"/>
      <c r="ABE22" s="39"/>
      <c r="ABF22" s="39"/>
      <c r="ABG22" s="39"/>
      <c r="ABH22" s="39"/>
      <c r="ABI22" s="39"/>
      <c r="ABJ22" s="39"/>
      <c r="ABK22" s="39"/>
      <c r="ABL22" s="39"/>
      <c r="ABM22" s="39"/>
      <c r="ABN22" s="39"/>
      <c r="ABO22" s="39"/>
      <c r="ABP22" s="39"/>
      <c r="ABQ22" s="39"/>
      <c r="ABR22" s="39"/>
      <c r="ABS22" s="39"/>
      <c r="ABT22" s="39"/>
      <c r="ABU22" s="39"/>
      <c r="ABV22" s="39"/>
      <c r="ABW22" s="39"/>
      <c r="ABX22" s="39"/>
      <c r="ABY22" s="39"/>
      <c r="ABZ22" s="39"/>
      <c r="ACA22" s="39"/>
      <c r="ACB22" s="39"/>
      <c r="ACC22" s="39"/>
      <c r="ACD22" s="39"/>
      <c r="ACE22" s="39"/>
      <c r="ACF22" s="39"/>
      <c r="ACG22" s="39"/>
      <c r="ACH22" s="39"/>
      <c r="ACI22" s="39"/>
      <c r="ACJ22" s="39"/>
      <c r="ACK22" s="39"/>
      <c r="ACL22" s="39"/>
      <c r="ACM22" s="39"/>
      <c r="ACN22" s="39"/>
      <c r="ACO22" s="39"/>
      <c r="ACP22" s="39"/>
      <c r="ACQ22" s="39"/>
      <c r="ACR22" s="39"/>
      <c r="ACS22" s="39"/>
      <c r="ACT22" s="39"/>
      <c r="ACU22" s="39"/>
      <c r="ACV22" s="39"/>
      <c r="ACW22" s="39"/>
      <c r="ACX22" s="39"/>
      <c r="ACY22" s="39"/>
      <c r="ACZ22" s="39"/>
      <c r="ADA22" s="39"/>
      <c r="ADB22" s="39"/>
      <c r="ADC22" s="39"/>
      <c r="ADD22" s="39"/>
      <c r="ADE22" s="39"/>
      <c r="ADF22" s="39"/>
      <c r="ADG22" s="39"/>
      <c r="ADH22" s="39"/>
      <c r="ADI22" s="39"/>
      <c r="ADJ22" s="39"/>
      <c r="ADK22" s="39"/>
      <c r="ADL22" s="39"/>
      <c r="ADM22" s="39"/>
      <c r="ADN22" s="39"/>
      <c r="ADO22" s="39"/>
      <c r="ADP22" s="39"/>
      <c r="ADQ22" s="39"/>
      <c r="ADR22" s="39"/>
      <c r="ADS22" s="39"/>
      <c r="ADT22" s="39"/>
      <c r="ADU22" s="39"/>
      <c r="ADV22" s="39"/>
      <c r="ADW22" s="39"/>
      <c r="ADX22" s="39"/>
      <c r="ADY22" s="39"/>
      <c r="ADZ22" s="39"/>
      <c r="AEA22" s="39"/>
      <c r="AEB22" s="39"/>
      <c r="AEC22" s="39"/>
      <c r="AED22" s="39"/>
      <c r="AEE22" s="39"/>
      <c r="AEF22" s="39"/>
      <c r="AEG22" s="39"/>
      <c r="AEH22" s="39"/>
      <c r="AEI22" s="39"/>
      <c r="AEJ22" s="39"/>
      <c r="AEK22" s="39"/>
      <c r="AEL22" s="39"/>
      <c r="AEM22" s="39"/>
      <c r="AEN22" s="39"/>
      <c r="AEO22" s="39"/>
      <c r="AEP22" s="39"/>
      <c r="AEQ22" s="39"/>
      <c r="AER22" s="39"/>
      <c r="AES22" s="39"/>
      <c r="AET22" s="39"/>
      <c r="AEU22" s="39"/>
      <c r="AEV22" s="39"/>
      <c r="AEW22" s="39"/>
      <c r="AEX22" s="39"/>
      <c r="AEY22" s="39"/>
      <c r="AEZ22" s="39"/>
      <c r="AFA22" s="39"/>
      <c r="AFB22" s="39"/>
      <c r="AFC22" s="39"/>
      <c r="AFD22" s="39"/>
      <c r="AFE22" s="39"/>
      <c r="AFF22" s="39"/>
      <c r="AFG22" s="39"/>
      <c r="AFH22" s="39"/>
      <c r="AFI22" s="39"/>
      <c r="AFJ22" s="39"/>
      <c r="AFK22" s="39"/>
      <c r="AFL22" s="39"/>
      <c r="AFM22" s="39"/>
      <c r="AFN22" s="39"/>
      <c r="AFO22" s="39"/>
      <c r="AFP22" s="39"/>
      <c r="AFQ22" s="39"/>
      <c r="AFR22" s="39"/>
      <c r="AFS22" s="39"/>
      <c r="AFT22" s="39"/>
      <c r="AFU22" s="39"/>
      <c r="AFV22" s="39"/>
      <c r="AFW22" s="39"/>
      <c r="AFX22" s="39"/>
      <c r="AFY22" s="39"/>
      <c r="AFZ22" s="39"/>
      <c r="AGA22" s="39"/>
      <c r="AGB22" s="39"/>
      <c r="AGC22" s="39"/>
      <c r="AGD22" s="39"/>
      <c r="AGE22" s="39"/>
      <c r="AGF22" s="39"/>
      <c r="AGG22" s="39"/>
      <c r="AGH22" s="39"/>
      <c r="AGI22" s="39"/>
      <c r="AGJ22" s="39"/>
      <c r="AGK22" s="39"/>
      <c r="AGL22" s="39"/>
      <c r="AGM22" s="39"/>
      <c r="AGN22" s="39"/>
      <c r="AGO22" s="39"/>
      <c r="AGP22" s="39"/>
      <c r="AGQ22" s="39"/>
      <c r="AGR22" s="39"/>
      <c r="AGS22" s="39"/>
      <c r="AGT22" s="39"/>
      <c r="AGU22" s="39"/>
      <c r="AGV22" s="39"/>
      <c r="AGW22" s="39"/>
      <c r="AGX22" s="39"/>
      <c r="AGY22" s="39"/>
      <c r="AGZ22" s="39"/>
      <c r="AHA22" s="39"/>
      <c r="AHB22" s="39"/>
      <c r="AHC22" s="39"/>
      <c r="AHD22" s="39"/>
      <c r="AHE22" s="39"/>
      <c r="AHF22" s="39"/>
      <c r="AHG22" s="39"/>
      <c r="AHH22" s="39"/>
      <c r="AHI22" s="39"/>
      <c r="AHJ22" s="39"/>
      <c r="AHK22" s="39"/>
      <c r="AHL22" s="39"/>
      <c r="AHM22" s="39"/>
      <c r="AHN22" s="39"/>
      <c r="AHO22" s="39"/>
      <c r="AHP22" s="39"/>
      <c r="AHQ22" s="39"/>
      <c r="AHR22" s="39"/>
      <c r="AHS22" s="39"/>
      <c r="AHT22" s="39"/>
      <c r="AHU22" s="39"/>
      <c r="AHV22" s="39"/>
      <c r="AHW22" s="39"/>
      <c r="AHX22" s="39"/>
      <c r="AHY22" s="39"/>
      <c r="AHZ22" s="39"/>
      <c r="AIA22" s="39"/>
      <c r="AIB22" s="39"/>
      <c r="AIC22" s="39"/>
      <c r="AID22" s="39"/>
      <c r="AIE22" s="39"/>
      <c r="AIF22" s="39"/>
      <c r="AIG22" s="39"/>
      <c r="AIH22" s="39"/>
      <c r="AII22" s="39"/>
      <c r="AIJ22" s="39"/>
      <c r="AIK22" s="39"/>
      <c r="AIL22" s="39"/>
      <c r="AIM22" s="39"/>
      <c r="AIN22" s="39"/>
      <c r="AIO22" s="39"/>
      <c r="AIP22" s="39"/>
      <c r="AIQ22" s="39"/>
      <c r="AIR22" s="39"/>
      <c r="AIS22" s="39"/>
      <c r="AIT22" s="39"/>
      <c r="AIU22" s="39"/>
      <c r="AIV22" s="39"/>
      <c r="AIW22" s="39"/>
      <c r="AIX22" s="39"/>
      <c r="AIY22" s="39"/>
      <c r="AIZ22" s="39"/>
      <c r="AJA22" s="39"/>
      <c r="AJB22" s="39"/>
      <c r="AJC22" s="39"/>
      <c r="AJD22" s="39"/>
      <c r="AJE22" s="39"/>
      <c r="AJF22" s="39"/>
      <c r="AJG22" s="39"/>
      <c r="AJH22" s="39"/>
      <c r="AJI22" s="39"/>
      <c r="AJJ22" s="39"/>
      <c r="AJK22" s="39"/>
      <c r="AJL22" s="39"/>
      <c r="AJM22" s="39"/>
      <c r="AJN22" s="39"/>
      <c r="AJO22" s="39"/>
      <c r="AJP22" s="39"/>
      <c r="AJQ22" s="39"/>
      <c r="AJR22" s="39"/>
      <c r="AJS22" s="39"/>
      <c r="AJT22" s="39"/>
      <c r="AJU22" s="39"/>
      <c r="AJV22" s="39"/>
      <c r="AJW22" s="39"/>
      <c r="AJX22" s="39"/>
      <c r="AJY22" s="39"/>
      <c r="AJZ22" s="39"/>
      <c r="AKA22" s="39"/>
      <c r="AKB22" s="39"/>
      <c r="AKC22" s="39"/>
      <c r="AKD22" s="39"/>
      <c r="AKE22" s="39"/>
      <c r="AKF22" s="39"/>
      <c r="AKG22" s="39"/>
      <c r="AKH22" s="39"/>
      <c r="AKI22" s="39"/>
      <c r="AKJ22" s="39"/>
      <c r="AKK22" s="39"/>
      <c r="AKL22" s="39"/>
      <c r="AKM22" s="39"/>
      <c r="AKN22" s="39"/>
      <c r="AKO22" s="39"/>
      <c r="AKP22" s="39"/>
      <c r="AKQ22" s="39"/>
    </row>
    <row r="23" spans="1:979" s="565" customFormat="1" ht="24" customHeight="1" x14ac:dyDescent="0.25">
      <c r="A23" s="882"/>
      <c r="B23" s="166"/>
      <c r="C23" s="167" t="s">
        <v>107</v>
      </c>
      <c r="D23" s="167" t="s">
        <v>90</v>
      </c>
      <c r="E23" s="167">
        <f>0.007*100000</f>
        <v>700</v>
      </c>
      <c r="F23" s="172">
        <f>BJ23</f>
        <v>60</v>
      </c>
      <c r="G23" s="69">
        <f>E23*F23</f>
        <v>42000</v>
      </c>
      <c r="H23" s="69">
        <f>G23*0.2</f>
        <v>8400</v>
      </c>
      <c r="I23" s="69">
        <f>G23*0.8</f>
        <v>33600</v>
      </c>
      <c r="J23" s="69">
        <f>G23*0</f>
        <v>0</v>
      </c>
      <c r="K23" s="69">
        <f>G23*0</f>
        <v>0</v>
      </c>
      <c r="L23" s="69">
        <f>G23*0</f>
        <v>0</v>
      </c>
      <c r="M23" s="69">
        <f>G23*0</f>
        <v>0</v>
      </c>
      <c r="N23" s="69">
        <f>G23*0</f>
        <v>0</v>
      </c>
      <c r="O23" s="69">
        <f>G23*0</f>
        <v>0</v>
      </c>
      <c r="P23" s="69">
        <f>G23*0</f>
        <v>0</v>
      </c>
      <c r="Q23" s="69">
        <f>G23*0</f>
        <v>0</v>
      </c>
      <c r="R23" s="153">
        <f t="shared" si="13"/>
        <v>6</v>
      </c>
      <c r="S23" s="153">
        <f t="shared" si="14"/>
        <v>15</v>
      </c>
      <c r="T23" s="153">
        <f t="shared" si="15"/>
        <v>21</v>
      </c>
      <c r="U23" s="153">
        <f t="shared" si="16"/>
        <v>18</v>
      </c>
      <c r="V23" s="69">
        <f>R23*E23</f>
        <v>4200</v>
      </c>
      <c r="W23" s="69">
        <f>S23*E23</f>
        <v>10500</v>
      </c>
      <c r="X23" s="69">
        <f>T23*E23</f>
        <v>14700</v>
      </c>
      <c r="Y23" s="69">
        <f>U23*E23</f>
        <v>12600</v>
      </c>
      <c r="Z23" s="69">
        <v>0</v>
      </c>
      <c r="AA23" s="69">
        <f>Z23*700</f>
        <v>0</v>
      </c>
      <c r="AB23" s="69">
        <v>0</v>
      </c>
      <c r="AC23" s="69">
        <f>AB23*700</f>
        <v>0</v>
      </c>
      <c r="AD23" s="69">
        <v>0</v>
      </c>
      <c r="AE23" s="69">
        <f>AD23*700</f>
        <v>0</v>
      </c>
      <c r="AF23" s="69">
        <v>60</v>
      </c>
      <c r="AG23" s="69">
        <f>AF23*700</f>
        <v>42000</v>
      </c>
      <c r="AH23" s="69">
        <v>0</v>
      </c>
      <c r="AI23" s="69">
        <f>AH23*700</f>
        <v>0</v>
      </c>
      <c r="AJ23" s="69">
        <v>0</v>
      </c>
      <c r="AK23" s="69">
        <f>AJ23*700</f>
        <v>0</v>
      </c>
      <c r="AL23" s="69">
        <v>0</v>
      </c>
      <c r="AM23" s="69">
        <f>AL23*700</f>
        <v>0</v>
      </c>
      <c r="AN23" s="69">
        <v>0</v>
      </c>
      <c r="AO23" s="69">
        <f>AN23*700</f>
        <v>0</v>
      </c>
      <c r="AP23" s="69">
        <v>0</v>
      </c>
      <c r="AQ23" s="69">
        <f>AP23*700</f>
        <v>0</v>
      </c>
      <c r="AR23" s="69">
        <v>0</v>
      </c>
      <c r="AS23" s="69">
        <f>AR23*700</f>
        <v>0</v>
      </c>
      <c r="AT23" s="69">
        <v>0</v>
      </c>
      <c r="AU23" s="69">
        <f>AT23*700</f>
        <v>0</v>
      </c>
      <c r="AV23" s="69">
        <v>0</v>
      </c>
      <c r="AW23" s="69">
        <f>AV23*700</f>
        <v>0</v>
      </c>
      <c r="AX23" s="69">
        <v>0</v>
      </c>
      <c r="AY23" s="69">
        <f>AX23*700</f>
        <v>0</v>
      </c>
      <c r="AZ23" s="69">
        <v>0</v>
      </c>
      <c r="BA23" s="69">
        <f>AZ23*700</f>
        <v>0</v>
      </c>
      <c r="BB23" s="69">
        <v>0</v>
      </c>
      <c r="BC23" s="69">
        <f>BB23*700</f>
        <v>0</v>
      </c>
      <c r="BD23" s="69">
        <v>0</v>
      </c>
      <c r="BE23" s="69">
        <f>BD23*700</f>
        <v>0</v>
      </c>
      <c r="BF23" s="69">
        <v>0</v>
      </c>
      <c r="BG23" s="69">
        <f>BF23*700</f>
        <v>0</v>
      </c>
      <c r="BH23" s="69">
        <v>0</v>
      </c>
      <c r="BI23" s="69">
        <f t="shared" si="17"/>
        <v>0</v>
      </c>
      <c r="BJ23" s="85">
        <f t="shared" si="12"/>
        <v>60</v>
      </c>
      <c r="BK23" s="85">
        <f t="shared" si="12"/>
        <v>42000</v>
      </c>
      <c r="BL23" s="324" t="s">
        <v>467</v>
      </c>
      <c r="BM23" s="39"/>
      <c r="BN23" s="113"/>
      <c r="BO23" s="69">
        <f>G23</f>
        <v>42000</v>
      </c>
      <c r="BP23" s="113">
        <v>0</v>
      </c>
      <c r="BQ23" s="113">
        <v>0</v>
      </c>
      <c r="BR23" s="113">
        <f>BN23+BO23+BP23+BQ23</f>
        <v>42000</v>
      </c>
      <c r="BS23" s="113">
        <v>0</v>
      </c>
      <c r="BT23" s="113">
        <v>0</v>
      </c>
      <c r="BU23" s="113">
        <f>BS23+BT23</f>
        <v>0</v>
      </c>
      <c r="BV23" s="179">
        <f t="shared" si="1"/>
        <v>42000</v>
      </c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</row>
    <row r="24" spans="1:979" s="67" customFormat="1" ht="24" customHeight="1" x14ac:dyDescent="0.25">
      <c r="A24" s="882"/>
      <c r="B24" s="166"/>
      <c r="C24" s="167" t="s">
        <v>108</v>
      </c>
      <c r="D24" s="167" t="s">
        <v>90</v>
      </c>
      <c r="E24" s="167">
        <f>0.007*100000</f>
        <v>700</v>
      </c>
      <c r="F24" s="172">
        <f>BJ24</f>
        <v>210</v>
      </c>
      <c r="G24" s="69">
        <f>E24*F24</f>
        <v>147000</v>
      </c>
      <c r="H24" s="69">
        <f>G24*0.2</f>
        <v>29400</v>
      </c>
      <c r="I24" s="69">
        <f>G24*0.8</f>
        <v>117600</v>
      </c>
      <c r="J24" s="69">
        <f>G24*0</f>
        <v>0</v>
      </c>
      <c r="K24" s="69">
        <f>G24*0</f>
        <v>0</v>
      </c>
      <c r="L24" s="69">
        <f>G24*0</f>
        <v>0</v>
      </c>
      <c r="M24" s="69">
        <f>G24*0</f>
        <v>0</v>
      </c>
      <c r="N24" s="69">
        <f>G24*0</f>
        <v>0</v>
      </c>
      <c r="O24" s="69">
        <f>G24*0</f>
        <v>0</v>
      </c>
      <c r="P24" s="69">
        <f>G24*0</f>
        <v>0</v>
      </c>
      <c r="Q24" s="69">
        <f>G24*0</f>
        <v>0</v>
      </c>
      <c r="R24" s="153">
        <f t="shared" si="13"/>
        <v>21</v>
      </c>
      <c r="S24" s="153">
        <f t="shared" si="14"/>
        <v>52.5</v>
      </c>
      <c r="T24" s="153">
        <f t="shared" si="15"/>
        <v>73.5</v>
      </c>
      <c r="U24" s="153">
        <f t="shared" si="16"/>
        <v>63</v>
      </c>
      <c r="V24" s="69">
        <f>R24*E24</f>
        <v>14700</v>
      </c>
      <c r="W24" s="69">
        <f>S24*E24</f>
        <v>36750</v>
      </c>
      <c r="X24" s="69">
        <f>T24*E24</f>
        <v>51450</v>
      </c>
      <c r="Y24" s="69">
        <f>U24*E24</f>
        <v>44100</v>
      </c>
      <c r="Z24" s="69">
        <v>60</v>
      </c>
      <c r="AA24" s="69">
        <f>Z24*700</f>
        <v>42000</v>
      </c>
      <c r="AB24" s="69">
        <v>30</v>
      </c>
      <c r="AC24" s="69">
        <f>AB24*700</f>
        <v>21000</v>
      </c>
      <c r="AD24" s="69">
        <v>60</v>
      </c>
      <c r="AE24" s="69">
        <f>AD24*700</f>
        <v>42000</v>
      </c>
      <c r="AF24" s="69">
        <v>60</v>
      </c>
      <c r="AG24" s="69">
        <f>AF24*700</f>
        <v>42000</v>
      </c>
      <c r="AH24" s="69">
        <v>0</v>
      </c>
      <c r="AI24" s="69">
        <f>AH24*700</f>
        <v>0</v>
      </c>
      <c r="AJ24" s="69">
        <v>0</v>
      </c>
      <c r="AK24" s="69">
        <f>AJ24*700</f>
        <v>0</v>
      </c>
      <c r="AL24" s="69">
        <v>0</v>
      </c>
      <c r="AM24" s="69">
        <f>AL24*700</f>
        <v>0</v>
      </c>
      <c r="AN24" s="69">
        <v>0</v>
      </c>
      <c r="AO24" s="69">
        <f>AN24*700</f>
        <v>0</v>
      </c>
      <c r="AP24" s="69">
        <v>0</v>
      </c>
      <c r="AQ24" s="69">
        <f>AP24*700</f>
        <v>0</v>
      </c>
      <c r="AR24" s="69">
        <v>0</v>
      </c>
      <c r="AS24" s="69">
        <f>AR24*700</f>
        <v>0</v>
      </c>
      <c r="AT24" s="69">
        <v>0</v>
      </c>
      <c r="AU24" s="69">
        <f>AT24*700</f>
        <v>0</v>
      </c>
      <c r="AV24" s="69">
        <v>0</v>
      </c>
      <c r="AW24" s="69">
        <f>AV24*700</f>
        <v>0</v>
      </c>
      <c r="AX24" s="69">
        <v>0</v>
      </c>
      <c r="AY24" s="69">
        <f>AX24*700</f>
        <v>0</v>
      </c>
      <c r="AZ24" s="69">
        <v>0</v>
      </c>
      <c r="BA24" s="69">
        <f>AZ24*700</f>
        <v>0</v>
      </c>
      <c r="BB24" s="69">
        <v>0</v>
      </c>
      <c r="BC24" s="69">
        <f>BB24*700</f>
        <v>0</v>
      </c>
      <c r="BD24" s="69">
        <v>0</v>
      </c>
      <c r="BE24" s="69">
        <f>BD24*700</f>
        <v>0</v>
      </c>
      <c r="BF24" s="69">
        <v>0</v>
      </c>
      <c r="BG24" s="69">
        <f>BF24*700</f>
        <v>0</v>
      </c>
      <c r="BH24" s="69">
        <v>0</v>
      </c>
      <c r="BI24" s="69">
        <f t="shared" si="17"/>
        <v>0</v>
      </c>
      <c r="BJ24" s="85">
        <f t="shared" si="12"/>
        <v>210</v>
      </c>
      <c r="BK24" s="85">
        <f t="shared" si="12"/>
        <v>147000</v>
      </c>
      <c r="BL24" s="324" t="s">
        <v>467</v>
      </c>
      <c r="BN24" s="257"/>
      <c r="BO24" s="69">
        <f>G24</f>
        <v>147000</v>
      </c>
      <c r="BP24" s="257">
        <v>0</v>
      </c>
      <c r="BQ24" s="257">
        <v>0</v>
      </c>
      <c r="BR24" s="113">
        <f>BN24+BO24+BP24+BQ24</f>
        <v>147000</v>
      </c>
      <c r="BS24" s="257">
        <v>0</v>
      </c>
      <c r="BT24" s="257">
        <v>0</v>
      </c>
      <c r="BU24" s="113">
        <f>BS24+BT24</f>
        <v>0</v>
      </c>
      <c r="BV24" s="179">
        <f t="shared" si="1"/>
        <v>147000</v>
      </c>
    </row>
    <row r="25" spans="1:979" s="67" customFormat="1" ht="24" customHeight="1" x14ac:dyDescent="0.25">
      <c r="A25" s="882"/>
      <c r="B25" s="563"/>
      <c r="C25" s="564"/>
      <c r="D25" s="139"/>
      <c r="E25" s="139"/>
      <c r="F25" s="139">
        <f t="shared" ref="F25:BK25" si="18">SUM(F21:F24)</f>
        <v>869</v>
      </c>
      <c r="G25" s="139">
        <f t="shared" si="18"/>
        <v>1387000</v>
      </c>
      <c r="H25" s="139">
        <f t="shared" si="18"/>
        <v>277400</v>
      </c>
      <c r="I25" s="139">
        <f t="shared" si="18"/>
        <v>1109600</v>
      </c>
      <c r="J25" s="139">
        <f t="shared" si="18"/>
        <v>0</v>
      </c>
      <c r="K25" s="139">
        <f t="shared" si="18"/>
        <v>0</v>
      </c>
      <c r="L25" s="139">
        <f t="shared" si="18"/>
        <v>0</v>
      </c>
      <c r="M25" s="139">
        <f t="shared" si="18"/>
        <v>0</v>
      </c>
      <c r="N25" s="139">
        <f t="shared" si="18"/>
        <v>0</v>
      </c>
      <c r="O25" s="139">
        <f t="shared" si="18"/>
        <v>0</v>
      </c>
      <c r="P25" s="139">
        <f t="shared" si="18"/>
        <v>0</v>
      </c>
      <c r="Q25" s="139">
        <f t="shared" si="18"/>
        <v>0</v>
      </c>
      <c r="R25" s="468">
        <f>SUM(R21:R24)</f>
        <v>86.9</v>
      </c>
      <c r="S25" s="468">
        <f>SUM(S21:S24)</f>
        <v>217.25</v>
      </c>
      <c r="T25" s="468">
        <f t="shared" si="18"/>
        <v>304.14999999999998</v>
      </c>
      <c r="U25" s="468">
        <f t="shared" si="18"/>
        <v>260.7</v>
      </c>
      <c r="V25" s="139">
        <f t="shared" si="18"/>
        <v>138700</v>
      </c>
      <c r="W25" s="139">
        <f t="shared" si="18"/>
        <v>346750</v>
      </c>
      <c r="X25" s="139">
        <f t="shared" si="18"/>
        <v>485449.99999999994</v>
      </c>
      <c r="Y25" s="139">
        <f t="shared" si="18"/>
        <v>416100</v>
      </c>
      <c r="Z25" s="139">
        <f t="shared" si="18"/>
        <v>90</v>
      </c>
      <c r="AA25" s="139">
        <f t="shared" si="18"/>
        <v>102000</v>
      </c>
      <c r="AB25" s="139">
        <f t="shared" si="18"/>
        <v>51</v>
      </c>
      <c r="AC25" s="139">
        <f t="shared" si="18"/>
        <v>63000</v>
      </c>
      <c r="AD25" s="139">
        <f t="shared" si="18"/>
        <v>90</v>
      </c>
      <c r="AE25" s="139">
        <f t="shared" si="18"/>
        <v>102000</v>
      </c>
      <c r="AF25" s="139">
        <f t="shared" si="18"/>
        <v>171</v>
      </c>
      <c r="AG25" s="139">
        <f t="shared" si="18"/>
        <v>186000</v>
      </c>
      <c r="AH25" s="139">
        <f t="shared" si="18"/>
        <v>22</v>
      </c>
      <c r="AI25" s="139">
        <f t="shared" si="18"/>
        <v>44000</v>
      </c>
      <c r="AJ25" s="139">
        <f t="shared" si="18"/>
        <v>30</v>
      </c>
      <c r="AK25" s="139">
        <f t="shared" si="18"/>
        <v>60000</v>
      </c>
      <c r="AL25" s="139">
        <f t="shared" si="18"/>
        <v>22</v>
      </c>
      <c r="AM25" s="139">
        <f t="shared" si="18"/>
        <v>44000</v>
      </c>
      <c r="AN25" s="139">
        <f t="shared" si="18"/>
        <v>40</v>
      </c>
      <c r="AO25" s="139">
        <f t="shared" si="18"/>
        <v>80000</v>
      </c>
      <c r="AP25" s="139">
        <f t="shared" si="18"/>
        <v>6</v>
      </c>
      <c r="AQ25" s="139">
        <f t="shared" si="18"/>
        <v>12000</v>
      </c>
      <c r="AR25" s="139">
        <f t="shared" si="18"/>
        <v>32</v>
      </c>
      <c r="AS25" s="139">
        <f t="shared" si="18"/>
        <v>64000</v>
      </c>
      <c r="AT25" s="139">
        <f t="shared" si="18"/>
        <v>30</v>
      </c>
      <c r="AU25" s="139">
        <f t="shared" si="18"/>
        <v>60000</v>
      </c>
      <c r="AV25" s="139">
        <f t="shared" si="18"/>
        <v>30</v>
      </c>
      <c r="AW25" s="139">
        <f t="shared" si="18"/>
        <v>60000</v>
      </c>
      <c r="AX25" s="139">
        <f t="shared" si="18"/>
        <v>30</v>
      </c>
      <c r="AY25" s="139">
        <f t="shared" si="18"/>
        <v>60000</v>
      </c>
      <c r="AZ25" s="139">
        <f t="shared" si="18"/>
        <v>30</v>
      </c>
      <c r="BA25" s="139">
        <f t="shared" si="18"/>
        <v>60000</v>
      </c>
      <c r="BB25" s="139">
        <f t="shared" si="18"/>
        <v>45</v>
      </c>
      <c r="BC25" s="139">
        <f t="shared" si="18"/>
        <v>90000</v>
      </c>
      <c r="BD25" s="139">
        <f t="shared" si="18"/>
        <v>60</v>
      </c>
      <c r="BE25" s="139">
        <f t="shared" si="18"/>
        <v>120000</v>
      </c>
      <c r="BF25" s="139">
        <f t="shared" si="18"/>
        <v>30</v>
      </c>
      <c r="BG25" s="139">
        <f t="shared" si="18"/>
        <v>60000</v>
      </c>
      <c r="BH25" s="139">
        <f t="shared" si="18"/>
        <v>60</v>
      </c>
      <c r="BI25" s="139">
        <f t="shared" si="18"/>
        <v>120000</v>
      </c>
      <c r="BJ25" s="139">
        <f t="shared" si="18"/>
        <v>869</v>
      </c>
      <c r="BK25" s="139">
        <f t="shared" si="18"/>
        <v>1387000</v>
      </c>
      <c r="BL25" s="118"/>
      <c r="BN25" s="139">
        <f t="shared" ref="BN25:BU25" si="19">SUM(BN21:BN24)</f>
        <v>0</v>
      </c>
      <c r="BO25" s="139">
        <f t="shared" si="19"/>
        <v>1387000</v>
      </c>
      <c r="BP25" s="139">
        <f t="shared" si="19"/>
        <v>0</v>
      </c>
      <c r="BQ25" s="139">
        <f t="shared" si="19"/>
        <v>0</v>
      </c>
      <c r="BR25" s="139">
        <f t="shared" si="19"/>
        <v>1387000</v>
      </c>
      <c r="BS25" s="139">
        <f t="shared" si="19"/>
        <v>0</v>
      </c>
      <c r="BT25" s="139">
        <f t="shared" si="19"/>
        <v>0</v>
      </c>
      <c r="BU25" s="139">
        <f t="shared" si="19"/>
        <v>0</v>
      </c>
      <c r="BV25" s="474">
        <f t="shared" si="1"/>
        <v>1387000</v>
      </c>
    </row>
    <row r="26" spans="1:979" ht="31.5" customHeight="1" x14ac:dyDescent="0.25">
      <c r="A26" s="882"/>
      <c r="B26" s="443">
        <v>12220</v>
      </c>
      <c r="C26" s="172" t="s">
        <v>110</v>
      </c>
      <c r="D26" s="167"/>
      <c r="E26" s="167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153"/>
      <c r="S26" s="153"/>
      <c r="T26" s="153"/>
      <c r="U26" s="153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47"/>
      <c r="BN26" s="113"/>
      <c r="BO26" s="113"/>
      <c r="BP26" s="113"/>
      <c r="BQ26" s="113"/>
      <c r="BR26" s="113"/>
      <c r="BS26" s="113"/>
      <c r="BT26" s="113"/>
      <c r="BU26" s="113"/>
      <c r="BV26" s="179">
        <f t="shared" si="1"/>
        <v>0</v>
      </c>
    </row>
    <row r="27" spans="1:979" ht="33" customHeight="1" x14ac:dyDescent="0.25">
      <c r="A27" s="882"/>
      <c r="B27" s="166"/>
      <c r="C27" s="167" t="s">
        <v>111</v>
      </c>
      <c r="D27" s="167" t="s">
        <v>90</v>
      </c>
      <c r="E27" s="167">
        <f>0.75*100000</f>
        <v>75000</v>
      </c>
      <c r="F27" s="172">
        <f>BJ27</f>
        <v>0</v>
      </c>
      <c r="G27" s="69">
        <f>E27*F27</f>
        <v>0</v>
      </c>
      <c r="H27" s="69">
        <f>G27*0.2</f>
        <v>0</v>
      </c>
      <c r="I27" s="69">
        <f>G27*0.8</f>
        <v>0</v>
      </c>
      <c r="J27" s="69">
        <f>G27*0</f>
        <v>0</v>
      </c>
      <c r="K27" s="69">
        <f>G27*0</f>
        <v>0</v>
      </c>
      <c r="L27" s="69">
        <f>G27*0</f>
        <v>0</v>
      </c>
      <c r="M27" s="69">
        <f>G27*0</f>
        <v>0</v>
      </c>
      <c r="N27" s="69">
        <f>G27*0</f>
        <v>0</v>
      </c>
      <c r="O27" s="69">
        <f>G27*0</f>
        <v>0</v>
      </c>
      <c r="P27" s="69">
        <f>G27*0</f>
        <v>0</v>
      </c>
      <c r="Q27" s="69">
        <f>G27*0</f>
        <v>0</v>
      </c>
      <c r="R27" s="153">
        <f t="shared" ref="R27" si="20">F27*0.1</f>
        <v>0</v>
      </c>
      <c r="S27" s="153">
        <f t="shared" ref="S27" si="21">F27*0.25</f>
        <v>0</v>
      </c>
      <c r="T27" s="153">
        <f t="shared" ref="T27" si="22">F27*0.35</f>
        <v>0</v>
      </c>
      <c r="U27" s="153">
        <f t="shared" ref="U27" si="23">F27*0.3</f>
        <v>0</v>
      </c>
      <c r="V27" s="69">
        <f>R27*E27</f>
        <v>0</v>
      </c>
      <c r="W27" s="69">
        <f>S27*E27</f>
        <v>0</v>
      </c>
      <c r="X27" s="69">
        <f>T27*E27</f>
        <v>0</v>
      </c>
      <c r="Y27" s="69">
        <f>U27*E27</f>
        <v>0</v>
      </c>
      <c r="Z27" s="69">
        <v>0</v>
      </c>
      <c r="AA27" s="69">
        <f>Z27*75000</f>
        <v>0</v>
      </c>
      <c r="AB27" s="69">
        <v>0</v>
      </c>
      <c r="AC27" s="69">
        <f>AB27*75000</f>
        <v>0</v>
      </c>
      <c r="AD27" s="69">
        <v>0</v>
      </c>
      <c r="AE27" s="69">
        <f>AD27*75000</f>
        <v>0</v>
      </c>
      <c r="AF27" s="69">
        <v>0</v>
      </c>
      <c r="AG27" s="69">
        <f>AF27*75000</f>
        <v>0</v>
      </c>
      <c r="AH27" s="69">
        <v>0</v>
      </c>
      <c r="AI27" s="69">
        <f>AH27*75000</f>
        <v>0</v>
      </c>
      <c r="AJ27" s="69">
        <v>0</v>
      </c>
      <c r="AK27" s="69">
        <f>AJ27*75000</f>
        <v>0</v>
      </c>
      <c r="AL27" s="69">
        <v>0</v>
      </c>
      <c r="AM27" s="69">
        <f>AL27*75000</f>
        <v>0</v>
      </c>
      <c r="AN27" s="69">
        <v>0</v>
      </c>
      <c r="AO27" s="69">
        <f>AN27*75000</f>
        <v>0</v>
      </c>
      <c r="AP27" s="69">
        <v>0</v>
      </c>
      <c r="AQ27" s="69">
        <f>AP27*75000</f>
        <v>0</v>
      </c>
      <c r="AR27" s="69">
        <v>0</v>
      </c>
      <c r="AS27" s="69">
        <f>AR27*75000</f>
        <v>0</v>
      </c>
      <c r="AT27" s="69">
        <v>0</v>
      </c>
      <c r="AU27" s="69">
        <f>AT27*75000</f>
        <v>0</v>
      </c>
      <c r="AV27" s="69">
        <v>0</v>
      </c>
      <c r="AW27" s="69">
        <f>AV27*75000</f>
        <v>0</v>
      </c>
      <c r="AX27" s="69">
        <v>0</v>
      </c>
      <c r="AY27" s="69">
        <f>AX27*75000</f>
        <v>0</v>
      </c>
      <c r="AZ27" s="69">
        <v>0</v>
      </c>
      <c r="BA27" s="69">
        <f>AZ27*75000</f>
        <v>0</v>
      </c>
      <c r="BB27" s="69">
        <v>0</v>
      </c>
      <c r="BC27" s="69">
        <f>BB27*75000</f>
        <v>0</v>
      </c>
      <c r="BD27" s="69">
        <v>0</v>
      </c>
      <c r="BE27" s="69">
        <f>BD27*75000</f>
        <v>0</v>
      </c>
      <c r="BF27" s="69">
        <v>0</v>
      </c>
      <c r="BG27" s="69">
        <f>BF27*75000</f>
        <v>0</v>
      </c>
      <c r="BH27" s="69">
        <v>0</v>
      </c>
      <c r="BI27" s="69">
        <f>BH27*75000</f>
        <v>0</v>
      </c>
      <c r="BJ27" s="85">
        <f t="shared" ref="BJ27:BK29" si="24">Z27+AB27+AD27+AF27+AH27+AJ27+AL27+AN27+AP27+AR27+AT27+AV27+AX27+AZ27+BB27+BD27+BF27+BH27</f>
        <v>0</v>
      </c>
      <c r="BK27" s="85">
        <f t="shared" si="24"/>
        <v>0</v>
      </c>
      <c r="BL27" s="324" t="s">
        <v>467</v>
      </c>
      <c r="BN27" s="113">
        <v>0</v>
      </c>
      <c r="BO27" s="113">
        <f>G27</f>
        <v>0</v>
      </c>
      <c r="BP27" s="113">
        <v>0</v>
      </c>
      <c r="BQ27" s="113">
        <v>0</v>
      </c>
      <c r="BR27" s="113">
        <f>BN27+BO27+BP27+BQ27</f>
        <v>0</v>
      </c>
      <c r="BS27" s="113">
        <v>0</v>
      </c>
      <c r="BT27" s="113">
        <v>0</v>
      </c>
      <c r="BU27" s="113">
        <f>BS27+BT27</f>
        <v>0</v>
      </c>
      <c r="BV27" s="179">
        <f t="shared" si="1"/>
        <v>0</v>
      </c>
    </row>
    <row r="28" spans="1:979" ht="24" customHeight="1" x14ac:dyDescent="0.25">
      <c r="A28" s="882"/>
      <c r="B28" s="166"/>
      <c r="C28" s="167" t="s">
        <v>112</v>
      </c>
      <c r="D28" s="167" t="s">
        <v>113</v>
      </c>
      <c r="E28" s="167">
        <f>0.02*100000</f>
        <v>2000</v>
      </c>
      <c r="F28" s="69">
        <f>BJ28</f>
        <v>540</v>
      </c>
      <c r="G28" s="69">
        <f>E28*F28</f>
        <v>1080000</v>
      </c>
      <c r="H28" s="69">
        <f>G28*0.2</f>
        <v>216000</v>
      </c>
      <c r="I28" s="69">
        <f>G28*0.8</f>
        <v>864000</v>
      </c>
      <c r="J28" s="69">
        <f>G28*0</f>
        <v>0</v>
      </c>
      <c r="K28" s="69">
        <f>G28*0</f>
        <v>0</v>
      </c>
      <c r="L28" s="69">
        <f>G28*0</f>
        <v>0</v>
      </c>
      <c r="M28" s="69">
        <f>G28*0</f>
        <v>0</v>
      </c>
      <c r="N28" s="69">
        <f>G28*0</f>
        <v>0</v>
      </c>
      <c r="O28" s="69">
        <f>G28*0</f>
        <v>0</v>
      </c>
      <c r="P28" s="69">
        <f>G28*0</f>
        <v>0</v>
      </c>
      <c r="Q28" s="69">
        <f>G28*0</f>
        <v>0</v>
      </c>
      <c r="R28" s="153">
        <f t="shared" ref="R28:R29" si="25">F28*0.1</f>
        <v>54</v>
      </c>
      <c r="S28" s="153">
        <f t="shared" ref="S28:S29" si="26">F28*0.25</f>
        <v>135</v>
      </c>
      <c r="T28" s="153">
        <f t="shared" ref="T28:T29" si="27">F28*0.35</f>
        <v>189</v>
      </c>
      <c r="U28" s="153">
        <f t="shared" ref="U28:U29" si="28">F28*0.3</f>
        <v>162</v>
      </c>
      <c r="V28" s="69">
        <f>R28*E28</f>
        <v>108000</v>
      </c>
      <c r="W28" s="69">
        <f>S28*E28</f>
        <v>270000</v>
      </c>
      <c r="X28" s="69">
        <f>T28*E28</f>
        <v>378000</v>
      </c>
      <c r="Y28" s="69">
        <f>U28*E28</f>
        <v>324000</v>
      </c>
      <c r="Z28" s="69">
        <v>30</v>
      </c>
      <c r="AA28" s="69">
        <f>Z28*E28</f>
        <v>60000</v>
      </c>
      <c r="AB28" s="69">
        <v>21</v>
      </c>
      <c r="AC28" s="69">
        <f>AB28*E28</f>
        <v>42000</v>
      </c>
      <c r="AD28" s="69">
        <v>30</v>
      </c>
      <c r="AE28" s="69">
        <f>AD28*E28</f>
        <v>60000</v>
      </c>
      <c r="AF28" s="69">
        <v>51</v>
      </c>
      <c r="AG28" s="69">
        <f>AF28*E28</f>
        <v>102000</v>
      </c>
      <c r="AH28" s="69">
        <v>22</v>
      </c>
      <c r="AI28" s="69">
        <f>AH28*E28</f>
        <v>44000</v>
      </c>
      <c r="AJ28" s="69">
        <v>30</v>
      </c>
      <c r="AK28" s="69">
        <f>AJ28*E28</f>
        <v>60000</v>
      </c>
      <c r="AL28" s="69">
        <v>22</v>
      </c>
      <c r="AM28" s="69">
        <f>AL28*E28</f>
        <v>44000</v>
      </c>
      <c r="AN28" s="69">
        <v>50</v>
      </c>
      <c r="AO28" s="69">
        <f>AN28*E28</f>
        <v>100000</v>
      </c>
      <c r="AP28" s="69">
        <v>6</v>
      </c>
      <c r="AQ28" s="69">
        <f>AP28*E28</f>
        <v>12000</v>
      </c>
      <c r="AR28" s="69">
        <v>28</v>
      </c>
      <c r="AS28" s="69">
        <f>AR28*E28</f>
        <v>56000</v>
      </c>
      <c r="AT28" s="69">
        <v>30</v>
      </c>
      <c r="AU28" s="69">
        <f>AT28*E28</f>
        <v>60000</v>
      </c>
      <c r="AV28" s="69">
        <v>30</v>
      </c>
      <c r="AW28" s="69">
        <f>AV28*E28</f>
        <v>60000</v>
      </c>
      <c r="AX28" s="69">
        <v>30</v>
      </c>
      <c r="AY28" s="69">
        <f>AX28*E28</f>
        <v>60000</v>
      </c>
      <c r="AZ28" s="69">
        <v>30</v>
      </c>
      <c r="BA28" s="69">
        <f>AZ28*E28</f>
        <v>60000</v>
      </c>
      <c r="BB28" s="69">
        <v>40</v>
      </c>
      <c r="BC28" s="69">
        <f>BB28*E28</f>
        <v>80000</v>
      </c>
      <c r="BD28" s="69">
        <v>60</v>
      </c>
      <c r="BE28" s="69">
        <f>BD28*E28</f>
        <v>120000</v>
      </c>
      <c r="BF28" s="69">
        <v>30</v>
      </c>
      <c r="BG28" s="69">
        <f>BF28*E28</f>
        <v>60000</v>
      </c>
      <c r="BH28" s="69">
        <v>0</v>
      </c>
      <c r="BI28" s="69">
        <f>BH28*300</f>
        <v>0</v>
      </c>
      <c r="BJ28" s="85">
        <f t="shared" si="24"/>
        <v>540</v>
      </c>
      <c r="BK28" s="85">
        <f t="shared" si="24"/>
        <v>1080000</v>
      </c>
      <c r="BL28" s="324" t="s">
        <v>467</v>
      </c>
      <c r="BN28" s="113">
        <v>0</v>
      </c>
      <c r="BO28" s="113">
        <f>G28</f>
        <v>1080000</v>
      </c>
      <c r="BP28" s="113">
        <v>0</v>
      </c>
      <c r="BQ28" s="113">
        <v>0</v>
      </c>
      <c r="BR28" s="113">
        <f>BN28+BO28+BP28+BQ28</f>
        <v>1080000</v>
      </c>
      <c r="BS28" s="113">
        <v>0</v>
      </c>
      <c r="BT28" s="113">
        <v>0</v>
      </c>
      <c r="BU28" s="113">
        <f>BS28+BT28</f>
        <v>0</v>
      </c>
      <c r="BV28" s="179">
        <f t="shared" si="1"/>
        <v>1080000</v>
      </c>
    </row>
    <row r="29" spans="1:979" ht="30.75" customHeight="1" x14ac:dyDescent="0.25">
      <c r="A29" s="882"/>
      <c r="B29" s="166"/>
      <c r="C29" s="167" t="s">
        <v>897</v>
      </c>
      <c r="D29" s="167" t="s">
        <v>90</v>
      </c>
      <c r="E29" s="167">
        <f>0.0035*100000</f>
        <v>350</v>
      </c>
      <c r="F29" s="69">
        <f>BJ29</f>
        <v>1000</v>
      </c>
      <c r="G29" s="69">
        <f>E29*F29</f>
        <v>350000</v>
      </c>
      <c r="H29" s="69">
        <f>G29*0.2</f>
        <v>70000</v>
      </c>
      <c r="I29" s="69">
        <f>G29*0.8</f>
        <v>280000</v>
      </c>
      <c r="J29" s="69">
        <f>G29*0</f>
        <v>0</v>
      </c>
      <c r="K29" s="69">
        <f>G29*0</f>
        <v>0</v>
      </c>
      <c r="L29" s="69">
        <f>G29*0</f>
        <v>0</v>
      </c>
      <c r="M29" s="69">
        <f>G29*0</f>
        <v>0</v>
      </c>
      <c r="N29" s="69">
        <f>G29*0</f>
        <v>0</v>
      </c>
      <c r="O29" s="69">
        <f>G29*0</f>
        <v>0</v>
      </c>
      <c r="P29" s="69">
        <f>G29*0</f>
        <v>0</v>
      </c>
      <c r="Q29" s="69">
        <f>G29*0</f>
        <v>0</v>
      </c>
      <c r="R29" s="153">
        <f t="shared" si="25"/>
        <v>100</v>
      </c>
      <c r="S29" s="153">
        <f t="shared" si="26"/>
        <v>250</v>
      </c>
      <c r="T29" s="153">
        <f t="shared" si="27"/>
        <v>350</v>
      </c>
      <c r="U29" s="153">
        <f t="shared" si="28"/>
        <v>300</v>
      </c>
      <c r="V29" s="69">
        <f>R29*E29</f>
        <v>35000</v>
      </c>
      <c r="W29" s="69">
        <f>S29*E29</f>
        <v>87500</v>
      </c>
      <c r="X29" s="69">
        <f>T29*E29</f>
        <v>122500</v>
      </c>
      <c r="Y29" s="69">
        <f>U29*E29</f>
        <v>105000</v>
      </c>
      <c r="Z29" s="69">
        <v>0</v>
      </c>
      <c r="AA29" s="69">
        <f>Z29*350</f>
        <v>0</v>
      </c>
      <c r="AB29" s="69">
        <v>0</v>
      </c>
      <c r="AC29" s="69">
        <f>AB29*350</f>
        <v>0</v>
      </c>
      <c r="AD29" s="69">
        <v>0</v>
      </c>
      <c r="AE29" s="69">
        <f>AD29*350</f>
        <v>0</v>
      </c>
      <c r="AF29" s="69">
        <v>1000</v>
      </c>
      <c r="AG29" s="69">
        <f>AF29*350</f>
        <v>350000</v>
      </c>
      <c r="AH29" s="69">
        <v>0</v>
      </c>
      <c r="AI29" s="69">
        <f>AH29*350</f>
        <v>0</v>
      </c>
      <c r="AJ29" s="69">
        <v>0</v>
      </c>
      <c r="AK29" s="69">
        <f>AJ29*350</f>
        <v>0</v>
      </c>
      <c r="AL29" s="69">
        <v>0</v>
      </c>
      <c r="AM29" s="69">
        <f>AL29*350</f>
        <v>0</v>
      </c>
      <c r="AN29" s="69">
        <v>0</v>
      </c>
      <c r="AO29" s="69">
        <f>AN29*350</f>
        <v>0</v>
      </c>
      <c r="AP29" s="69">
        <v>0</v>
      </c>
      <c r="AQ29" s="69">
        <f>AP29*350</f>
        <v>0</v>
      </c>
      <c r="AR29" s="69">
        <v>0</v>
      </c>
      <c r="AS29" s="69">
        <f>AR29*350</f>
        <v>0</v>
      </c>
      <c r="AT29" s="69">
        <v>0</v>
      </c>
      <c r="AU29" s="69">
        <f>AT29*350</f>
        <v>0</v>
      </c>
      <c r="AV29" s="69">
        <v>0</v>
      </c>
      <c r="AW29" s="69">
        <f>AV29*350</f>
        <v>0</v>
      </c>
      <c r="AX29" s="69">
        <v>0</v>
      </c>
      <c r="AY29" s="69">
        <f>AX29*350</f>
        <v>0</v>
      </c>
      <c r="AZ29" s="69">
        <v>0</v>
      </c>
      <c r="BA29" s="69">
        <f>AZ29*350</f>
        <v>0</v>
      </c>
      <c r="BB29" s="69">
        <v>0</v>
      </c>
      <c r="BC29" s="69">
        <f>BB29*350</f>
        <v>0</v>
      </c>
      <c r="BD29" s="69">
        <v>0</v>
      </c>
      <c r="BE29" s="69">
        <f>BD29*350</f>
        <v>0</v>
      </c>
      <c r="BF29" s="69">
        <v>0</v>
      </c>
      <c r="BG29" s="69">
        <f>BF29*350</f>
        <v>0</v>
      </c>
      <c r="BH29" s="69">
        <v>0</v>
      </c>
      <c r="BI29" s="69">
        <f>BH29*350</f>
        <v>0</v>
      </c>
      <c r="BJ29" s="85">
        <f t="shared" si="24"/>
        <v>1000</v>
      </c>
      <c r="BK29" s="85">
        <f t="shared" si="24"/>
        <v>350000</v>
      </c>
      <c r="BL29" s="324" t="s">
        <v>467</v>
      </c>
      <c r="BN29" s="113">
        <v>0</v>
      </c>
      <c r="BO29" s="113">
        <f>G29</f>
        <v>350000</v>
      </c>
      <c r="BP29" s="113">
        <v>0</v>
      </c>
      <c r="BQ29" s="113">
        <v>0</v>
      </c>
      <c r="BR29" s="113">
        <f>BN29+BO29+BP29+BQ29</f>
        <v>350000</v>
      </c>
      <c r="BS29" s="113">
        <v>0</v>
      </c>
      <c r="BT29" s="113">
        <v>0</v>
      </c>
      <c r="BU29" s="113">
        <f>BS29+BT29</f>
        <v>0</v>
      </c>
      <c r="BV29" s="179">
        <f t="shared" si="1"/>
        <v>350000</v>
      </c>
    </row>
    <row r="30" spans="1:979" ht="24" customHeight="1" x14ac:dyDescent="0.25">
      <c r="A30" s="882"/>
      <c r="B30" s="563"/>
      <c r="C30" s="564"/>
      <c r="D30" s="139"/>
      <c r="E30" s="139"/>
      <c r="F30" s="139">
        <f t="shared" ref="F30:BK30" si="29">SUM(F27:F29)</f>
        <v>1540</v>
      </c>
      <c r="G30" s="139">
        <f t="shared" si="29"/>
        <v>1430000</v>
      </c>
      <c r="H30" s="139">
        <f t="shared" si="29"/>
        <v>286000</v>
      </c>
      <c r="I30" s="139">
        <f t="shared" si="29"/>
        <v>1144000</v>
      </c>
      <c r="J30" s="139">
        <f t="shared" si="29"/>
        <v>0</v>
      </c>
      <c r="K30" s="139">
        <f t="shared" si="29"/>
        <v>0</v>
      </c>
      <c r="L30" s="139">
        <f t="shared" si="29"/>
        <v>0</v>
      </c>
      <c r="M30" s="139">
        <f t="shared" si="29"/>
        <v>0</v>
      </c>
      <c r="N30" s="139">
        <f t="shared" si="29"/>
        <v>0</v>
      </c>
      <c r="O30" s="139">
        <f t="shared" si="29"/>
        <v>0</v>
      </c>
      <c r="P30" s="139">
        <f t="shared" si="29"/>
        <v>0</v>
      </c>
      <c r="Q30" s="139">
        <f t="shared" si="29"/>
        <v>0</v>
      </c>
      <c r="R30" s="468">
        <f t="shared" si="29"/>
        <v>154</v>
      </c>
      <c r="S30" s="468">
        <f t="shared" si="29"/>
        <v>385</v>
      </c>
      <c r="T30" s="468">
        <f t="shared" si="29"/>
        <v>539</v>
      </c>
      <c r="U30" s="468">
        <f t="shared" si="29"/>
        <v>462</v>
      </c>
      <c r="V30" s="139">
        <f t="shared" si="29"/>
        <v>143000</v>
      </c>
      <c r="W30" s="139">
        <f t="shared" si="29"/>
        <v>357500</v>
      </c>
      <c r="X30" s="139">
        <f t="shared" si="29"/>
        <v>500500</v>
      </c>
      <c r="Y30" s="139">
        <f t="shared" si="29"/>
        <v>429000</v>
      </c>
      <c r="Z30" s="139">
        <f t="shared" si="29"/>
        <v>30</v>
      </c>
      <c r="AA30" s="139">
        <f t="shared" si="29"/>
        <v>60000</v>
      </c>
      <c r="AB30" s="139">
        <f t="shared" si="29"/>
        <v>21</v>
      </c>
      <c r="AC30" s="139">
        <f t="shared" si="29"/>
        <v>42000</v>
      </c>
      <c r="AD30" s="139">
        <f t="shared" si="29"/>
        <v>30</v>
      </c>
      <c r="AE30" s="139">
        <f t="shared" si="29"/>
        <v>60000</v>
      </c>
      <c r="AF30" s="139">
        <f t="shared" si="29"/>
        <v>1051</v>
      </c>
      <c r="AG30" s="139">
        <f t="shared" si="29"/>
        <v>452000</v>
      </c>
      <c r="AH30" s="139">
        <f t="shared" si="29"/>
        <v>22</v>
      </c>
      <c r="AI30" s="139">
        <f t="shared" si="29"/>
        <v>44000</v>
      </c>
      <c r="AJ30" s="139">
        <f t="shared" si="29"/>
        <v>30</v>
      </c>
      <c r="AK30" s="139">
        <f t="shared" si="29"/>
        <v>60000</v>
      </c>
      <c r="AL30" s="139">
        <f t="shared" si="29"/>
        <v>22</v>
      </c>
      <c r="AM30" s="139">
        <f t="shared" si="29"/>
        <v>44000</v>
      </c>
      <c r="AN30" s="139">
        <f t="shared" si="29"/>
        <v>50</v>
      </c>
      <c r="AO30" s="139">
        <f t="shared" si="29"/>
        <v>100000</v>
      </c>
      <c r="AP30" s="139">
        <f t="shared" si="29"/>
        <v>6</v>
      </c>
      <c r="AQ30" s="139">
        <f t="shared" si="29"/>
        <v>12000</v>
      </c>
      <c r="AR30" s="139">
        <f t="shared" si="29"/>
        <v>28</v>
      </c>
      <c r="AS30" s="139">
        <f t="shared" si="29"/>
        <v>56000</v>
      </c>
      <c r="AT30" s="139">
        <f t="shared" si="29"/>
        <v>30</v>
      </c>
      <c r="AU30" s="139">
        <f t="shared" si="29"/>
        <v>60000</v>
      </c>
      <c r="AV30" s="139">
        <f t="shared" si="29"/>
        <v>30</v>
      </c>
      <c r="AW30" s="139">
        <f t="shared" si="29"/>
        <v>60000</v>
      </c>
      <c r="AX30" s="139">
        <f t="shared" si="29"/>
        <v>30</v>
      </c>
      <c r="AY30" s="139">
        <f t="shared" si="29"/>
        <v>60000</v>
      </c>
      <c r="AZ30" s="139">
        <f t="shared" si="29"/>
        <v>30</v>
      </c>
      <c r="BA30" s="139">
        <f t="shared" si="29"/>
        <v>60000</v>
      </c>
      <c r="BB30" s="139">
        <f t="shared" si="29"/>
        <v>40</v>
      </c>
      <c r="BC30" s="139">
        <f t="shared" si="29"/>
        <v>80000</v>
      </c>
      <c r="BD30" s="139">
        <f t="shared" si="29"/>
        <v>60</v>
      </c>
      <c r="BE30" s="139">
        <f t="shared" si="29"/>
        <v>120000</v>
      </c>
      <c r="BF30" s="139">
        <f t="shared" si="29"/>
        <v>30</v>
      </c>
      <c r="BG30" s="139">
        <f t="shared" si="29"/>
        <v>60000</v>
      </c>
      <c r="BH30" s="139">
        <f t="shared" si="29"/>
        <v>0</v>
      </c>
      <c r="BI30" s="139">
        <f t="shared" si="29"/>
        <v>0</v>
      </c>
      <c r="BJ30" s="139">
        <f t="shared" si="29"/>
        <v>1540</v>
      </c>
      <c r="BK30" s="139">
        <f t="shared" si="29"/>
        <v>1430000</v>
      </c>
      <c r="BL30" s="324"/>
      <c r="BN30" s="139">
        <f t="shared" ref="BN30:BU30" si="30">SUM(BN27:BN29)</f>
        <v>0</v>
      </c>
      <c r="BO30" s="139">
        <f t="shared" si="30"/>
        <v>1430000</v>
      </c>
      <c r="BP30" s="139">
        <f t="shared" si="30"/>
        <v>0</v>
      </c>
      <c r="BQ30" s="139">
        <f t="shared" si="30"/>
        <v>0</v>
      </c>
      <c r="BR30" s="139">
        <f t="shared" si="30"/>
        <v>1430000</v>
      </c>
      <c r="BS30" s="139">
        <f t="shared" si="30"/>
        <v>0</v>
      </c>
      <c r="BT30" s="139">
        <f t="shared" si="30"/>
        <v>0</v>
      </c>
      <c r="BU30" s="139">
        <f t="shared" si="30"/>
        <v>0</v>
      </c>
      <c r="BV30" s="474">
        <f t="shared" si="1"/>
        <v>1430000</v>
      </c>
    </row>
    <row r="31" spans="1:979" s="67" customFormat="1" ht="24" customHeight="1" x14ac:dyDescent="0.25">
      <c r="A31" s="882"/>
      <c r="B31" s="130"/>
      <c r="C31" s="128"/>
      <c r="D31" s="128"/>
      <c r="E31" s="70"/>
      <c r="F31" s="70">
        <f>F25+F30</f>
        <v>2409</v>
      </c>
      <c r="G31" s="70">
        <f t="shared" ref="G31:BL31" si="31">G25+G30</f>
        <v>2817000</v>
      </c>
      <c r="H31" s="70">
        <f t="shared" si="31"/>
        <v>563400</v>
      </c>
      <c r="I31" s="70">
        <f t="shared" si="31"/>
        <v>2253600</v>
      </c>
      <c r="J31" s="70">
        <f t="shared" si="31"/>
        <v>0</v>
      </c>
      <c r="K31" s="70">
        <f t="shared" si="31"/>
        <v>0</v>
      </c>
      <c r="L31" s="70">
        <f t="shared" si="31"/>
        <v>0</v>
      </c>
      <c r="M31" s="70">
        <f t="shared" si="31"/>
        <v>0</v>
      </c>
      <c r="N31" s="70">
        <f t="shared" si="31"/>
        <v>0</v>
      </c>
      <c r="O31" s="70">
        <f t="shared" si="31"/>
        <v>0</v>
      </c>
      <c r="P31" s="70">
        <f t="shared" si="31"/>
        <v>0</v>
      </c>
      <c r="Q31" s="70">
        <f t="shared" si="31"/>
        <v>0</v>
      </c>
      <c r="R31" s="154">
        <f t="shared" si="31"/>
        <v>240.9</v>
      </c>
      <c r="S31" s="154">
        <f t="shared" si="31"/>
        <v>602.25</v>
      </c>
      <c r="T31" s="154">
        <f t="shared" si="31"/>
        <v>843.15</v>
      </c>
      <c r="U31" s="154">
        <f t="shared" si="31"/>
        <v>722.7</v>
      </c>
      <c r="V31" s="70">
        <f t="shared" si="31"/>
        <v>281700</v>
      </c>
      <c r="W31" s="70">
        <f t="shared" si="31"/>
        <v>704250</v>
      </c>
      <c r="X31" s="70">
        <f t="shared" si="31"/>
        <v>985950</v>
      </c>
      <c r="Y31" s="70">
        <f t="shared" si="31"/>
        <v>845100</v>
      </c>
      <c r="Z31" s="70">
        <f t="shared" si="31"/>
        <v>120</v>
      </c>
      <c r="AA31" s="70">
        <f t="shared" si="31"/>
        <v>162000</v>
      </c>
      <c r="AB31" s="70">
        <f t="shared" si="31"/>
        <v>72</v>
      </c>
      <c r="AC31" s="70">
        <f t="shared" si="31"/>
        <v>105000</v>
      </c>
      <c r="AD31" s="70">
        <f t="shared" si="31"/>
        <v>120</v>
      </c>
      <c r="AE31" s="70">
        <f t="shared" si="31"/>
        <v>162000</v>
      </c>
      <c r="AF31" s="70">
        <f t="shared" si="31"/>
        <v>1222</v>
      </c>
      <c r="AG31" s="70">
        <f t="shared" si="31"/>
        <v>638000</v>
      </c>
      <c r="AH31" s="70">
        <f t="shared" si="31"/>
        <v>44</v>
      </c>
      <c r="AI31" s="70">
        <f t="shared" si="31"/>
        <v>88000</v>
      </c>
      <c r="AJ31" s="70">
        <f t="shared" si="31"/>
        <v>60</v>
      </c>
      <c r="AK31" s="70">
        <f t="shared" si="31"/>
        <v>120000</v>
      </c>
      <c r="AL31" s="70">
        <f t="shared" si="31"/>
        <v>44</v>
      </c>
      <c r="AM31" s="70">
        <f t="shared" si="31"/>
        <v>88000</v>
      </c>
      <c r="AN31" s="70">
        <f t="shared" si="31"/>
        <v>90</v>
      </c>
      <c r="AO31" s="70">
        <f t="shared" si="31"/>
        <v>180000</v>
      </c>
      <c r="AP31" s="70">
        <f t="shared" si="31"/>
        <v>12</v>
      </c>
      <c r="AQ31" s="70">
        <f t="shared" si="31"/>
        <v>24000</v>
      </c>
      <c r="AR31" s="70">
        <f t="shared" si="31"/>
        <v>60</v>
      </c>
      <c r="AS31" s="70">
        <f t="shared" si="31"/>
        <v>120000</v>
      </c>
      <c r="AT31" s="70">
        <f t="shared" si="31"/>
        <v>60</v>
      </c>
      <c r="AU31" s="70">
        <f t="shared" si="31"/>
        <v>120000</v>
      </c>
      <c r="AV31" s="70">
        <f t="shared" si="31"/>
        <v>60</v>
      </c>
      <c r="AW31" s="70">
        <f t="shared" si="31"/>
        <v>120000</v>
      </c>
      <c r="AX31" s="70">
        <f t="shared" si="31"/>
        <v>60</v>
      </c>
      <c r="AY31" s="70">
        <f t="shared" si="31"/>
        <v>120000</v>
      </c>
      <c r="AZ31" s="70">
        <f t="shared" si="31"/>
        <v>60</v>
      </c>
      <c r="BA31" s="70">
        <f t="shared" si="31"/>
        <v>120000</v>
      </c>
      <c r="BB31" s="70">
        <f t="shared" si="31"/>
        <v>85</v>
      </c>
      <c r="BC31" s="70">
        <f t="shared" si="31"/>
        <v>170000</v>
      </c>
      <c r="BD31" s="70">
        <f t="shared" si="31"/>
        <v>120</v>
      </c>
      <c r="BE31" s="70">
        <f t="shared" si="31"/>
        <v>240000</v>
      </c>
      <c r="BF31" s="70">
        <f t="shared" si="31"/>
        <v>60</v>
      </c>
      <c r="BG31" s="70">
        <f t="shared" si="31"/>
        <v>120000</v>
      </c>
      <c r="BH31" s="70">
        <f t="shared" si="31"/>
        <v>60</v>
      </c>
      <c r="BI31" s="70">
        <f t="shared" si="31"/>
        <v>120000</v>
      </c>
      <c r="BJ31" s="70">
        <f t="shared" si="31"/>
        <v>2409</v>
      </c>
      <c r="BK31" s="70">
        <f t="shared" si="31"/>
        <v>2817000</v>
      </c>
      <c r="BL31" s="70">
        <f t="shared" si="31"/>
        <v>0</v>
      </c>
      <c r="BM31" s="291"/>
      <c r="BN31" s="70">
        <f t="shared" ref="BN31:BV31" si="32">BN25+BN30</f>
        <v>0</v>
      </c>
      <c r="BO31" s="70">
        <f t="shared" si="32"/>
        <v>2817000</v>
      </c>
      <c r="BP31" s="70">
        <f t="shared" si="32"/>
        <v>0</v>
      </c>
      <c r="BQ31" s="70">
        <f t="shared" si="32"/>
        <v>0</v>
      </c>
      <c r="BR31" s="70">
        <f t="shared" si="32"/>
        <v>2817000</v>
      </c>
      <c r="BS31" s="70">
        <f t="shared" si="32"/>
        <v>0</v>
      </c>
      <c r="BT31" s="70">
        <f t="shared" si="32"/>
        <v>0</v>
      </c>
      <c r="BU31" s="70">
        <f t="shared" si="32"/>
        <v>0</v>
      </c>
      <c r="BV31" s="70">
        <f t="shared" si="32"/>
        <v>2817000</v>
      </c>
    </row>
    <row r="32" spans="1:979" ht="24" customHeight="1" x14ac:dyDescent="0.25">
      <c r="A32" s="882"/>
      <c r="B32" s="443">
        <v>12300</v>
      </c>
      <c r="C32" s="562" t="s">
        <v>114</v>
      </c>
      <c r="D32" s="167"/>
      <c r="E32" s="167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153"/>
      <c r="S32" s="153"/>
      <c r="T32" s="153"/>
      <c r="U32" s="153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47"/>
      <c r="BN32" s="113"/>
      <c r="BO32" s="113"/>
      <c r="BP32" s="113"/>
      <c r="BQ32" s="113"/>
      <c r="BR32" s="113"/>
      <c r="BS32" s="113"/>
      <c r="BT32" s="113"/>
      <c r="BU32" s="113"/>
      <c r="BV32" s="179">
        <f t="shared" si="1"/>
        <v>0</v>
      </c>
    </row>
    <row r="33" spans="1:979" ht="33" customHeight="1" x14ac:dyDescent="0.25">
      <c r="A33" s="882"/>
      <c r="B33" s="443">
        <v>12310</v>
      </c>
      <c r="C33" s="167" t="s">
        <v>814</v>
      </c>
      <c r="D33" s="167"/>
      <c r="E33" s="167"/>
      <c r="F33" s="167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153"/>
      <c r="S33" s="153"/>
      <c r="T33" s="153"/>
      <c r="U33" s="153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47"/>
      <c r="BN33" s="113"/>
      <c r="BO33" s="113"/>
      <c r="BP33" s="113"/>
      <c r="BQ33" s="113"/>
      <c r="BR33" s="113"/>
      <c r="BS33" s="113"/>
      <c r="BT33" s="113"/>
      <c r="BU33" s="113"/>
      <c r="BV33" s="179">
        <f t="shared" si="1"/>
        <v>0</v>
      </c>
    </row>
    <row r="34" spans="1:979" ht="31.5" x14ac:dyDescent="0.25">
      <c r="A34" s="882"/>
      <c r="B34" s="166"/>
      <c r="C34" s="642" t="s">
        <v>860</v>
      </c>
      <c r="D34" s="167" t="s">
        <v>17</v>
      </c>
      <c r="E34" s="167">
        <f>1.02*100000</f>
        <v>102000</v>
      </c>
      <c r="F34" s="69">
        <f>BJ34</f>
        <v>0</v>
      </c>
      <c r="G34" s="69">
        <f t="shared" ref="G34:G42" si="33">E34*F34</f>
        <v>0</v>
      </c>
      <c r="H34" s="69">
        <f>G34*0.2</f>
        <v>0</v>
      </c>
      <c r="I34" s="69">
        <f>G34*0.8</f>
        <v>0</v>
      </c>
      <c r="J34" s="69">
        <f>G34*0</f>
        <v>0</v>
      </c>
      <c r="K34" s="69">
        <f>G34*0</f>
        <v>0</v>
      </c>
      <c r="L34" s="69">
        <f>G34*0</f>
        <v>0</v>
      </c>
      <c r="M34" s="69">
        <f>G34*0</f>
        <v>0</v>
      </c>
      <c r="N34" s="69">
        <f>G34*0</f>
        <v>0</v>
      </c>
      <c r="O34" s="69">
        <f>G34*0</f>
        <v>0</v>
      </c>
      <c r="P34" s="69">
        <f>G34*0</f>
        <v>0</v>
      </c>
      <c r="Q34" s="69">
        <f>G34*0</f>
        <v>0</v>
      </c>
      <c r="R34" s="153">
        <f t="shared" ref="R34" si="34">F34*0.1</f>
        <v>0</v>
      </c>
      <c r="S34" s="153">
        <f t="shared" ref="S34" si="35">F34*0.25</f>
        <v>0</v>
      </c>
      <c r="T34" s="153">
        <f t="shared" ref="T34" si="36">F34*0.35</f>
        <v>0</v>
      </c>
      <c r="U34" s="153">
        <f t="shared" ref="U34" si="37">F34*0.3</f>
        <v>0</v>
      </c>
      <c r="V34" s="69">
        <f t="shared" ref="V34:V42" si="38">R34*E34</f>
        <v>0</v>
      </c>
      <c r="W34" s="69">
        <f t="shared" ref="W34:W42" si="39">S34*E34</f>
        <v>0</v>
      </c>
      <c r="X34" s="69">
        <f t="shared" ref="X34:X42" si="40">T34*E34</f>
        <v>0</v>
      </c>
      <c r="Y34" s="69">
        <f t="shared" ref="Y34:Y42" si="41">U34*E34</f>
        <v>0</v>
      </c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167">
        <v>0</v>
      </c>
      <c r="BI34" s="69">
        <v>0</v>
      </c>
      <c r="BJ34" s="85">
        <f t="shared" ref="BJ34:BK42" si="42">Z34+AB34+AD34+AF34+AH34+AJ34+AL34+AN34+AP34+AR34+AT34+AV34+AX34+AZ34+BB34+BD34+BF34+BH34</f>
        <v>0</v>
      </c>
      <c r="BK34" s="85">
        <f t="shared" si="42"/>
        <v>0</v>
      </c>
      <c r="BL34" s="324" t="s">
        <v>467</v>
      </c>
      <c r="BN34" s="113"/>
      <c r="BO34" s="113"/>
      <c r="BP34" s="113">
        <f>G34</f>
        <v>0</v>
      </c>
      <c r="BQ34" s="113"/>
      <c r="BR34" s="113">
        <f t="shared" ref="BR34:BR42" si="43">BN34+BO34+BP34+BQ34</f>
        <v>0</v>
      </c>
      <c r="BS34" s="113"/>
      <c r="BT34" s="113"/>
      <c r="BU34" s="113"/>
      <c r="BV34" s="179">
        <f t="shared" si="1"/>
        <v>0</v>
      </c>
    </row>
    <row r="35" spans="1:979" ht="37.5" customHeight="1" x14ac:dyDescent="0.25">
      <c r="A35" s="882"/>
      <c r="B35" s="166"/>
      <c r="C35" s="562" t="s">
        <v>777</v>
      </c>
      <c r="D35" s="167"/>
      <c r="E35" s="167"/>
      <c r="F35" s="167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153">
        <f t="shared" ref="R35:R42" si="44">F35*0.1</f>
        <v>0</v>
      </c>
      <c r="S35" s="153">
        <f t="shared" ref="S35:S42" si="45">F35*0.25</f>
        <v>0</v>
      </c>
      <c r="T35" s="153">
        <f t="shared" ref="T35:T42" si="46">F35*0.35</f>
        <v>0</v>
      </c>
      <c r="U35" s="153">
        <f t="shared" ref="U35:U42" si="47">F35*0.3</f>
        <v>0</v>
      </c>
      <c r="V35" s="69">
        <f t="shared" si="38"/>
        <v>0</v>
      </c>
      <c r="W35" s="69">
        <f t="shared" si="39"/>
        <v>0</v>
      </c>
      <c r="X35" s="69">
        <f t="shared" si="40"/>
        <v>0</v>
      </c>
      <c r="Y35" s="69">
        <f t="shared" si="41"/>
        <v>0</v>
      </c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47"/>
      <c r="BN35" s="113"/>
      <c r="BO35" s="113"/>
      <c r="BP35" s="113"/>
      <c r="BQ35" s="113"/>
      <c r="BR35" s="113"/>
      <c r="BS35" s="113"/>
      <c r="BT35" s="113"/>
      <c r="BU35" s="113"/>
      <c r="BV35" s="179">
        <f t="shared" si="1"/>
        <v>0</v>
      </c>
    </row>
    <row r="36" spans="1:979" ht="36.75" customHeight="1" x14ac:dyDescent="0.25">
      <c r="A36" s="882"/>
      <c r="B36" s="166"/>
      <c r="C36" s="167" t="s">
        <v>816</v>
      </c>
      <c r="D36" s="167" t="s">
        <v>120</v>
      </c>
      <c r="E36" s="167">
        <f>0.01*100000</f>
        <v>1000</v>
      </c>
      <c r="F36" s="69">
        <f>BJ36</f>
        <v>400</v>
      </c>
      <c r="G36" s="125">
        <f t="shared" si="33"/>
        <v>400000</v>
      </c>
      <c r="H36" s="69">
        <f>G36*0.2</f>
        <v>80000</v>
      </c>
      <c r="I36" s="69">
        <f>G36*0.8</f>
        <v>320000</v>
      </c>
      <c r="J36" s="69">
        <f t="shared" ref="J36:J42" si="48">G36*0</f>
        <v>0</v>
      </c>
      <c r="K36" s="69">
        <f t="shared" ref="K36:K42" si="49">G36*0</f>
        <v>0</v>
      </c>
      <c r="L36" s="69">
        <f t="shared" ref="L36:L42" si="50">G36*0</f>
        <v>0</v>
      </c>
      <c r="M36" s="69">
        <f t="shared" ref="M36:M42" si="51">G36*0</f>
        <v>0</v>
      </c>
      <c r="N36" s="69">
        <f t="shared" ref="N36:N42" si="52">G36*0</f>
        <v>0</v>
      </c>
      <c r="O36" s="69">
        <f t="shared" ref="O36:O42" si="53">G36*0</f>
        <v>0</v>
      </c>
      <c r="P36" s="69">
        <f t="shared" ref="P36:P42" si="54">G36*0</f>
        <v>0</v>
      </c>
      <c r="Q36" s="69">
        <f t="shared" ref="Q36:Q42" si="55">G36*0</f>
        <v>0</v>
      </c>
      <c r="R36" s="153">
        <f t="shared" si="44"/>
        <v>40</v>
      </c>
      <c r="S36" s="153">
        <f t="shared" si="45"/>
        <v>100</v>
      </c>
      <c r="T36" s="153">
        <f t="shared" si="46"/>
        <v>140</v>
      </c>
      <c r="U36" s="153">
        <f t="shared" si="47"/>
        <v>120</v>
      </c>
      <c r="V36" s="69">
        <f t="shared" si="38"/>
        <v>40000</v>
      </c>
      <c r="W36" s="69">
        <f t="shared" si="39"/>
        <v>100000</v>
      </c>
      <c r="X36" s="69">
        <f t="shared" si="40"/>
        <v>140000</v>
      </c>
      <c r="Y36" s="69">
        <f t="shared" si="41"/>
        <v>120000</v>
      </c>
      <c r="Z36" s="69">
        <v>20</v>
      </c>
      <c r="AA36" s="69">
        <f>Z36*E36</f>
        <v>20000</v>
      </c>
      <c r="AB36" s="69">
        <v>15</v>
      </c>
      <c r="AC36" s="69">
        <f>AB36*E36</f>
        <v>15000</v>
      </c>
      <c r="AD36" s="69">
        <v>20</v>
      </c>
      <c r="AE36" s="69">
        <f>AD36*E36</f>
        <v>20000</v>
      </c>
      <c r="AF36" s="69">
        <v>25</v>
      </c>
      <c r="AG36" s="69">
        <f>AF36*E36</f>
        <v>25000</v>
      </c>
      <c r="AH36" s="69">
        <v>10</v>
      </c>
      <c r="AI36" s="69">
        <f>AH36*E36</f>
        <v>10000</v>
      </c>
      <c r="AJ36" s="69">
        <v>20</v>
      </c>
      <c r="AK36" s="69">
        <f>AJ36*E36</f>
        <v>20000</v>
      </c>
      <c r="AL36" s="69">
        <v>25</v>
      </c>
      <c r="AM36" s="69">
        <f>AL36*E36</f>
        <v>25000</v>
      </c>
      <c r="AN36" s="69">
        <v>40</v>
      </c>
      <c r="AO36" s="69">
        <f>AN36*E36</f>
        <v>40000</v>
      </c>
      <c r="AP36" s="69">
        <v>10</v>
      </c>
      <c r="AQ36" s="69">
        <f>AP36*E36</f>
        <v>10000</v>
      </c>
      <c r="AR36" s="69">
        <v>15</v>
      </c>
      <c r="AS36" s="69">
        <f>AR36*E36</f>
        <v>15000</v>
      </c>
      <c r="AT36" s="69">
        <v>30</v>
      </c>
      <c r="AU36" s="69">
        <f>AT36*E36</f>
        <v>30000</v>
      </c>
      <c r="AV36" s="69">
        <v>25</v>
      </c>
      <c r="AW36" s="69">
        <f>AV36*E36</f>
        <v>25000</v>
      </c>
      <c r="AX36" s="69">
        <v>0</v>
      </c>
      <c r="AY36" s="69">
        <f>AX36*E36</f>
        <v>0</v>
      </c>
      <c r="AZ36" s="69">
        <v>40</v>
      </c>
      <c r="BA36" s="69">
        <f>AZ36*E36</f>
        <v>40000</v>
      </c>
      <c r="BB36" s="69">
        <v>15</v>
      </c>
      <c r="BC36" s="69">
        <f>BB36*E36</f>
        <v>15000</v>
      </c>
      <c r="BD36" s="69">
        <v>60</v>
      </c>
      <c r="BE36" s="69">
        <f>BD36*E36</f>
        <v>60000</v>
      </c>
      <c r="BF36" s="69">
        <v>30</v>
      </c>
      <c r="BG36" s="69">
        <f>BF36*E36</f>
        <v>30000</v>
      </c>
      <c r="BH36" s="69">
        <v>0</v>
      </c>
      <c r="BI36" s="69">
        <f>BH36*1000</f>
        <v>0</v>
      </c>
      <c r="BJ36" s="85">
        <f t="shared" si="42"/>
        <v>400</v>
      </c>
      <c r="BK36" s="85">
        <f t="shared" si="42"/>
        <v>400000</v>
      </c>
      <c r="BL36" s="324" t="s">
        <v>467</v>
      </c>
      <c r="BN36" s="113"/>
      <c r="BO36" s="113">
        <f t="shared" ref="BO36:BO42" si="56">G36</f>
        <v>400000</v>
      </c>
      <c r="BP36" s="113"/>
      <c r="BQ36" s="113"/>
      <c r="BR36" s="113">
        <f t="shared" si="43"/>
        <v>400000</v>
      </c>
      <c r="BS36" s="113"/>
      <c r="BT36" s="113"/>
      <c r="BU36" s="113"/>
      <c r="BV36" s="179">
        <f t="shared" si="1"/>
        <v>400000</v>
      </c>
    </row>
    <row r="37" spans="1:979" ht="45" customHeight="1" x14ac:dyDescent="0.25">
      <c r="A37" s="882"/>
      <c r="B37" s="166"/>
      <c r="C37" s="167" t="s">
        <v>115</v>
      </c>
      <c r="D37" s="167" t="s">
        <v>120</v>
      </c>
      <c r="E37" s="167">
        <f>0.01*100000</f>
        <v>1000</v>
      </c>
      <c r="F37" s="69">
        <f t="shared" ref="F37:F42" si="57">BJ37</f>
        <v>120</v>
      </c>
      <c r="G37" s="69">
        <f t="shared" si="33"/>
        <v>120000</v>
      </c>
      <c r="H37" s="69">
        <f t="shared" ref="H37:H42" si="58">G37*0.2</f>
        <v>24000</v>
      </c>
      <c r="I37" s="69">
        <f t="shared" ref="I37:I42" si="59">G37*0.8</f>
        <v>96000</v>
      </c>
      <c r="J37" s="69">
        <f t="shared" si="48"/>
        <v>0</v>
      </c>
      <c r="K37" s="69">
        <f t="shared" si="49"/>
        <v>0</v>
      </c>
      <c r="L37" s="69">
        <f t="shared" si="50"/>
        <v>0</v>
      </c>
      <c r="M37" s="69">
        <f t="shared" si="51"/>
        <v>0</v>
      </c>
      <c r="N37" s="69">
        <f t="shared" si="52"/>
        <v>0</v>
      </c>
      <c r="O37" s="69">
        <f t="shared" si="53"/>
        <v>0</v>
      </c>
      <c r="P37" s="69">
        <f t="shared" si="54"/>
        <v>0</v>
      </c>
      <c r="Q37" s="69">
        <f t="shared" si="55"/>
        <v>0</v>
      </c>
      <c r="R37" s="153">
        <f t="shared" si="44"/>
        <v>12</v>
      </c>
      <c r="S37" s="153">
        <f t="shared" si="45"/>
        <v>30</v>
      </c>
      <c r="T37" s="153">
        <f t="shared" si="46"/>
        <v>42</v>
      </c>
      <c r="U37" s="153">
        <f t="shared" si="47"/>
        <v>36</v>
      </c>
      <c r="V37" s="69">
        <f t="shared" si="38"/>
        <v>12000</v>
      </c>
      <c r="W37" s="69">
        <f t="shared" si="39"/>
        <v>30000</v>
      </c>
      <c r="X37" s="69">
        <f t="shared" si="40"/>
        <v>42000</v>
      </c>
      <c r="Y37" s="69">
        <f t="shared" si="41"/>
        <v>36000</v>
      </c>
      <c r="Z37" s="69">
        <v>6</v>
      </c>
      <c r="AA37" s="69">
        <f>Z37*1000</f>
        <v>6000</v>
      </c>
      <c r="AB37" s="69">
        <v>5</v>
      </c>
      <c r="AC37" s="69">
        <f>AB37*1000</f>
        <v>5000</v>
      </c>
      <c r="AD37" s="69">
        <v>6</v>
      </c>
      <c r="AE37" s="69">
        <f>AD37*1000</f>
        <v>6000</v>
      </c>
      <c r="AF37" s="69">
        <v>5</v>
      </c>
      <c r="AG37" s="69">
        <f>AF37*1000</f>
        <v>5000</v>
      </c>
      <c r="AH37" s="69">
        <v>3</v>
      </c>
      <c r="AI37" s="69">
        <f>AH37*1000</f>
        <v>3000</v>
      </c>
      <c r="AJ37" s="69">
        <v>6</v>
      </c>
      <c r="AK37" s="69">
        <f>AJ37*1000</f>
        <v>6000</v>
      </c>
      <c r="AL37" s="69">
        <v>8</v>
      </c>
      <c r="AM37" s="69">
        <f>AL37*1000</f>
        <v>8000</v>
      </c>
      <c r="AN37" s="69">
        <v>12</v>
      </c>
      <c r="AO37" s="69">
        <f>AN37*1000</f>
        <v>12000</v>
      </c>
      <c r="AP37" s="69">
        <v>3</v>
      </c>
      <c r="AQ37" s="69">
        <f>AP37*1000</f>
        <v>3000</v>
      </c>
      <c r="AR37" s="69">
        <v>5</v>
      </c>
      <c r="AS37" s="69">
        <f>AR37*1000</f>
        <v>5000</v>
      </c>
      <c r="AT37" s="69">
        <v>9</v>
      </c>
      <c r="AU37" s="69">
        <f>AT37*1000</f>
        <v>9000</v>
      </c>
      <c r="AV37" s="69">
        <v>8</v>
      </c>
      <c r="AW37" s="69">
        <f>AV37*1000</f>
        <v>8000</v>
      </c>
      <c r="AX37" s="69">
        <v>0</v>
      </c>
      <c r="AY37" s="69">
        <f>AX37*1000</f>
        <v>0</v>
      </c>
      <c r="AZ37" s="69">
        <v>12</v>
      </c>
      <c r="BA37" s="69">
        <f>AZ37*1000</f>
        <v>12000</v>
      </c>
      <c r="BB37" s="69">
        <v>5</v>
      </c>
      <c r="BC37" s="69">
        <f>BB37*1000</f>
        <v>5000</v>
      </c>
      <c r="BD37" s="69">
        <v>18</v>
      </c>
      <c r="BE37" s="69">
        <f>BD37*1000</f>
        <v>18000</v>
      </c>
      <c r="BF37" s="69">
        <v>9</v>
      </c>
      <c r="BG37" s="69">
        <f>BF37*1000</f>
        <v>9000</v>
      </c>
      <c r="BH37" s="69">
        <v>0</v>
      </c>
      <c r="BI37" s="69">
        <f>BH37*1000</f>
        <v>0</v>
      </c>
      <c r="BJ37" s="85">
        <f t="shared" si="42"/>
        <v>120</v>
      </c>
      <c r="BK37" s="85">
        <f t="shared" si="42"/>
        <v>120000</v>
      </c>
      <c r="BL37" s="324" t="s">
        <v>467</v>
      </c>
      <c r="BN37" s="113"/>
      <c r="BO37" s="113">
        <f t="shared" si="56"/>
        <v>120000</v>
      </c>
      <c r="BP37" s="113"/>
      <c r="BQ37" s="113"/>
      <c r="BR37" s="113">
        <f t="shared" si="43"/>
        <v>120000</v>
      </c>
      <c r="BS37" s="113"/>
      <c r="BT37" s="113"/>
      <c r="BU37" s="113"/>
      <c r="BV37" s="179">
        <f t="shared" si="1"/>
        <v>120000</v>
      </c>
    </row>
    <row r="38" spans="1:979" ht="42" customHeight="1" x14ac:dyDescent="0.25">
      <c r="A38" s="882"/>
      <c r="B38" s="166"/>
      <c r="C38" s="167" t="s">
        <v>116</v>
      </c>
      <c r="D38" s="167" t="s">
        <v>121</v>
      </c>
      <c r="E38" s="167">
        <f>0.5*100000</f>
        <v>50000</v>
      </c>
      <c r="F38" s="69">
        <f t="shared" si="57"/>
        <v>0</v>
      </c>
      <c r="G38" s="69">
        <f t="shared" si="33"/>
        <v>0</v>
      </c>
      <c r="H38" s="69">
        <f t="shared" si="58"/>
        <v>0</v>
      </c>
      <c r="I38" s="69">
        <f t="shared" si="59"/>
        <v>0</v>
      </c>
      <c r="J38" s="69">
        <f t="shared" si="48"/>
        <v>0</v>
      </c>
      <c r="K38" s="69">
        <f t="shared" si="49"/>
        <v>0</v>
      </c>
      <c r="L38" s="69">
        <f t="shared" si="50"/>
        <v>0</v>
      </c>
      <c r="M38" s="69">
        <f t="shared" si="51"/>
        <v>0</v>
      </c>
      <c r="N38" s="69">
        <f t="shared" si="52"/>
        <v>0</v>
      </c>
      <c r="O38" s="69">
        <f t="shared" si="53"/>
        <v>0</v>
      </c>
      <c r="P38" s="69">
        <f t="shared" si="54"/>
        <v>0</v>
      </c>
      <c r="Q38" s="69">
        <f t="shared" si="55"/>
        <v>0</v>
      </c>
      <c r="R38" s="153">
        <f t="shared" si="44"/>
        <v>0</v>
      </c>
      <c r="S38" s="153">
        <f t="shared" si="45"/>
        <v>0</v>
      </c>
      <c r="T38" s="153">
        <f t="shared" si="46"/>
        <v>0</v>
      </c>
      <c r="U38" s="153">
        <f t="shared" si="47"/>
        <v>0</v>
      </c>
      <c r="V38" s="69">
        <f t="shared" si="38"/>
        <v>0</v>
      </c>
      <c r="W38" s="69">
        <f t="shared" si="39"/>
        <v>0</v>
      </c>
      <c r="X38" s="69">
        <f t="shared" si="40"/>
        <v>0</v>
      </c>
      <c r="Y38" s="69">
        <f t="shared" si="41"/>
        <v>0</v>
      </c>
      <c r="Z38" s="69">
        <v>0</v>
      </c>
      <c r="AA38" s="69">
        <f>Z38*50000</f>
        <v>0</v>
      </c>
      <c r="AB38" s="69">
        <v>0</v>
      </c>
      <c r="AC38" s="69">
        <f>AB38*50000</f>
        <v>0</v>
      </c>
      <c r="AD38" s="69">
        <v>0</v>
      </c>
      <c r="AE38" s="69">
        <f>AD38*50000</f>
        <v>0</v>
      </c>
      <c r="AF38" s="69">
        <v>0</v>
      </c>
      <c r="AG38" s="69">
        <f>AF38*50000</f>
        <v>0</v>
      </c>
      <c r="AH38" s="69">
        <v>0</v>
      </c>
      <c r="AI38" s="69">
        <f>AH38*50000</f>
        <v>0</v>
      </c>
      <c r="AJ38" s="69">
        <v>0</v>
      </c>
      <c r="AK38" s="69">
        <f>AJ38*50000</f>
        <v>0</v>
      </c>
      <c r="AL38" s="69">
        <v>0</v>
      </c>
      <c r="AM38" s="69">
        <f>AL38*50000</f>
        <v>0</v>
      </c>
      <c r="AN38" s="69">
        <v>0</v>
      </c>
      <c r="AO38" s="69">
        <f>AN38*50000</f>
        <v>0</v>
      </c>
      <c r="AP38" s="69">
        <v>0</v>
      </c>
      <c r="AQ38" s="69">
        <f>AP38*50000</f>
        <v>0</v>
      </c>
      <c r="AR38" s="69">
        <v>0</v>
      </c>
      <c r="AS38" s="69">
        <f>AR38*50000</f>
        <v>0</v>
      </c>
      <c r="AT38" s="69">
        <v>0</v>
      </c>
      <c r="AU38" s="69">
        <f>AT38*50000</f>
        <v>0</v>
      </c>
      <c r="AV38" s="69">
        <v>0</v>
      </c>
      <c r="AW38" s="69">
        <f>AV38*50000</f>
        <v>0</v>
      </c>
      <c r="AX38" s="69">
        <v>0</v>
      </c>
      <c r="AY38" s="69">
        <f>AX38*50000</f>
        <v>0</v>
      </c>
      <c r="AZ38" s="69">
        <v>0</v>
      </c>
      <c r="BA38" s="69">
        <f>AZ38*50000</f>
        <v>0</v>
      </c>
      <c r="BB38" s="69">
        <v>0</v>
      </c>
      <c r="BC38" s="69">
        <f>BB38*50000</f>
        <v>0</v>
      </c>
      <c r="BD38" s="69">
        <v>0</v>
      </c>
      <c r="BE38" s="69">
        <f>BD38*50000</f>
        <v>0</v>
      </c>
      <c r="BF38" s="69">
        <v>0</v>
      </c>
      <c r="BG38" s="69">
        <f>BF38*50000</f>
        <v>0</v>
      </c>
      <c r="BH38" s="69">
        <v>0</v>
      </c>
      <c r="BI38" s="69">
        <f>BH38*50000</f>
        <v>0</v>
      </c>
      <c r="BJ38" s="85">
        <f t="shared" si="42"/>
        <v>0</v>
      </c>
      <c r="BK38" s="85">
        <f t="shared" si="42"/>
        <v>0</v>
      </c>
      <c r="BL38" s="324" t="s">
        <v>467</v>
      </c>
      <c r="BN38" s="113"/>
      <c r="BO38" s="113">
        <f t="shared" si="56"/>
        <v>0</v>
      </c>
      <c r="BP38" s="113"/>
      <c r="BQ38" s="113"/>
      <c r="BR38" s="113">
        <f t="shared" si="43"/>
        <v>0</v>
      </c>
      <c r="BS38" s="113"/>
      <c r="BT38" s="113"/>
      <c r="BU38" s="113"/>
      <c r="BV38" s="179">
        <f t="shared" si="1"/>
        <v>0</v>
      </c>
    </row>
    <row r="39" spans="1:979" s="67" customFormat="1" ht="24" customHeight="1" x14ac:dyDescent="0.25">
      <c r="A39" s="882"/>
      <c r="B39" s="166"/>
      <c r="C39" s="167" t="s">
        <v>117</v>
      </c>
      <c r="D39" s="167" t="s">
        <v>121</v>
      </c>
      <c r="E39" s="167">
        <f>0.05*100000</f>
        <v>5000</v>
      </c>
      <c r="F39" s="69">
        <f t="shared" si="57"/>
        <v>0</v>
      </c>
      <c r="G39" s="69">
        <f t="shared" si="33"/>
        <v>0</v>
      </c>
      <c r="H39" s="69">
        <f t="shared" si="58"/>
        <v>0</v>
      </c>
      <c r="I39" s="69">
        <f t="shared" si="59"/>
        <v>0</v>
      </c>
      <c r="J39" s="69">
        <f t="shared" si="48"/>
        <v>0</v>
      </c>
      <c r="K39" s="69">
        <f t="shared" si="49"/>
        <v>0</v>
      </c>
      <c r="L39" s="69">
        <f t="shared" si="50"/>
        <v>0</v>
      </c>
      <c r="M39" s="69">
        <f t="shared" si="51"/>
        <v>0</v>
      </c>
      <c r="N39" s="69">
        <f t="shared" si="52"/>
        <v>0</v>
      </c>
      <c r="O39" s="69">
        <f t="shared" si="53"/>
        <v>0</v>
      </c>
      <c r="P39" s="69">
        <f t="shared" si="54"/>
        <v>0</v>
      </c>
      <c r="Q39" s="69">
        <f t="shared" si="55"/>
        <v>0</v>
      </c>
      <c r="R39" s="153">
        <f t="shared" si="44"/>
        <v>0</v>
      </c>
      <c r="S39" s="153">
        <f t="shared" si="45"/>
        <v>0</v>
      </c>
      <c r="T39" s="153">
        <f t="shared" si="46"/>
        <v>0</v>
      </c>
      <c r="U39" s="153">
        <f t="shared" si="47"/>
        <v>0</v>
      </c>
      <c r="V39" s="69">
        <f t="shared" si="38"/>
        <v>0</v>
      </c>
      <c r="W39" s="69">
        <f t="shared" si="39"/>
        <v>0</v>
      </c>
      <c r="X39" s="69">
        <f t="shared" si="40"/>
        <v>0</v>
      </c>
      <c r="Y39" s="69">
        <f t="shared" si="41"/>
        <v>0</v>
      </c>
      <c r="Z39" s="85">
        <v>0</v>
      </c>
      <c r="AA39" s="69">
        <f>Z39*5000</f>
        <v>0</v>
      </c>
      <c r="AB39" s="85">
        <v>0</v>
      </c>
      <c r="AC39" s="69">
        <f>AB39*5000</f>
        <v>0</v>
      </c>
      <c r="AD39" s="85">
        <v>0</v>
      </c>
      <c r="AE39" s="69">
        <f>AD39*5000</f>
        <v>0</v>
      </c>
      <c r="AF39" s="85">
        <v>0</v>
      </c>
      <c r="AG39" s="69">
        <f>AF39*5000</f>
        <v>0</v>
      </c>
      <c r="AH39" s="85">
        <v>0</v>
      </c>
      <c r="AI39" s="69">
        <f>AH39*5000</f>
        <v>0</v>
      </c>
      <c r="AJ39" s="85">
        <v>0</v>
      </c>
      <c r="AK39" s="69">
        <f>AJ39*5000</f>
        <v>0</v>
      </c>
      <c r="AL39" s="85">
        <v>0</v>
      </c>
      <c r="AM39" s="69">
        <f>AL39*5000</f>
        <v>0</v>
      </c>
      <c r="AN39" s="85">
        <v>0</v>
      </c>
      <c r="AO39" s="69">
        <f>AN39*5000</f>
        <v>0</v>
      </c>
      <c r="AP39" s="85">
        <v>0</v>
      </c>
      <c r="AQ39" s="69">
        <f>AP39*5000</f>
        <v>0</v>
      </c>
      <c r="AR39" s="85">
        <v>0</v>
      </c>
      <c r="AS39" s="69">
        <f>AR39*5000</f>
        <v>0</v>
      </c>
      <c r="AT39" s="85">
        <v>0</v>
      </c>
      <c r="AU39" s="69">
        <f>AT39*5000</f>
        <v>0</v>
      </c>
      <c r="AV39" s="85">
        <v>0</v>
      </c>
      <c r="AW39" s="69">
        <f>AV39*5000</f>
        <v>0</v>
      </c>
      <c r="AX39" s="85">
        <v>0</v>
      </c>
      <c r="AY39" s="69">
        <f>AX39*5000</f>
        <v>0</v>
      </c>
      <c r="AZ39" s="85">
        <v>0</v>
      </c>
      <c r="BA39" s="69">
        <f>AZ39*5000</f>
        <v>0</v>
      </c>
      <c r="BB39" s="85">
        <v>0</v>
      </c>
      <c r="BC39" s="69">
        <f>BB39*5000</f>
        <v>0</v>
      </c>
      <c r="BD39" s="85">
        <v>0</v>
      </c>
      <c r="BE39" s="69">
        <f>BD39*5000</f>
        <v>0</v>
      </c>
      <c r="BF39" s="85">
        <v>0</v>
      </c>
      <c r="BG39" s="69">
        <f>BF39*5000</f>
        <v>0</v>
      </c>
      <c r="BH39" s="85">
        <v>0</v>
      </c>
      <c r="BI39" s="69">
        <f>BH39*5000</f>
        <v>0</v>
      </c>
      <c r="BJ39" s="85">
        <f t="shared" si="42"/>
        <v>0</v>
      </c>
      <c r="BK39" s="85">
        <f t="shared" si="42"/>
        <v>0</v>
      </c>
      <c r="BL39" s="324" t="s">
        <v>467</v>
      </c>
      <c r="BN39" s="257"/>
      <c r="BO39" s="113">
        <f t="shared" si="56"/>
        <v>0</v>
      </c>
      <c r="BP39" s="257"/>
      <c r="BQ39" s="257"/>
      <c r="BR39" s="113">
        <f t="shared" si="43"/>
        <v>0</v>
      </c>
      <c r="BS39" s="257"/>
      <c r="BT39" s="257"/>
      <c r="BU39" s="257"/>
      <c r="BV39" s="179">
        <f t="shared" si="1"/>
        <v>0</v>
      </c>
    </row>
    <row r="40" spans="1:979" ht="24" customHeight="1" x14ac:dyDescent="0.25">
      <c r="A40" s="882"/>
      <c r="B40" s="184"/>
      <c r="C40" s="167" t="s">
        <v>118</v>
      </c>
      <c r="D40" s="167" t="s">
        <v>17</v>
      </c>
      <c r="E40" s="167">
        <f>0.025*100000</f>
        <v>2500</v>
      </c>
      <c r="F40" s="69">
        <f t="shared" si="57"/>
        <v>0</v>
      </c>
      <c r="G40" s="69">
        <f t="shared" si="33"/>
        <v>0</v>
      </c>
      <c r="H40" s="69">
        <f t="shared" si="58"/>
        <v>0</v>
      </c>
      <c r="I40" s="69">
        <f t="shared" si="59"/>
        <v>0</v>
      </c>
      <c r="J40" s="69">
        <f t="shared" si="48"/>
        <v>0</v>
      </c>
      <c r="K40" s="69">
        <f t="shared" si="49"/>
        <v>0</v>
      </c>
      <c r="L40" s="69">
        <f t="shared" si="50"/>
        <v>0</v>
      </c>
      <c r="M40" s="69">
        <f t="shared" si="51"/>
        <v>0</v>
      </c>
      <c r="N40" s="69">
        <f t="shared" si="52"/>
        <v>0</v>
      </c>
      <c r="O40" s="69">
        <f t="shared" si="53"/>
        <v>0</v>
      </c>
      <c r="P40" s="69">
        <f t="shared" si="54"/>
        <v>0</v>
      </c>
      <c r="Q40" s="69">
        <f t="shared" si="55"/>
        <v>0</v>
      </c>
      <c r="R40" s="153">
        <f t="shared" si="44"/>
        <v>0</v>
      </c>
      <c r="S40" s="153">
        <f t="shared" si="45"/>
        <v>0</v>
      </c>
      <c r="T40" s="153">
        <f t="shared" si="46"/>
        <v>0</v>
      </c>
      <c r="U40" s="153">
        <f t="shared" si="47"/>
        <v>0</v>
      </c>
      <c r="V40" s="69">
        <f t="shared" si="38"/>
        <v>0</v>
      </c>
      <c r="W40" s="69">
        <f t="shared" si="39"/>
        <v>0</v>
      </c>
      <c r="X40" s="69">
        <f t="shared" si="40"/>
        <v>0</v>
      </c>
      <c r="Y40" s="69">
        <f t="shared" si="41"/>
        <v>0</v>
      </c>
      <c r="Z40" s="85">
        <v>0</v>
      </c>
      <c r="AA40" s="69">
        <f>Z40*2500</f>
        <v>0</v>
      </c>
      <c r="AB40" s="85">
        <v>0</v>
      </c>
      <c r="AC40" s="69">
        <f>AB40*2500</f>
        <v>0</v>
      </c>
      <c r="AD40" s="85">
        <v>0</v>
      </c>
      <c r="AE40" s="69">
        <f>AD40*2500</f>
        <v>0</v>
      </c>
      <c r="AF40" s="85">
        <v>0</v>
      </c>
      <c r="AG40" s="69">
        <f>AF40*2500</f>
        <v>0</v>
      </c>
      <c r="AH40" s="85">
        <v>0</v>
      </c>
      <c r="AI40" s="69">
        <f>AH40*2500</f>
        <v>0</v>
      </c>
      <c r="AJ40" s="85">
        <v>0</v>
      </c>
      <c r="AK40" s="69">
        <f>AJ40*2500</f>
        <v>0</v>
      </c>
      <c r="AL40" s="85">
        <v>0</v>
      </c>
      <c r="AM40" s="69">
        <f>AL40*2500</f>
        <v>0</v>
      </c>
      <c r="AN40" s="85">
        <v>0</v>
      </c>
      <c r="AO40" s="69">
        <f>AN40*2500</f>
        <v>0</v>
      </c>
      <c r="AP40" s="85">
        <v>0</v>
      </c>
      <c r="AQ40" s="69">
        <f>AP40*2500</f>
        <v>0</v>
      </c>
      <c r="AR40" s="85">
        <v>0</v>
      </c>
      <c r="AS40" s="69">
        <f>AR40*2500</f>
        <v>0</v>
      </c>
      <c r="AT40" s="85">
        <v>0</v>
      </c>
      <c r="AU40" s="69">
        <f>AT40*2500</f>
        <v>0</v>
      </c>
      <c r="AV40" s="85">
        <v>0</v>
      </c>
      <c r="AW40" s="69">
        <f>AV40*2500</f>
        <v>0</v>
      </c>
      <c r="AX40" s="85">
        <v>0</v>
      </c>
      <c r="AY40" s="69">
        <f>AX40*2500</f>
        <v>0</v>
      </c>
      <c r="AZ40" s="85">
        <v>0</v>
      </c>
      <c r="BA40" s="69">
        <f>AZ40*2500</f>
        <v>0</v>
      </c>
      <c r="BB40" s="85">
        <v>0</v>
      </c>
      <c r="BC40" s="69">
        <f>BB40*2500</f>
        <v>0</v>
      </c>
      <c r="BD40" s="85">
        <v>0</v>
      </c>
      <c r="BE40" s="69">
        <f>BD40*2500</f>
        <v>0</v>
      </c>
      <c r="BF40" s="85">
        <v>0</v>
      </c>
      <c r="BG40" s="69">
        <f>BF40*2500</f>
        <v>0</v>
      </c>
      <c r="BH40" s="85">
        <v>0</v>
      </c>
      <c r="BI40" s="69">
        <f>BH40*2500</f>
        <v>0</v>
      </c>
      <c r="BJ40" s="85">
        <f t="shared" si="42"/>
        <v>0</v>
      </c>
      <c r="BK40" s="85">
        <f t="shared" si="42"/>
        <v>0</v>
      </c>
      <c r="BL40" s="324" t="s">
        <v>467</v>
      </c>
      <c r="BN40" s="113"/>
      <c r="BO40" s="113">
        <f t="shared" si="56"/>
        <v>0</v>
      </c>
      <c r="BP40" s="113"/>
      <c r="BQ40" s="113"/>
      <c r="BR40" s="113">
        <f t="shared" si="43"/>
        <v>0</v>
      </c>
      <c r="BS40" s="113"/>
      <c r="BT40" s="113"/>
      <c r="BU40" s="113"/>
      <c r="BV40" s="179">
        <f t="shared" si="1"/>
        <v>0</v>
      </c>
    </row>
    <row r="41" spans="1:979" ht="24" customHeight="1" x14ac:dyDescent="0.25">
      <c r="A41" s="882"/>
      <c r="B41" s="184"/>
      <c r="C41" s="167" t="s">
        <v>706</v>
      </c>
      <c r="D41" s="167" t="s">
        <v>73</v>
      </c>
      <c r="E41" s="167">
        <f>0.045*100000</f>
        <v>4500</v>
      </c>
      <c r="F41" s="69">
        <f t="shared" si="57"/>
        <v>0</v>
      </c>
      <c r="G41" s="156">
        <f t="shared" si="33"/>
        <v>0</v>
      </c>
      <c r="H41" s="156">
        <f t="shared" si="58"/>
        <v>0</v>
      </c>
      <c r="I41" s="156">
        <f t="shared" si="59"/>
        <v>0</v>
      </c>
      <c r="J41" s="156">
        <f t="shared" si="48"/>
        <v>0</v>
      </c>
      <c r="K41" s="156">
        <f t="shared" si="49"/>
        <v>0</v>
      </c>
      <c r="L41" s="156">
        <f t="shared" si="50"/>
        <v>0</v>
      </c>
      <c r="M41" s="156">
        <f t="shared" si="51"/>
        <v>0</v>
      </c>
      <c r="N41" s="156">
        <f t="shared" si="52"/>
        <v>0</v>
      </c>
      <c r="O41" s="156">
        <f t="shared" si="53"/>
        <v>0</v>
      </c>
      <c r="P41" s="156">
        <f t="shared" si="54"/>
        <v>0</v>
      </c>
      <c r="Q41" s="156">
        <f t="shared" si="55"/>
        <v>0</v>
      </c>
      <c r="R41" s="153">
        <f t="shared" si="44"/>
        <v>0</v>
      </c>
      <c r="S41" s="153">
        <f t="shared" si="45"/>
        <v>0</v>
      </c>
      <c r="T41" s="153">
        <f t="shared" si="46"/>
        <v>0</v>
      </c>
      <c r="U41" s="153">
        <f t="shared" si="47"/>
        <v>0</v>
      </c>
      <c r="V41" s="69">
        <f t="shared" si="38"/>
        <v>0</v>
      </c>
      <c r="W41" s="69">
        <f t="shared" si="39"/>
        <v>0</v>
      </c>
      <c r="X41" s="69">
        <f t="shared" si="40"/>
        <v>0</v>
      </c>
      <c r="Y41" s="69">
        <f t="shared" si="41"/>
        <v>0</v>
      </c>
      <c r="Z41" s="156">
        <v>0</v>
      </c>
      <c r="AA41" s="156">
        <f>Z41*E41</f>
        <v>0</v>
      </c>
      <c r="AB41" s="156">
        <v>0</v>
      </c>
      <c r="AC41" s="156">
        <f>AB41*4500</f>
        <v>0</v>
      </c>
      <c r="AD41" s="156">
        <v>0</v>
      </c>
      <c r="AE41" s="156">
        <f>AD41*E41</f>
        <v>0</v>
      </c>
      <c r="AF41" s="156">
        <v>0</v>
      </c>
      <c r="AG41" s="156">
        <f>AF41*E41</f>
        <v>0</v>
      </c>
      <c r="AH41" s="156">
        <v>0</v>
      </c>
      <c r="AI41" s="156">
        <f>AH41*E41</f>
        <v>0</v>
      </c>
      <c r="AJ41" s="156">
        <v>0</v>
      </c>
      <c r="AK41" s="156">
        <f>AJ41*E41</f>
        <v>0</v>
      </c>
      <c r="AL41" s="156">
        <v>0</v>
      </c>
      <c r="AM41" s="156">
        <f>AL41*E41</f>
        <v>0</v>
      </c>
      <c r="AN41" s="156">
        <v>0</v>
      </c>
      <c r="AO41" s="156">
        <f>AN41*E41</f>
        <v>0</v>
      </c>
      <c r="AP41" s="156">
        <v>0</v>
      </c>
      <c r="AQ41" s="156">
        <f>AP41*E41</f>
        <v>0</v>
      </c>
      <c r="AR41" s="156">
        <v>0</v>
      </c>
      <c r="AS41" s="156">
        <f>AR41*E41</f>
        <v>0</v>
      </c>
      <c r="AT41" s="156">
        <v>0</v>
      </c>
      <c r="AU41" s="156">
        <f>AT41*E41</f>
        <v>0</v>
      </c>
      <c r="AV41" s="156">
        <v>0</v>
      </c>
      <c r="AW41" s="156">
        <f>AV41*E41</f>
        <v>0</v>
      </c>
      <c r="AX41" s="156">
        <v>0</v>
      </c>
      <c r="AY41" s="156">
        <f>AX41*E41</f>
        <v>0</v>
      </c>
      <c r="AZ41" s="156">
        <v>0</v>
      </c>
      <c r="BA41" s="156">
        <f>AZ41*E41</f>
        <v>0</v>
      </c>
      <c r="BB41" s="156">
        <v>0</v>
      </c>
      <c r="BC41" s="156">
        <f>BB41*E41</f>
        <v>0</v>
      </c>
      <c r="BD41" s="156">
        <v>0</v>
      </c>
      <c r="BE41" s="156">
        <f>BD41*E41</f>
        <v>0</v>
      </c>
      <c r="BF41" s="156">
        <v>0</v>
      </c>
      <c r="BG41" s="156">
        <f>BF41*E41</f>
        <v>0</v>
      </c>
      <c r="BH41" s="156">
        <v>0</v>
      </c>
      <c r="BI41" s="156">
        <f>BH41*4500</f>
        <v>0</v>
      </c>
      <c r="BJ41" s="156">
        <f t="shared" si="42"/>
        <v>0</v>
      </c>
      <c r="BK41" s="156">
        <f t="shared" si="42"/>
        <v>0</v>
      </c>
      <c r="BL41" s="324" t="s">
        <v>467</v>
      </c>
      <c r="BN41" s="113"/>
      <c r="BO41" s="113">
        <f t="shared" si="56"/>
        <v>0</v>
      </c>
      <c r="BP41" s="113"/>
      <c r="BQ41" s="113"/>
      <c r="BR41" s="113">
        <f t="shared" si="43"/>
        <v>0</v>
      </c>
      <c r="BS41" s="113"/>
      <c r="BT41" s="113"/>
      <c r="BU41" s="113"/>
      <c r="BV41" s="179">
        <f t="shared" si="1"/>
        <v>0</v>
      </c>
    </row>
    <row r="42" spans="1:979" ht="24" customHeight="1" x14ac:dyDescent="0.25">
      <c r="A42" s="882"/>
      <c r="B42" s="184"/>
      <c r="C42" s="167" t="s">
        <v>119</v>
      </c>
      <c r="D42" s="167" t="s">
        <v>121</v>
      </c>
      <c r="E42" s="167">
        <f>0.3*100000</f>
        <v>30000</v>
      </c>
      <c r="F42" s="69">
        <f t="shared" si="57"/>
        <v>0</v>
      </c>
      <c r="G42" s="69">
        <f t="shared" si="33"/>
        <v>0</v>
      </c>
      <c r="H42" s="69">
        <f t="shared" si="58"/>
        <v>0</v>
      </c>
      <c r="I42" s="69">
        <f t="shared" si="59"/>
        <v>0</v>
      </c>
      <c r="J42" s="69">
        <f t="shared" si="48"/>
        <v>0</v>
      </c>
      <c r="K42" s="69">
        <f t="shared" si="49"/>
        <v>0</v>
      </c>
      <c r="L42" s="69">
        <f t="shared" si="50"/>
        <v>0</v>
      </c>
      <c r="M42" s="69">
        <f t="shared" si="51"/>
        <v>0</v>
      </c>
      <c r="N42" s="69">
        <f t="shared" si="52"/>
        <v>0</v>
      </c>
      <c r="O42" s="69">
        <f t="shared" si="53"/>
        <v>0</v>
      </c>
      <c r="P42" s="69">
        <f t="shared" si="54"/>
        <v>0</v>
      </c>
      <c r="Q42" s="69">
        <f t="shared" si="55"/>
        <v>0</v>
      </c>
      <c r="R42" s="153">
        <f t="shared" si="44"/>
        <v>0</v>
      </c>
      <c r="S42" s="153">
        <f t="shared" si="45"/>
        <v>0</v>
      </c>
      <c r="T42" s="153">
        <f t="shared" si="46"/>
        <v>0</v>
      </c>
      <c r="U42" s="153">
        <f t="shared" si="47"/>
        <v>0</v>
      </c>
      <c r="V42" s="69">
        <f t="shared" si="38"/>
        <v>0</v>
      </c>
      <c r="W42" s="69">
        <f t="shared" si="39"/>
        <v>0</v>
      </c>
      <c r="X42" s="69">
        <f t="shared" si="40"/>
        <v>0</v>
      </c>
      <c r="Y42" s="69">
        <f t="shared" si="41"/>
        <v>0</v>
      </c>
      <c r="Z42" s="85">
        <v>0</v>
      </c>
      <c r="AA42" s="69">
        <f>Z42*30000</f>
        <v>0</v>
      </c>
      <c r="AB42" s="85">
        <v>0</v>
      </c>
      <c r="AC42" s="69">
        <f>AB42*30000</f>
        <v>0</v>
      </c>
      <c r="AD42" s="85">
        <v>0</v>
      </c>
      <c r="AE42" s="69">
        <f>AD42*30000</f>
        <v>0</v>
      </c>
      <c r="AF42" s="85">
        <v>0</v>
      </c>
      <c r="AG42" s="69">
        <f>AF42*30000</f>
        <v>0</v>
      </c>
      <c r="AH42" s="85">
        <v>0</v>
      </c>
      <c r="AI42" s="69">
        <f>AH42*30000</f>
        <v>0</v>
      </c>
      <c r="AJ42" s="85">
        <v>0</v>
      </c>
      <c r="AK42" s="69">
        <f>AJ42*30000</f>
        <v>0</v>
      </c>
      <c r="AL42" s="85">
        <v>0</v>
      </c>
      <c r="AM42" s="69">
        <f>AL42*30000</f>
        <v>0</v>
      </c>
      <c r="AN42" s="85">
        <v>0</v>
      </c>
      <c r="AO42" s="69">
        <f>AN42*30000</f>
        <v>0</v>
      </c>
      <c r="AP42" s="85">
        <v>0</v>
      </c>
      <c r="AQ42" s="69">
        <f>AP42*30000</f>
        <v>0</v>
      </c>
      <c r="AR42" s="85">
        <v>0</v>
      </c>
      <c r="AS42" s="69">
        <f>AR42*30000</f>
        <v>0</v>
      </c>
      <c r="AT42" s="85">
        <v>0</v>
      </c>
      <c r="AU42" s="69">
        <f>AT42*30000</f>
        <v>0</v>
      </c>
      <c r="AV42" s="85">
        <v>0</v>
      </c>
      <c r="AW42" s="69">
        <f>AV42*30000</f>
        <v>0</v>
      </c>
      <c r="AX42" s="85">
        <v>0</v>
      </c>
      <c r="AY42" s="69">
        <f>AX42*30000</f>
        <v>0</v>
      </c>
      <c r="AZ42" s="85">
        <v>0</v>
      </c>
      <c r="BA42" s="69">
        <f>AZ42*30000</f>
        <v>0</v>
      </c>
      <c r="BB42" s="85">
        <v>0</v>
      </c>
      <c r="BC42" s="69">
        <f>BB42*30000</f>
        <v>0</v>
      </c>
      <c r="BD42" s="85">
        <v>0</v>
      </c>
      <c r="BE42" s="69">
        <f>BD42*30000</f>
        <v>0</v>
      </c>
      <c r="BF42" s="85">
        <v>0</v>
      </c>
      <c r="BG42" s="69">
        <f>BF42*30000</f>
        <v>0</v>
      </c>
      <c r="BH42" s="85">
        <v>0</v>
      </c>
      <c r="BI42" s="69">
        <f>BH42*30000</f>
        <v>0</v>
      </c>
      <c r="BJ42" s="85">
        <f t="shared" si="42"/>
        <v>0</v>
      </c>
      <c r="BK42" s="85">
        <f t="shared" si="42"/>
        <v>0</v>
      </c>
      <c r="BL42" s="324" t="s">
        <v>467</v>
      </c>
      <c r="BN42" s="113"/>
      <c r="BO42" s="113">
        <f t="shared" si="56"/>
        <v>0</v>
      </c>
      <c r="BP42" s="113"/>
      <c r="BQ42" s="113"/>
      <c r="BR42" s="113">
        <f t="shared" si="43"/>
        <v>0</v>
      </c>
      <c r="BS42" s="113"/>
      <c r="BT42" s="113"/>
      <c r="BU42" s="113"/>
      <c r="BV42" s="179">
        <f t="shared" si="1"/>
        <v>0</v>
      </c>
    </row>
    <row r="43" spans="1:979" s="67" customFormat="1" ht="24" customHeight="1" x14ac:dyDescent="0.25">
      <c r="A43" s="882"/>
      <c r="B43" s="563"/>
      <c r="C43" s="564"/>
      <c r="D43" s="139"/>
      <c r="E43" s="139"/>
      <c r="F43" s="139">
        <f>SUM(F34:F42)</f>
        <v>520</v>
      </c>
      <c r="G43" s="139">
        <f t="shared" ref="G43:BK43" si="60">SUM(G34:G42)</f>
        <v>520000</v>
      </c>
      <c r="H43" s="139">
        <f t="shared" si="60"/>
        <v>104000</v>
      </c>
      <c r="I43" s="139">
        <f t="shared" si="60"/>
        <v>416000</v>
      </c>
      <c r="J43" s="139">
        <f t="shared" si="60"/>
        <v>0</v>
      </c>
      <c r="K43" s="139">
        <f t="shared" si="60"/>
        <v>0</v>
      </c>
      <c r="L43" s="139">
        <f t="shared" si="60"/>
        <v>0</v>
      </c>
      <c r="M43" s="139">
        <f t="shared" si="60"/>
        <v>0</v>
      </c>
      <c r="N43" s="139">
        <f t="shared" si="60"/>
        <v>0</v>
      </c>
      <c r="O43" s="139">
        <f t="shared" si="60"/>
        <v>0</v>
      </c>
      <c r="P43" s="139">
        <f t="shared" si="60"/>
        <v>0</v>
      </c>
      <c r="Q43" s="139">
        <f t="shared" si="60"/>
        <v>0</v>
      </c>
      <c r="R43" s="468">
        <f t="shared" si="60"/>
        <v>52</v>
      </c>
      <c r="S43" s="468">
        <f t="shared" si="60"/>
        <v>130</v>
      </c>
      <c r="T43" s="468">
        <f t="shared" si="60"/>
        <v>182</v>
      </c>
      <c r="U43" s="468">
        <f t="shared" si="60"/>
        <v>156</v>
      </c>
      <c r="V43" s="139">
        <f t="shared" si="60"/>
        <v>52000</v>
      </c>
      <c r="W43" s="139">
        <f t="shared" si="60"/>
        <v>130000</v>
      </c>
      <c r="X43" s="139">
        <f t="shared" si="60"/>
        <v>182000</v>
      </c>
      <c r="Y43" s="139">
        <f t="shared" si="60"/>
        <v>156000</v>
      </c>
      <c r="Z43" s="139">
        <f t="shared" si="60"/>
        <v>26</v>
      </c>
      <c r="AA43" s="139">
        <f t="shared" si="60"/>
        <v>26000</v>
      </c>
      <c r="AB43" s="139">
        <f t="shared" si="60"/>
        <v>20</v>
      </c>
      <c r="AC43" s="139">
        <f t="shared" si="60"/>
        <v>20000</v>
      </c>
      <c r="AD43" s="139">
        <f t="shared" si="60"/>
        <v>26</v>
      </c>
      <c r="AE43" s="139">
        <f t="shared" si="60"/>
        <v>26000</v>
      </c>
      <c r="AF43" s="139">
        <f t="shared" si="60"/>
        <v>30</v>
      </c>
      <c r="AG43" s="139">
        <f t="shared" si="60"/>
        <v>30000</v>
      </c>
      <c r="AH43" s="139">
        <f t="shared" si="60"/>
        <v>13</v>
      </c>
      <c r="AI43" s="139">
        <f t="shared" si="60"/>
        <v>13000</v>
      </c>
      <c r="AJ43" s="139">
        <f t="shared" si="60"/>
        <v>26</v>
      </c>
      <c r="AK43" s="139">
        <f t="shared" si="60"/>
        <v>26000</v>
      </c>
      <c r="AL43" s="139">
        <f t="shared" si="60"/>
        <v>33</v>
      </c>
      <c r="AM43" s="139">
        <f t="shared" si="60"/>
        <v>33000</v>
      </c>
      <c r="AN43" s="139">
        <f t="shared" si="60"/>
        <v>52</v>
      </c>
      <c r="AO43" s="139">
        <f t="shared" si="60"/>
        <v>52000</v>
      </c>
      <c r="AP43" s="139">
        <f t="shared" si="60"/>
        <v>13</v>
      </c>
      <c r="AQ43" s="139">
        <f t="shared" si="60"/>
        <v>13000</v>
      </c>
      <c r="AR43" s="139">
        <f t="shared" si="60"/>
        <v>20</v>
      </c>
      <c r="AS43" s="139">
        <f t="shared" si="60"/>
        <v>20000</v>
      </c>
      <c r="AT43" s="139">
        <f t="shared" si="60"/>
        <v>39</v>
      </c>
      <c r="AU43" s="139">
        <f t="shared" si="60"/>
        <v>39000</v>
      </c>
      <c r="AV43" s="139">
        <f t="shared" si="60"/>
        <v>33</v>
      </c>
      <c r="AW43" s="139">
        <f t="shared" si="60"/>
        <v>33000</v>
      </c>
      <c r="AX43" s="139">
        <f t="shared" si="60"/>
        <v>0</v>
      </c>
      <c r="AY43" s="139">
        <f t="shared" si="60"/>
        <v>0</v>
      </c>
      <c r="AZ43" s="139">
        <f t="shared" si="60"/>
        <v>52</v>
      </c>
      <c r="BA43" s="139">
        <f t="shared" si="60"/>
        <v>52000</v>
      </c>
      <c r="BB43" s="139">
        <f t="shared" si="60"/>
        <v>20</v>
      </c>
      <c r="BC43" s="139">
        <f t="shared" si="60"/>
        <v>20000</v>
      </c>
      <c r="BD43" s="139">
        <f t="shared" si="60"/>
        <v>78</v>
      </c>
      <c r="BE43" s="139">
        <f t="shared" si="60"/>
        <v>78000</v>
      </c>
      <c r="BF43" s="139">
        <f t="shared" si="60"/>
        <v>39</v>
      </c>
      <c r="BG43" s="139">
        <f t="shared" si="60"/>
        <v>39000</v>
      </c>
      <c r="BH43" s="139">
        <f t="shared" si="60"/>
        <v>0</v>
      </c>
      <c r="BI43" s="139">
        <f t="shared" si="60"/>
        <v>0</v>
      </c>
      <c r="BJ43" s="139">
        <f t="shared" si="60"/>
        <v>520</v>
      </c>
      <c r="BK43" s="139">
        <f t="shared" si="60"/>
        <v>520000</v>
      </c>
      <c r="BL43" s="118"/>
      <c r="BN43" s="139">
        <f t="shared" ref="BN43:BU43" si="61">SUM(BN34:BN42)</f>
        <v>0</v>
      </c>
      <c r="BO43" s="139">
        <f t="shared" si="61"/>
        <v>520000</v>
      </c>
      <c r="BP43" s="139">
        <f t="shared" si="61"/>
        <v>0</v>
      </c>
      <c r="BQ43" s="139">
        <f t="shared" si="61"/>
        <v>0</v>
      </c>
      <c r="BR43" s="139">
        <f t="shared" si="61"/>
        <v>520000</v>
      </c>
      <c r="BS43" s="139">
        <f t="shared" si="61"/>
        <v>0</v>
      </c>
      <c r="BT43" s="139">
        <f t="shared" si="61"/>
        <v>0</v>
      </c>
      <c r="BU43" s="139">
        <f t="shared" si="61"/>
        <v>0</v>
      </c>
      <c r="BV43" s="474">
        <f t="shared" si="1"/>
        <v>520000</v>
      </c>
    </row>
    <row r="44" spans="1:979" ht="24" customHeight="1" x14ac:dyDescent="0.25">
      <c r="A44" s="882"/>
      <c r="B44" s="443">
        <v>12320</v>
      </c>
      <c r="C44" s="562" t="s">
        <v>122</v>
      </c>
      <c r="D44" s="167"/>
      <c r="E44" s="167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185"/>
      <c r="S44" s="185"/>
      <c r="T44" s="185"/>
      <c r="U44" s="1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47"/>
      <c r="BN44" s="113"/>
      <c r="BO44" s="113"/>
      <c r="BP44" s="113"/>
      <c r="BQ44" s="113"/>
      <c r="BR44" s="113"/>
      <c r="BS44" s="113"/>
      <c r="BT44" s="113"/>
      <c r="BU44" s="113"/>
      <c r="BV44" s="179">
        <f t="shared" si="1"/>
        <v>0</v>
      </c>
    </row>
    <row r="45" spans="1:979" s="163" customFormat="1" ht="24" customHeight="1" x14ac:dyDescent="0.25">
      <c r="A45" s="882"/>
      <c r="B45" s="188"/>
      <c r="C45" s="172" t="s">
        <v>123</v>
      </c>
      <c r="D45" s="172" t="s">
        <v>594</v>
      </c>
      <c r="E45" s="172">
        <v>15000</v>
      </c>
      <c r="F45" s="69">
        <f>BJ45</f>
        <v>0</v>
      </c>
      <c r="G45" s="125">
        <f>E45*F45</f>
        <v>0</v>
      </c>
      <c r="H45" s="125">
        <f>G45*0</f>
        <v>0</v>
      </c>
      <c r="I45" s="125">
        <f>G45*1</f>
        <v>0</v>
      </c>
      <c r="J45" s="125">
        <f>G45*0</f>
        <v>0</v>
      </c>
      <c r="K45" s="125">
        <f>G45*0</f>
        <v>0</v>
      </c>
      <c r="L45" s="125">
        <f>G45*0</f>
        <v>0</v>
      </c>
      <c r="M45" s="125">
        <f>G45*0</f>
        <v>0</v>
      </c>
      <c r="N45" s="125">
        <f>G45*0</f>
        <v>0</v>
      </c>
      <c r="O45" s="125">
        <f>G45*0</f>
        <v>0</v>
      </c>
      <c r="P45" s="125">
        <f>G45*0</f>
        <v>0</v>
      </c>
      <c r="Q45" s="125">
        <f>G45*0</f>
        <v>0</v>
      </c>
      <c r="R45" s="153">
        <f t="shared" ref="R45" si="62">F45*0.1</f>
        <v>0</v>
      </c>
      <c r="S45" s="153">
        <f t="shared" ref="S45" si="63">F45*0.25</f>
        <v>0</v>
      </c>
      <c r="T45" s="153">
        <f t="shared" ref="T45" si="64">F45*0.35</f>
        <v>0</v>
      </c>
      <c r="U45" s="153">
        <f t="shared" ref="U45" si="65">F45*0.3</f>
        <v>0</v>
      </c>
      <c r="V45" s="69">
        <f>R45*E45</f>
        <v>0</v>
      </c>
      <c r="W45" s="69">
        <f>S45*E45</f>
        <v>0</v>
      </c>
      <c r="X45" s="69">
        <f>T45*E45</f>
        <v>0</v>
      </c>
      <c r="Y45" s="69">
        <f>U45*E45</f>
        <v>0</v>
      </c>
      <c r="Z45" s="133">
        <v>0</v>
      </c>
      <c r="AA45" s="125">
        <f>Z45*15000</f>
        <v>0</v>
      </c>
      <c r="AB45" s="133">
        <v>0</v>
      </c>
      <c r="AC45" s="125">
        <f>AB45*15000</f>
        <v>0</v>
      </c>
      <c r="AD45" s="133">
        <v>0</v>
      </c>
      <c r="AE45" s="125">
        <f>AD45*15000</f>
        <v>0</v>
      </c>
      <c r="AF45" s="133">
        <v>0</v>
      </c>
      <c r="AG45" s="125">
        <f>AF45*E45</f>
        <v>0</v>
      </c>
      <c r="AH45" s="133">
        <v>0</v>
      </c>
      <c r="AI45" s="125">
        <f>AH45*E45</f>
        <v>0</v>
      </c>
      <c r="AJ45" s="133">
        <v>0</v>
      </c>
      <c r="AK45" s="125">
        <f>E45*AJ45</f>
        <v>0</v>
      </c>
      <c r="AL45" s="133">
        <v>0</v>
      </c>
      <c r="AM45" s="125">
        <f>AL45*E45</f>
        <v>0</v>
      </c>
      <c r="AN45" s="133">
        <v>0</v>
      </c>
      <c r="AO45" s="125">
        <f>AN45*15000</f>
        <v>0</v>
      </c>
      <c r="AP45" s="133">
        <v>0</v>
      </c>
      <c r="AQ45" s="125">
        <f>AP45*15000</f>
        <v>0</v>
      </c>
      <c r="AR45" s="133">
        <v>0</v>
      </c>
      <c r="AS45" s="125">
        <f>E45*AR45</f>
        <v>0</v>
      </c>
      <c r="AT45" s="133">
        <v>0</v>
      </c>
      <c r="AU45" s="125">
        <f>E45*AT45</f>
        <v>0</v>
      </c>
      <c r="AV45" s="133">
        <v>0</v>
      </c>
      <c r="AW45" s="125">
        <f>E45*AV45</f>
        <v>0</v>
      </c>
      <c r="AX45" s="133">
        <v>0</v>
      </c>
      <c r="AY45" s="125">
        <f>E45*AX45</f>
        <v>0</v>
      </c>
      <c r="AZ45" s="133">
        <v>0</v>
      </c>
      <c r="BA45" s="125">
        <f>E45*AZ45</f>
        <v>0</v>
      </c>
      <c r="BB45" s="133">
        <v>0</v>
      </c>
      <c r="BC45" s="125">
        <f>E45*BB45</f>
        <v>0</v>
      </c>
      <c r="BD45" s="133">
        <v>0</v>
      </c>
      <c r="BE45" s="125">
        <f>BD45*15000</f>
        <v>0</v>
      </c>
      <c r="BF45" s="133">
        <v>0</v>
      </c>
      <c r="BG45" s="125">
        <f>BF45*15000</f>
        <v>0</v>
      </c>
      <c r="BH45" s="133">
        <v>0</v>
      </c>
      <c r="BI45" s="125">
        <f>BH45*500</f>
        <v>0</v>
      </c>
      <c r="BJ45" s="133">
        <f t="shared" ref="BJ45:BK48" si="66">Z45+AB45+AD45+AF45+AH45+AJ45+AL45+AN45+AP45+AR45+AT45+AV45+AX45+AZ45+BB45+BD45+BF45+BH45</f>
        <v>0</v>
      </c>
      <c r="BK45" s="133">
        <f t="shared" si="66"/>
        <v>0</v>
      </c>
      <c r="BL45" s="325" t="s">
        <v>469</v>
      </c>
      <c r="BM45" s="39"/>
      <c r="BN45" s="176">
        <v>0</v>
      </c>
      <c r="BO45" s="176">
        <v>0</v>
      </c>
      <c r="BP45" s="176">
        <v>0</v>
      </c>
      <c r="BQ45" s="176">
        <f>G45</f>
        <v>0</v>
      </c>
      <c r="BR45" s="176">
        <f>BN45+BO45+BP45+BQ45</f>
        <v>0</v>
      </c>
      <c r="BS45" s="176">
        <v>0</v>
      </c>
      <c r="BT45" s="176">
        <v>0</v>
      </c>
      <c r="BU45" s="176">
        <f>BS45+BT45</f>
        <v>0</v>
      </c>
      <c r="BV45" s="189">
        <f t="shared" si="1"/>
        <v>0</v>
      </c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  <c r="KV45" s="39"/>
      <c r="KW45" s="39"/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  <c r="LM45" s="39"/>
      <c r="LN45" s="39"/>
      <c r="LO45" s="39"/>
      <c r="LP45" s="39"/>
      <c r="LQ45" s="39"/>
      <c r="LR45" s="39"/>
      <c r="LS45" s="39"/>
      <c r="LT45" s="39"/>
      <c r="LU45" s="39"/>
      <c r="LV45" s="39"/>
      <c r="LW45" s="39"/>
      <c r="LX45" s="39"/>
      <c r="LY45" s="39"/>
      <c r="LZ45" s="39"/>
      <c r="MA45" s="39"/>
      <c r="MB45" s="39"/>
      <c r="MC45" s="39"/>
      <c r="MD45" s="39"/>
      <c r="ME45" s="39"/>
      <c r="MF45" s="39"/>
      <c r="MG45" s="39"/>
      <c r="MH45" s="39"/>
      <c r="MI45" s="39"/>
      <c r="MJ45" s="39"/>
      <c r="MK45" s="39"/>
      <c r="ML45" s="39"/>
      <c r="MM45" s="39"/>
      <c r="MN45" s="39"/>
      <c r="MO45" s="39"/>
      <c r="MP45" s="39"/>
      <c r="MQ45" s="39"/>
      <c r="MR45" s="39"/>
      <c r="MS45" s="39"/>
      <c r="MT45" s="39"/>
      <c r="MU45" s="39"/>
      <c r="MV45" s="39"/>
      <c r="MW45" s="39"/>
      <c r="MX45" s="39"/>
      <c r="MY45" s="39"/>
      <c r="MZ45" s="39"/>
      <c r="NA45" s="39"/>
      <c r="NB45" s="39"/>
      <c r="NC45" s="39"/>
      <c r="ND45" s="39"/>
      <c r="NE45" s="39"/>
      <c r="NF45" s="39"/>
      <c r="NG45" s="39"/>
      <c r="NH45" s="39"/>
      <c r="NI45" s="39"/>
      <c r="NJ45" s="39"/>
      <c r="NK45" s="39"/>
      <c r="NL45" s="39"/>
      <c r="NM45" s="39"/>
      <c r="NN45" s="39"/>
      <c r="NO45" s="39"/>
      <c r="NP45" s="39"/>
      <c r="NQ45" s="39"/>
      <c r="NR45" s="39"/>
      <c r="NS45" s="39"/>
      <c r="NT45" s="39"/>
      <c r="NU45" s="39"/>
      <c r="NV45" s="39"/>
      <c r="NW45" s="39"/>
      <c r="NX45" s="39"/>
      <c r="NY45" s="39"/>
      <c r="NZ45" s="39"/>
      <c r="OA45" s="39"/>
      <c r="OB45" s="39"/>
      <c r="OC45" s="39"/>
      <c r="OD45" s="39"/>
      <c r="OE45" s="39"/>
      <c r="OF45" s="39"/>
      <c r="OG45" s="39"/>
      <c r="OH45" s="39"/>
      <c r="OI45" s="39"/>
      <c r="OJ45" s="39"/>
      <c r="OK45" s="39"/>
      <c r="OL45" s="39"/>
      <c r="OM45" s="39"/>
      <c r="ON45" s="39"/>
      <c r="OO45" s="39"/>
      <c r="OP45" s="39"/>
      <c r="OQ45" s="39"/>
      <c r="OR45" s="39"/>
      <c r="OS45" s="39"/>
      <c r="OT45" s="39"/>
      <c r="OU45" s="39"/>
      <c r="OV45" s="39"/>
      <c r="OW45" s="39"/>
      <c r="OX45" s="39"/>
      <c r="OY45" s="39"/>
      <c r="OZ45" s="39"/>
      <c r="PA45" s="39"/>
      <c r="PB45" s="39"/>
      <c r="PC45" s="39"/>
      <c r="PD45" s="39"/>
      <c r="PE45" s="39"/>
      <c r="PF45" s="39"/>
      <c r="PG45" s="39"/>
      <c r="PH45" s="39"/>
      <c r="PI45" s="39"/>
      <c r="PJ45" s="39"/>
      <c r="PK45" s="39"/>
      <c r="PL45" s="39"/>
      <c r="PM45" s="39"/>
      <c r="PN45" s="39"/>
      <c r="PO45" s="39"/>
      <c r="PP45" s="39"/>
      <c r="PQ45" s="39"/>
      <c r="PR45" s="39"/>
      <c r="PS45" s="39"/>
      <c r="PT45" s="39"/>
      <c r="PU45" s="39"/>
      <c r="PV45" s="39"/>
      <c r="PW45" s="39"/>
      <c r="PX45" s="39"/>
      <c r="PY45" s="39"/>
      <c r="PZ45" s="39"/>
      <c r="QA45" s="39"/>
      <c r="QB45" s="39"/>
      <c r="QC45" s="39"/>
      <c r="QD45" s="39"/>
      <c r="QE45" s="39"/>
      <c r="QF45" s="39"/>
      <c r="QG45" s="39"/>
      <c r="QH45" s="39"/>
      <c r="QI45" s="39"/>
      <c r="QJ45" s="39"/>
      <c r="QK45" s="39"/>
      <c r="QL45" s="39"/>
      <c r="QM45" s="39"/>
      <c r="QN45" s="39"/>
      <c r="QO45" s="39"/>
      <c r="QP45" s="39"/>
      <c r="QQ45" s="39"/>
      <c r="QR45" s="39"/>
      <c r="QS45" s="39"/>
      <c r="QT45" s="39"/>
      <c r="QU45" s="39"/>
      <c r="QV45" s="39"/>
      <c r="QW45" s="39"/>
      <c r="QX45" s="39"/>
      <c r="QY45" s="39"/>
      <c r="QZ45" s="39"/>
      <c r="RA45" s="39"/>
      <c r="RB45" s="39"/>
      <c r="RC45" s="39"/>
      <c r="RD45" s="39"/>
      <c r="RE45" s="39"/>
      <c r="RF45" s="39"/>
      <c r="RG45" s="39"/>
      <c r="RH45" s="39"/>
      <c r="RI45" s="39"/>
      <c r="RJ45" s="39"/>
      <c r="RK45" s="39"/>
      <c r="RL45" s="39"/>
      <c r="RM45" s="39"/>
      <c r="RN45" s="39"/>
      <c r="RO45" s="39"/>
      <c r="RP45" s="39"/>
      <c r="RQ45" s="39"/>
      <c r="RR45" s="39"/>
      <c r="RS45" s="39"/>
      <c r="RT45" s="39"/>
      <c r="RU45" s="39"/>
      <c r="RV45" s="39"/>
      <c r="RW45" s="39"/>
      <c r="RX45" s="39"/>
      <c r="RY45" s="39"/>
      <c r="RZ45" s="39"/>
      <c r="SA45" s="39"/>
      <c r="SB45" s="39"/>
      <c r="SC45" s="39"/>
      <c r="SD45" s="39"/>
      <c r="SE45" s="39"/>
      <c r="SF45" s="39"/>
      <c r="SG45" s="39"/>
      <c r="SH45" s="39"/>
      <c r="SI45" s="39"/>
      <c r="SJ45" s="39"/>
      <c r="SK45" s="39"/>
      <c r="SL45" s="39"/>
      <c r="SM45" s="39"/>
      <c r="SN45" s="39"/>
      <c r="SO45" s="39"/>
      <c r="SP45" s="39"/>
      <c r="SQ45" s="39"/>
      <c r="SR45" s="39"/>
      <c r="SS45" s="39"/>
      <c r="ST45" s="39"/>
      <c r="SU45" s="39"/>
      <c r="SV45" s="39"/>
      <c r="SW45" s="39"/>
      <c r="SX45" s="39"/>
      <c r="SY45" s="39"/>
      <c r="SZ45" s="39"/>
      <c r="TA45" s="39"/>
      <c r="TB45" s="39"/>
      <c r="TC45" s="39"/>
      <c r="TD45" s="39"/>
      <c r="TE45" s="39"/>
      <c r="TF45" s="39"/>
      <c r="TG45" s="39"/>
      <c r="TH45" s="39"/>
      <c r="TI45" s="39"/>
      <c r="TJ45" s="39"/>
      <c r="TK45" s="39"/>
      <c r="TL45" s="39"/>
      <c r="TM45" s="39"/>
      <c r="TN45" s="39"/>
      <c r="TO45" s="39"/>
      <c r="TP45" s="39"/>
      <c r="TQ45" s="39"/>
      <c r="TR45" s="39"/>
      <c r="TS45" s="39"/>
      <c r="TT45" s="39"/>
      <c r="TU45" s="39"/>
      <c r="TV45" s="39"/>
      <c r="TW45" s="39"/>
      <c r="TX45" s="39"/>
      <c r="TY45" s="39"/>
      <c r="TZ45" s="39"/>
      <c r="UA45" s="39"/>
      <c r="UB45" s="39"/>
      <c r="UC45" s="39"/>
      <c r="UD45" s="39"/>
      <c r="UE45" s="39"/>
      <c r="UF45" s="39"/>
      <c r="UG45" s="39"/>
      <c r="UH45" s="39"/>
      <c r="UI45" s="39"/>
      <c r="UJ45" s="39"/>
      <c r="UK45" s="39"/>
      <c r="UL45" s="39"/>
      <c r="UM45" s="39"/>
      <c r="UN45" s="39"/>
      <c r="UO45" s="39"/>
      <c r="UP45" s="39"/>
      <c r="UQ45" s="39"/>
      <c r="UR45" s="39"/>
      <c r="US45" s="39"/>
      <c r="UT45" s="39"/>
      <c r="UU45" s="39"/>
      <c r="UV45" s="39"/>
      <c r="UW45" s="39"/>
      <c r="UX45" s="39"/>
      <c r="UY45" s="39"/>
      <c r="UZ45" s="39"/>
      <c r="VA45" s="39"/>
      <c r="VB45" s="39"/>
      <c r="VC45" s="39"/>
      <c r="VD45" s="39"/>
      <c r="VE45" s="39"/>
      <c r="VF45" s="39"/>
      <c r="VG45" s="39"/>
      <c r="VH45" s="39"/>
      <c r="VI45" s="39"/>
      <c r="VJ45" s="39"/>
      <c r="VK45" s="39"/>
      <c r="VL45" s="39"/>
      <c r="VM45" s="39"/>
      <c r="VN45" s="39"/>
      <c r="VO45" s="39"/>
      <c r="VP45" s="39"/>
      <c r="VQ45" s="39"/>
      <c r="VR45" s="39"/>
      <c r="VS45" s="39"/>
      <c r="VT45" s="39"/>
      <c r="VU45" s="39"/>
      <c r="VV45" s="39"/>
      <c r="VW45" s="39"/>
      <c r="VX45" s="39"/>
      <c r="VY45" s="39"/>
      <c r="VZ45" s="39"/>
      <c r="WA45" s="39"/>
      <c r="WB45" s="39"/>
      <c r="WC45" s="39"/>
      <c r="WD45" s="39"/>
      <c r="WE45" s="39"/>
      <c r="WF45" s="39"/>
      <c r="WG45" s="39"/>
      <c r="WH45" s="39"/>
      <c r="WI45" s="39"/>
      <c r="WJ45" s="39"/>
      <c r="WK45" s="39"/>
      <c r="WL45" s="39"/>
      <c r="WM45" s="39"/>
      <c r="WN45" s="39"/>
      <c r="WO45" s="39"/>
      <c r="WP45" s="39"/>
      <c r="WQ45" s="39"/>
      <c r="WR45" s="39"/>
      <c r="WS45" s="39"/>
      <c r="WT45" s="39"/>
      <c r="WU45" s="39"/>
      <c r="WV45" s="39"/>
      <c r="WW45" s="39"/>
      <c r="WX45" s="39"/>
      <c r="WY45" s="39"/>
      <c r="WZ45" s="39"/>
      <c r="XA45" s="39"/>
      <c r="XB45" s="39"/>
      <c r="XC45" s="39"/>
      <c r="XD45" s="39"/>
      <c r="XE45" s="39"/>
      <c r="XF45" s="39"/>
      <c r="XG45" s="39"/>
      <c r="XH45" s="39"/>
      <c r="XI45" s="39"/>
      <c r="XJ45" s="39"/>
      <c r="XK45" s="39"/>
      <c r="XL45" s="39"/>
      <c r="XM45" s="39"/>
      <c r="XN45" s="39"/>
      <c r="XO45" s="39"/>
      <c r="XP45" s="39"/>
      <c r="XQ45" s="39"/>
      <c r="XR45" s="39"/>
      <c r="XS45" s="39"/>
      <c r="XT45" s="39"/>
      <c r="XU45" s="39"/>
      <c r="XV45" s="39"/>
      <c r="XW45" s="39"/>
      <c r="XX45" s="39"/>
      <c r="XY45" s="39"/>
      <c r="XZ45" s="39"/>
      <c r="YA45" s="39"/>
      <c r="YB45" s="39"/>
      <c r="YC45" s="39"/>
      <c r="YD45" s="39"/>
      <c r="YE45" s="39"/>
      <c r="YF45" s="39"/>
      <c r="YG45" s="39"/>
      <c r="YH45" s="39"/>
      <c r="YI45" s="39"/>
      <c r="YJ45" s="39"/>
      <c r="YK45" s="39"/>
      <c r="YL45" s="39"/>
      <c r="YM45" s="39"/>
      <c r="YN45" s="39"/>
      <c r="YO45" s="39"/>
      <c r="YP45" s="39"/>
      <c r="YQ45" s="39"/>
      <c r="YR45" s="39"/>
      <c r="YS45" s="39"/>
      <c r="YT45" s="39"/>
      <c r="YU45" s="39"/>
      <c r="YV45" s="39"/>
      <c r="YW45" s="39"/>
      <c r="YX45" s="39"/>
      <c r="YY45" s="39"/>
      <c r="YZ45" s="39"/>
      <c r="ZA45" s="39"/>
      <c r="ZB45" s="39"/>
      <c r="ZC45" s="39"/>
      <c r="ZD45" s="39"/>
      <c r="ZE45" s="39"/>
      <c r="ZF45" s="39"/>
      <c r="ZG45" s="39"/>
      <c r="ZH45" s="39"/>
      <c r="ZI45" s="39"/>
      <c r="ZJ45" s="39"/>
      <c r="ZK45" s="39"/>
      <c r="ZL45" s="39"/>
      <c r="ZM45" s="39"/>
      <c r="ZN45" s="39"/>
      <c r="ZO45" s="39"/>
      <c r="ZP45" s="39"/>
      <c r="ZQ45" s="39"/>
      <c r="ZR45" s="39"/>
      <c r="ZS45" s="39"/>
      <c r="ZT45" s="39"/>
      <c r="ZU45" s="39"/>
      <c r="ZV45" s="39"/>
      <c r="ZW45" s="39"/>
      <c r="ZX45" s="39"/>
      <c r="ZY45" s="39"/>
      <c r="ZZ45" s="39"/>
      <c r="AAA45" s="39"/>
      <c r="AAB45" s="39"/>
      <c r="AAC45" s="39"/>
      <c r="AAD45" s="39"/>
      <c r="AAE45" s="39"/>
      <c r="AAF45" s="39"/>
      <c r="AAG45" s="39"/>
      <c r="AAH45" s="39"/>
      <c r="AAI45" s="39"/>
      <c r="AAJ45" s="39"/>
      <c r="AAK45" s="39"/>
      <c r="AAL45" s="39"/>
      <c r="AAM45" s="39"/>
      <c r="AAN45" s="39"/>
      <c r="AAO45" s="39"/>
      <c r="AAP45" s="39"/>
      <c r="AAQ45" s="39"/>
      <c r="AAR45" s="39"/>
      <c r="AAS45" s="39"/>
      <c r="AAT45" s="39"/>
      <c r="AAU45" s="39"/>
      <c r="AAV45" s="39"/>
      <c r="AAW45" s="39"/>
      <c r="AAX45" s="39"/>
      <c r="AAY45" s="39"/>
      <c r="AAZ45" s="39"/>
      <c r="ABA45" s="39"/>
      <c r="ABB45" s="39"/>
      <c r="ABC45" s="39"/>
      <c r="ABD45" s="39"/>
      <c r="ABE45" s="39"/>
      <c r="ABF45" s="39"/>
      <c r="ABG45" s="39"/>
      <c r="ABH45" s="39"/>
      <c r="ABI45" s="39"/>
      <c r="ABJ45" s="39"/>
      <c r="ABK45" s="39"/>
      <c r="ABL45" s="39"/>
      <c r="ABM45" s="39"/>
      <c r="ABN45" s="39"/>
      <c r="ABO45" s="39"/>
      <c r="ABP45" s="39"/>
      <c r="ABQ45" s="39"/>
      <c r="ABR45" s="39"/>
      <c r="ABS45" s="39"/>
      <c r="ABT45" s="39"/>
      <c r="ABU45" s="39"/>
      <c r="ABV45" s="39"/>
      <c r="ABW45" s="39"/>
      <c r="ABX45" s="39"/>
      <c r="ABY45" s="39"/>
      <c r="ABZ45" s="39"/>
      <c r="ACA45" s="39"/>
      <c r="ACB45" s="39"/>
      <c r="ACC45" s="39"/>
      <c r="ACD45" s="39"/>
      <c r="ACE45" s="39"/>
      <c r="ACF45" s="39"/>
      <c r="ACG45" s="39"/>
      <c r="ACH45" s="39"/>
      <c r="ACI45" s="39"/>
      <c r="ACJ45" s="39"/>
      <c r="ACK45" s="39"/>
      <c r="ACL45" s="39"/>
      <c r="ACM45" s="39"/>
      <c r="ACN45" s="39"/>
      <c r="ACO45" s="39"/>
      <c r="ACP45" s="39"/>
      <c r="ACQ45" s="39"/>
      <c r="ACR45" s="39"/>
      <c r="ACS45" s="39"/>
      <c r="ACT45" s="39"/>
      <c r="ACU45" s="39"/>
      <c r="ACV45" s="39"/>
      <c r="ACW45" s="39"/>
      <c r="ACX45" s="39"/>
      <c r="ACY45" s="39"/>
      <c r="ACZ45" s="39"/>
      <c r="ADA45" s="39"/>
      <c r="ADB45" s="39"/>
      <c r="ADC45" s="39"/>
      <c r="ADD45" s="39"/>
      <c r="ADE45" s="39"/>
      <c r="ADF45" s="39"/>
      <c r="ADG45" s="39"/>
      <c r="ADH45" s="39"/>
      <c r="ADI45" s="39"/>
      <c r="ADJ45" s="39"/>
      <c r="ADK45" s="39"/>
      <c r="ADL45" s="39"/>
      <c r="ADM45" s="39"/>
      <c r="ADN45" s="39"/>
      <c r="ADO45" s="39"/>
      <c r="ADP45" s="39"/>
      <c r="ADQ45" s="39"/>
      <c r="ADR45" s="39"/>
      <c r="ADS45" s="39"/>
      <c r="ADT45" s="39"/>
      <c r="ADU45" s="39"/>
      <c r="ADV45" s="39"/>
      <c r="ADW45" s="39"/>
      <c r="ADX45" s="39"/>
      <c r="ADY45" s="39"/>
      <c r="ADZ45" s="39"/>
      <c r="AEA45" s="39"/>
      <c r="AEB45" s="39"/>
      <c r="AEC45" s="39"/>
      <c r="AED45" s="39"/>
      <c r="AEE45" s="39"/>
      <c r="AEF45" s="39"/>
      <c r="AEG45" s="39"/>
      <c r="AEH45" s="39"/>
      <c r="AEI45" s="39"/>
      <c r="AEJ45" s="39"/>
      <c r="AEK45" s="39"/>
      <c r="AEL45" s="39"/>
      <c r="AEM45" s="39"/>
      <c r="AEN45" s="39"/>
      <c r="AEO45" s="39"/>
      <c r="AEP45" s="39"/>
      <c r="AEQ45" s="39"/>
      <c r="AER45" s="39"/>
      <c r="AES45" s="39"/>
      <c r="AET45" s="39"/>
      <c r="AEU45" s="39"/>
      <c r="AEV45" s="39"/>
      <c r="AEW45" s="39"/>
      <c r="AEX45" s="39"/>
      <c r="AEY45" s="39"/>
      <c r="AEZ45" s="39"/>
      <c r="AFA45" s="39"/>
      <c r="AFB45" s="39"/>
      <c r="AFC45" s="39"/>
      <c r="AFD45" s="39"/>
      <c r="AFE45" s="39"/>
      <c r="AFF45" s="39"/>
      <c r="AFG45" s="39"/>
      <c r="AFH45" s="39"/>
      <c r="AFI45" s="39"/>
      <c r="AFJ45" s="39"/>
      <c r="AFK45" s="39"/>
      <c r="AFL45" s="39"/>
      <c r="AFM45" s="39"/>
      <c r="AFN45" s="39"/>
      <c r="AFO45" s="39"/>
      <c r="AFP45" s="39"/>
      <c r="AFQ45" s="39"/>
      <c r="AFR45" s="39"/>
      <c r="AFS45" s="39"/>
      <c r="AFT45" s="39"/>
      <c r="AFU45" s="39"/>
      <c r="AFV45" s="39"/>
      <c r="AFW45" s="39"/>
      <c r="AFX45" s="39"/>
      <c r="AFY45" s="39"/>
      <c r="AFZ45" s="39"/>
      <c r="AGA45" s="39"/>
      <c r="AGB45" s="39"/>
      <c r="AGC45" s="39"/>
      <c r="AGD45" s="39"/>
      <c r="AGE45" s="39"/>
      <c r="AGF45" s="39"/>
      <c r="AGG45" s="39"/>
      <c r="AGH45" s="39"/>
      <c r="AGI45" s="39"/>
      <c r="AGJ45" s="39"/>
      <c r="AGK45" s="39"/>
      <c r="AGL45" s="39"/>
      <c r="AGM45" s="39"/>
      <c r="AGN45" s="39"/>
      <c r="AGO45" s="39"/>
      <c r="AGP45" s="39"/>
      <c r="AGQ45" s="39"/>
      <c r="AGR45" s="39"/>
      <c r="AGS45" s="39"/>
      <c r="AGT45" s="39"/>
      <c r="AGU45" s="39"/>
      <c r="AGV45" s="39"/>
      <c r="AGW45" s="39"/>
      <c r="AGX45" s="39"/>
      <c r="AGY45" s="39"/>
      <c r="AGZ45" s="39"/>
      <c r="AHA45" s="39"/>
      <c r="AHB45" s="39"/>
      <c r="AHC45" s="39"/>
      <c r="AHD45" s="39"/>
      <c r="AHE45" s="39"/>
      <c r="AHF45" s="39"/>
      <c r="AHG45" s="39"/>
      <c r="AHH45" s="39"/>
      <c r="AHI45" s="39"/>
      <c r="AHJ45" s="39"/>
      <c r="AHK45" s="39"/>
      <c r="AHL45" s="39"/>
      <c r="AHM45" s="39"/>
      <c r="AHN45" s="39"/>
      <c r="AHO45" s="39"/>
      <c r="AHP45" s="39"/>
      <c r="AHQ45" s="39"/>
      <c r="AHR45" s="39"/>
      <c r="AHS45" s="39"/>
      <c r="AHT45" s="39"/>
      <c r="AHU45" s="39"/>
      <c r="AHV45" s="39"/>
      <c r="AHW45" s="39"/>
      <c r="AHX45" s="39"/>
      <c r="AHY45" s="39"/>
      <c r="AHZ45" s="39"/>
      <c r="AIA45" s="39"/>
      <c r="AIB45" s="39"/>
      <c r="AIC45" s="39"/>
      <c r="AID45" s="39"/>
      <c r="AIE45" s="39"/>
      <c r="AIF45" s="39"/>
      <c r="AIG45" s="39"/>
      <c r="AIH45" s="39"/>
      <c r="AII45" s="39"/>
      <c r="AIJ45" s="39"/>
      <c r="AIK45" s="39"/>
      <c r="AIL45" s="39"/>
      <c r="AIM45" s="39"/>
      <c r="AIN45" s="39"/>
      <c r="AIO45" s="39"/>
      <c r="AIP45" s="39"/>
      <c r="AIQ45" s="39"/>
      <c r="AIR45" s="39"/>
      <c r="AIS45" s="39"/>
      <c r="AIT45" s="39"/>
      <c r="AIU45" s="39"/>
      <c r="AIV45" s="39"/>
      <c r="AIW45" s="39"/>
      <c r="AIX45" s="39"/>
      <c r="AIY45" s="39"/>
      <c r="AIZ45" s="39"/>
      <c r="AJA45" s="39"/>
      <c r="AJB45" s="39"/>
      <c r="AJC45" s="39"/>
      <c r="AJD45" s="39"/>
      <c r="AJE45" s="39"/>
      <c r="AJF45" s="39"/>
      <c r="AJG45" s="39"/>
      <c r="AJH45" s="39"/>
      <c r="AJI45" s="39"/>
      <c r="AJJ45" s="39"/>
      <c r="AJK45" s="39"/>
      <c r="AJL45" s="39"/>
      <c r="AJM45" s="39"/>
      <c r="AJN45" s="39"/>
      <c r="AJO45" s="39"/>
      <c r="AJP45" s="39"/>
      <c r="AJQ45" s="39"/>
      <c r="AJR45" s="39"/>
      <c r="AJS45" s="39"/>
      <c r="AJT45" s="39"/>
      <c r="AJU45" s="39"/>
      <c r="AJV45" s="39"/>
      <c r="AJW45" s="39"/>
      <c r="AJX45" s="39"/>
      <c r="AJY45" s="39"/>
      <c r="AJZ45" s="39"/>
      <c r="AKA45" s="39"/>
      <c r="AKB45" s="39"/>
      <c r="AKC45" s="39"/>
      <c r="AKD45" s="39"/>
      <c r="AKE45" s="39"/>
      <c r="AKF45" s="39"/>
      <c r="AKG45" s="39"/>
      <c r="AKH45" s="39"/>
      <c r="AKI45" s="39"/>
      <c r="AKJ45" s="39"/>
      <c r="AKK45" s="39"/>
      <c r="AKL45" s="39"/>
      <c r="AKM45" s="39"/>
      <c r="AKN45" s="39"/>
      <c r="AKO45" s="39"/>
      <c r="AKP45" s="39"/>
      <c r="AKQ45" s="39"/>
    </row>
    <row r="46" spans="1:979" s="163" customFormat="1" ht="24" customHeight="1" x14ac:dyDescent="0.25">
      <c r="A46" s="882"/>
      <c r="B46" s="188"/>
      <c r="C46" s="172" t="s">
        <v>124</v>
      </c>
      <c r="D46" s="172" t="s">
        <v>121</v>
      </c>
      <c r="E46" s="172">
        <f>0.5*100000</f>
        <v>50000</v>
      </c>
      <c r="F46" s="69">
        <f>BJ46</f>
        <v>0</v>
      </c>
      <c r="G46" s="125">
        <f>E46*F46</f>
        <v>0</v>
      </c>
      <c r="H46" s="125">
        <f>G46*0</f>
        <v>0</v>
      </c>
      <c r="I46" s="125">
        <f>G46*1</f>
        <v>0</v>
      </c>
      <c r="J46" s="125">
        <f>G46*0</f>
        <v>0</v>
      </c>
      <c r="K46" s="125">
        <f>G46*0</f>
        <v>0</v>
      </c>
      <c r="L46" s="125">
        <f>G46*0</f>
        <v>0</v>
      </c>
      <c r="M46" s="125">
        <f>G46*0</f>
        <v>0</v>
      </c>
      <c r="N46" s="125">
        <f>G46*0</f>
        <v>0</v>
      </c>
      <c r="O46" s="125">
        <f>G46*0</f>
        <v>0</v>
      </c>
      <c r="P46" s="125">
        <f>G46*0</f>
        <v>0</v>
      </c>
      <c r="Q46" s="125">
        <f>G46*0</f>
        <v>0</v>
      </c>
      <c r="R46" s="153">
        <f t="shared" ref="R46:R49" si="67">F46*0.1</f>
        <v>0</v>
      </c>
      <c r="S46" s="153">
        <f t="shared" ref="S46:S49" si="68">F46*0.25</f>
        <v>0</v>
      </c>
      <c r="T46" s="153">
        <f t="shared" ref="T46:T49" si="69">F46*0.35</f>
        <v>0</v>
      </c>
      <c r="U46" s="153">
        <f t="shared" ref="U46:U49" si="70">F46*0.3</f>
        <v>0</v>
      </c>
      <c r="V46" s="69">
        <f>R46*E46</f>
        <v>0</v>
      </c>
      <c r="W46" s="69">
        <f>S46*E46</f>
        <v>0</v>
      </c>
      <c r="X46" s="69">
        <f>T46*E46</f>
        <v>0</v>
      </c>
      <c r="Y46" s="69">
        <f>U46*E46</f>
        <v>0</v>
      </c>
      <c r="Z46" s="133">
        <v>0</v>
      </c>
      <c r="AA46" s="125">
        <f>Z46*50000</f>
        <v>0</v>
      </c>
      <c r="AB46" s="133">
        <v>0</v>
      </c>
      <c r="AC46" s="125">
        <f>AB46*50000</f>
        <v>0</v>
      </c>
      <c r="AD46" s="133">
        <v>0</v>
      </c>
      <c r="AE46" s="125">
        <f>AD46*50000</f>
        <v>0</v>
      </c>
      <c r="AF46" s="133">
        <v>0</v>
      </c>
      <c r="AG46" s="125">
        <f>AF46*50000</f>
        <v>0</v>
      </c>
      <c r="AH46" s="133">
        <v>0</v>
      </c>
      <c r="AI46" s="125">
        <f>AH46*50000</f>
        <v>0</v>
      </c>
      <c r="AJ46" s="133">
        <v>0</v>
      </c>
      <c r="AK46" s="125">
        <f>AJ46*50000</f>
        <v>0</v>
      </c>
      <c r="AL46" s="133">
        <v>0</v>
      </c>
      <c r="AM46" s="125">
        <f>AL46*50000</f>
        <v>0</v>
      </c>
      <c r="AN46" s="133">
        <v>0</v>
      </c>
      <c r="AO46" s="125">
        <f>AN46*50000</f>
        <v>0</v>
      </c>
      <c r="AP46" s="133">
        <v>0</v>
      </c>
      <c r="AQ46" s="125">
        <f>AP46*50000</f>
        <v>0</v>
      </c>
      <c r="AR46" s="133">
        <v>0</v>
      </c>
      <c r="AS46" s="125">
        <f>AR46*50000</f>
        <v>0</v>
      </c>
      <c r="AT46" s="133">
        <v>0</v>
      </c>
      <c r="AU46" s="125">
        <f>AT46*50000</f>
        <v>0</v>
      </c>
      <c r="AV46" s="133">
        <v>0</v>
      </c>
      <c r="AW46" s="125">
        <f>AV46*50000</f>
        <v>0</v>
      </c>
      <c r="AX46" s="133">
        <v>0</v>
      </c>
      <c r="AY46" s="125">
        <f>AX46*50000</f>
        <v>0</v>
      </c>
      <c r="AZ46" s="133">
        <v>0</v>
      </c>
      <c r="BA46" s="125">
        <f>AZ46*50000</f>
        <v>0</v>
      </c>
      <c r="BB46" s="133">
        <v>0</v>
      </c>
      <c r="BC46" s="125">
        <f>BB46*50000</f>
        <v>0</v>
      </c>
      <c r="BD46" s="133">
        <v>0</v>
      </c>
      <c r="BE46" s="125">
        <f>BD46*50000</f>
        <v>0</v>
      </c>
      <c r="BF46" s="133">
        <v>0</v>
      </c>
      <c r="BG46" s="125">
        <f>BF46*50000</f>
        <v>0</v>
      </c>
      <c r="BH46" s="133">
        <v>0</v>
      </c>
      <c r="BI46" s="125">
        <f>BH46*50000</f>
        <v>0</v>
      </c>
      <c r="BJ46" s="133">
        <f t="shared" si="66"/>
        <v>0</v>
      </c>
      <c r="BK46" s="133">
        <f t="shared" si="66"/>
        <v>0</v>
      </c>
      <c r="BL46" s="325" t="s">
        <v>469</v>
      </c>
      <c r="BM46" s="39"/>
      <c r="BN46" s="176">
        <v>0</v>
      </c>
      <c r="BO46" s="176">
        <v>0</v>
      </c>
      <c r="BP46" s="176">
        <v>0</v>
      </c>
      <c r="BQ46" s="176">
        <f>G46</f>
        <v>0</v>
      </c>
      <c r="BR46" s="176">
        <f>BN46+BO46+BP46+BQ46</f>
        <v>0</v>
      </c>
      <c r="BS46" s="176">
        <v>0</v>
      </c>
      <c r="BT46" s="176">
        <v>0</v>
      </c>
      <c r="BU46" s="176">
        <f>BS46+BT46</f>
        <v>0</v>
      </c>
      <c r="BV46" s="189">
        <f t="shared" si="1"/>
        <v>0</v>
      </c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  <c r="LM46" s="39"/>
      <c r="LN46" s="39"/>
      <c r="LO46" s="39"/>
      <c r="LP46" s="39"/>
      <c r="LQ46" s="39"/>
      <c r="LR46" s="39"/>
      <c r="LS46" s="39"/>
      <c r="LT46" s="39"/>
      <c r="LU46" s="39"/>
      <c r="LV46" s="39"/>
      <c r="LW46" s="39"/>
      <c r="LX46" s="39"/>
      <c r="LY46" s="39"/>
      <c r="LZ46" s="39"/>
      <c r="MA46" s="39"/>
      <c r="MB46" s="39"/>
      <c r="MC46" s="39"/>
      <c r="MD46" s="39"/>
      <c r="ME46" s="39"/>
      <c r="MF46" s="39"/>
      <c r="MG46" s="39"/>
      <c r="MH46" s="39"/>
      <c r="MI46" s="39"/>
      <c r="MJ46" s="39"/>
      <c r="MK46" s="39"/>
      <c r="ML46" s="39"/>
      <c r="MM46" s="39"/>
      <c r="MN46" s="39"/>
      <c r="MO46" s="39"/>
      <c r="MP46" s="39"/>
      <c r="MQ46" s="39"/>
      <c r="MR46" s="39"/>
      <c r="MS46" s="39"/>
      <c r="MT46" s="39"/>
      <c r="MU46" s="39"/>
      <c r="MV46" s="39"/>
      <c r="MW46" s="39"/>
      <c r="MX46" s="39"/>
      <c r="MY46" s="39"/>
      <c r="MZ46" s="39"/>
      <c r="NA46" s="39"/>
      <c r="NB46" s="39"/>
      <c r="NC46" s="39"/>
      <c r="ND46" s="39"/>
      <c r="NE46" s="39"/>
      <c r="NF46" s="39"/>
      <c r="NG46" s="39"/>
      <c r="NH46" s="39"/>
      <c r="NI46" s="39"/>
      <c r="NJ46" s="39"/>
      <c r="NK46" s="39"/>
      <c r="NL46" s="39"/>
      <c r="NM46" s="39"/>
      <c r="NN46" s="39"/>
      <c r="NO46" s="39"/>
      <c r="NP46" s="39"/>
      <c r="NQ46" s="39"/>
      <c r="NR46" s="39"/>
      <c r="NS46" s="39"/>
      <c r="NT46" s="39"/>
      <c r="NU46" s="39"/>
      <c r="NV46" s="39"/>
      <c r="NW46" s="39"/>
      <c r="NX46" s="39"/>
      <c r="NY46" s="39"/>
      <c r="NZ46" s="39"/>
      <c r="OA46" s="39"/>
      <c r="OB46" s="39"/>
      <c r="OC46" s="39"/>
      <c r="OD46" s="39"/>
      <c r="OE46" s="39"/>
      <c r="OF46" s="39"/>
      <c r="OG46" s="39"/>
      <c r="OH46" s="39"/>
      <c r="OI46" s="39"/>
      <c r="OJ46" s="39"/>
      <c r="OK46" s="39"/>
      <c r="OL46" s="39"/>
      <c r="OM46" s="39"/>
      <c r="ON46" s="39"/>
      <c r="OO46" s="39"/>
      <c r="OP46" s="39"/>
      <c r="OQ46" s="39"/>
      <c r="OR46" s="39"/>
      <c r="OS46" s="39"/>
      <c r="OT46" s="39"/>
      <c r="OU46" s="39"/>
      <c r="OV46" s="39"/>
      <c r="OW46" s="39"/>
      <c r="OX46" s="39"/>
      <c r="OY46" s="39"/>
      <c r="OZ46" s="39"/>
      <c r="PA46" s="39"/>
      <c r="PB46" s="39"/>
      <c r="PC46" s="39"/>
      <c r="PD46" s="39"/>
      <c r="PE46" s="39"/>
      <c r="PF46" s="39"/>
      <c r="PG46" s="39"/>
      <c r="PH46" s="39"/>
      <c r="PI46" s="39"/>
      <c r="PJ46" s="39"/>
      <c r="PK46" s="39"/>
      <c r="PL46" s="39"/>
      <c r="PM46" s="39"/>
      <c r="PN46" s="39"/>
      <c r="PO46" s="39"/>
      <c r="PP46" s="39"/>
      <c r="PQ46" s="39"/>
      <c r="PR46" s="39"/>
      <c r="PS46" s="39"/>
      <c r="PT46" s="39"/>
      <c r="PU46" s="39"/>
      <c r="PV46" s="39"/>
      <c r="PW46" s="39"/>
      <c r="PX46" s="39"/>
      <c r="PY46" s="39"/>
      <c r="PZ46" s="39"/>
      <c r="QA46" s="39"/>
      <c r="QB46" s="39"/>
      <c r="QC46" s="39"/>
      <c r="QD46" s="39"/>
      <c r="QE46" s="39"/>
      <c r="QF46" s="39"/>
      <c r="QG46" s="39"/>
      <c r="QH46" s="39"/>
      <c r="QI46" s="39"/>
      <c r="QJ46" s="39"/>
      <c r="QK46" s="39"/>
      <c r="QL46" s="39"/>
      <c r="QM46" s="39"/>
      <c r="QN46" s="39"/>
      <c r="QO46" s="39"/>
      <c r="QP46" s="39"/>
      <c r="QQ46" s="39"/>
      <c r="QR46" s="39"/>
      <c r="QS46" s="39"/>
      <c r="QT46" s="39"/>
      <c r="QU46" s="39"/>
      <c r="QV46" s="39"/>
      <c r="QW46" s="39"/>
      <c r="QX46" s="39"/>
      <c r="QY46" s="39"/>
      <c r="QZ46" s="39"/>
      <c r="RA46" s="39"/>
      <c r="RB46" s="39"/>
      <c r="RC46" s="39"/>
      <c r="RD46" s="39"/>
      <c r="RE46" s="39"/>
      <c r="RF46" s="39"/>
      <c r="RG46" s="39"/>
      <c r="RH46" s="39"/>
      <c r="RI46" s="39"/>
      <c r="RJ46" s="39"/>
      <c r="RK46" s="39"/>
      <c r="RL46" s="39"/>
      <c r="RM46" s="39"/>
      <c r="RN46" s="39"/>
      <c r="RO46" s="39"/>
      <c r="RP46" s="39"/>
      <c r="RQ46" s="39"/>
      <c r="RR46" s="39"/>
      <c r="RS46" s="39"/>
      <c r="RT46" s="39"/>
      <c r="RU46" s="39"/>
      <c r="RV46" s="39"/>
      <c r="RW46" s="39"/>
      <c r="RX46" s="39"/>
      <c r="RY46" s="39"/>
      <c r="RZ46" s="39"/>
      <c r="SA46" s="39"/>
      <c r="SB46" s="39"/>
      <c r="SC46" s="39"/>
      <c r="SD46" s="39"/>
      <c r="SE46" s="39"/>
      <c r="SF46" s="39"/>
      <c r="SG46" s="39"/>
      <c r="SH46" s="39"/>
      <c r="SI46" s="39"/>
      <c r="SJ46" s="39"/>
      <c r="SK46" s="39"/>
      <c r="SL46" s="39"/>
      <c r="SM46" s="39"/>
      <c r="SN46" s="39"/>
      <c r="SO46" s="39"/>
      <c r="SP46" s="39"/>
      <c r="SQ46" s="39"/>
      <c r="SR46" s="39"/>
      <c r="SS46" s="39"/>
      <c r="ST46" s="39"/>
      <c r="SU46" s="39"/>
      <c r="SV46" s="39"/>
      <c r="SW46" s="39"/>
      <c r="SX46" s="39"/>
      <c r="SY46" s="39"/>
      <c r="SZ46" s="39"/>
      <c r="TA46" s="39"/>
      <c r="TB46" s="39"/>
      <c r="TC46" s="39"/>
      <c r="TD46" s="39"/>
      <c r="TE46" s="39"/>
      <c r="TF46" s="39"/>
      <c r="TG46" s="39"/>
      <c r="TH46" s="39"/>
      <c r="TI46" s="39"/>
      <c r="TJ46" s="39"/>
      <c r="TK46" s="39"/>
      <c r="TL46" s="39"/>
      <c r="TM46" s="39"/>
      <c r="TN46" s="39"/>
      <c r="TO46" s="39"/>
      <c r="TP46" s="39"/>
      <c r="TQ46" s="39"/>
      <c r="TR46" s="39"/>
      <c r="TS46" s="39"/>
      <c r="TT46" s="39"/>
      <c r="TU46" s="39"/>
      <c r="TV46" s="39"/>
      <c r="TW46" s="39"/>
      <c r="TX46" s="39"/>
      <c r="TY46" s="39"/>
      <c r="TZ46" s="39"/>
      <c r="UA46" s="39"/>
      <c r="UB46" s="39"/>
      <c r="UC46" s="39"/>
      <c r="UD46" s="39"/>
      <c r="UE46" s="39"/>
      <c r="UF46" s="39"/>
      <c r="UG46" s="39"/>
      <c r="UH46" s="39"/>
      <c r="UI46" s="39"/>
      <c r="UJ46" s="39"/>
      <c r="UK46" s="39"/>
      <c r="UL46" s="39"/>
      <c r="UM46" s="39"/>
      <c r="UN46" s="39"/>
      <c r="UO46" s="39"/>
      <c r="UP46" s="39"/>
      <c r="UQ46" s="39"/>
      <c r="UR46" s="39"/>
      <c r="US46" s="39"/>
      <c r="UT46" s="39"/>
      <c r="UU46" s="39"/>
      <c r="UV46" s="39"/>
      <c r="UW46" s="39"/>
      <c r="UX46" s="39"/>
      <c r="UY46" s="39"/>
      <c r="UZ46" s="39"/>
      <c r="VA46" s="39"/>
      <c r="VB46" s="39"/>
      <c r="VC46" s="39"/>
      <c r="VD46" s="39"/>
      <c r="VE46" s="39"/>
      <c r="VF46" s="39"/>
      <c r="VG46" s="39"/>
      <c r="VH46" s="39"/>
      <c r="VI46" s="39"/>
      <c r="VJ46" s="39"/>
      <c r="VK46" s="39"/>
      <c r="VL46" s="39"/>
      <c r="VM46" s="39"/>
      <c r="VN46" s="39"/>
      <c r="VO46" s="39"/>
      <c r="VP46" s="39"/>
      <c r="VQ46" s="39"/>
      <c r="VR46" s="39"/>
      <c r="VS46" s="39"/>
      <c r="VT46" s="39"/>
      <c r="VU46" s="39"/>
      <c r="VV46" s="39"/>
      <c r="VW46" s="39"/>
      <c r="VX46" s="39"/>
      <c r="VY46" s="39"/>
      <c r="VZ46" s="39"/>
      <c r="WA46" s="39"/>
      <c r="WB46" s="39"/>
      <c r="WC46" s="39"/>
      <c r="WD46" s="39"/>
      <c r="WE46" s="39"/>
      <c r="WF46" s="39"/>
      <c r="WG46" s="39"/>
      <c r="WH46" s="39"/>
      <c r="WI46" s="39"/>
      <c r="WJ46" s="39"/>
      <c r="WK46" s="39"/>
      <c r="WL46" s="39"/>
      <c r="WM46" s="39"/>
      <c r="WN46" s="39"/>
      <c r="WO46" s="39"/>
      <c r="WP46" s="39"/>
      <c r="WQ46" s="39"/>
      <c r="WR46" s="39"/>
      <c r="WS46" s="39"/>
      <c r="WT46" s="39"/>
      <c r="WU46" s="39"/>
      <c r="WV46" s="39"/>
      <c r="WW46" s="39"/>
      <c r="WX46" s="39"/>
      <c r="WY46" s="39"/>
      <c r="WZ46" s="39"/>
      <c r="XA46" s="39"/>
      <c r="XB46" s="39"/>
      <c r="XC46" s="39"/>
      <c r="XD46" s="39"/>
      <c r="XE46" s="39"/>
      <c r="XF46" s="39"/>
      <c r="XG46" s="39"/>
      <c r="XH46" s="39"/>
      <c r="XI46" s="39"/>
      <c r="XJ46" s="39"/>
      <c r="XK46" s="39"/>
      <c r="XL46" s="39"/>
      <c r="XM46" s="39"/>
      <c r="XN46" s="39"/>
      <c r="XO46" s="39"/>
      <c r="XP46" s="39"/>
      <c r="XQ46" s="39"/>
      <c r="XR46" s="39"/>
      <c r="XS46" s="39"/>
      <c r="XT46" s="39"/>
      <c r="XU46" s="39"/>
      <c r="XV46" s="39"/>
      <c r="XW46" s="39"/>
      <c r="XX46" s="39"/>
      <c r="XY46" s="39"/>
      <c r="XZ46" s="39"/>
      <c r="YA46" s="39"/>
      <c r="YB46" s="39"/>
      <c r="YC46" s="39"/>
      <c r="YD46" s="39"/>
      <c r="YE46" s="39"/>
      <c r="YF46" s="39"/>
      <c r="YG46" s="39"/>
      <c r="YH46" s="39"/>
      <c r="YI46" s="39"/>
      <c r="YJ46" s="39"/>
      <c r="YK46" s="39"/>
      <c r="YL46" s="39"/>
      <c r="YM46" s="39"/>
      <c r="YN46" s="39"/>
      <c r="YO46" s="39"/>
      <c r="YP46" s="39"/>
      <c r="YQ46" s="39"/>
      <c r="YR46" s="39"/>
      <c r="YS46" s="39"/>
      <c r="YT46" s="39"/>
      <c r="YU46" s="39"/>
      <c r="YV46" s="39"/>
      <c r="YW46" s="39"/>
      <c r="YX46" s="39"/>
      <c r="YY46" s="39"/>
      <c r="YZ46" s="39"/>
      <c r="ZA46" s="39"/>
      <c r="ZB46" s="39"/>
      <c r="ZC46" s="39"/>
      <c r="ZD46" s="39"/>
      <c r="ZE46" s="39"/>
      <c r="ZF46" s="39"/>
      <c r="ZG46" s="39"/>
      <c r="ZH46" s="39"/>
      <c r="ZI46" s="39"/>
      <c r="ZJ46" s="39"/>
      <c r="ZK46" s="39"/>
      <c r="ZL46" s="39"/>
      <c r="ZM46" s="39"/>
      <c r="ZN46" s="39"/>
      <c r="ZO46" s="39"/>
      <c r="ZP46" s="39"/>
      <c r="ZQ46" s="39"/>
      <c r="ZR46" s="39"/>
      <c r="ZS46" s="39"/>
      <c r="ZT46" s="39"/>
      <c r="ZU46" s="39"/>
      <c r="ZV46" s="39"/>
      <c r="ZW46" s="39"/>
      <c r="ZX46" s="39"/>
      <c r="ZY46" s="39"/>
      <c r="ZZ46" s="39"/>
      <c r="AAA46" s="39"/>
      <c r="AAB46" s="39"/>
      <c r="AAC46" s="39"/>
      <c r="AAD46" s="39"/>
      <c r="AAE46" s="39"/>
      <c r="AAF46" s="39"/>
      <c r="AAG46" s="39"/>
      <c r="AAH46" s="39"/>
      <c r="AAI46" s="39"/>
      <c r="AAJ46" s="39"/>
      <c r="AAK46" s="39"/>
      <c r="AAL46" s="39"/>
      <c r="AAM46" s="39"/>
      <c r="AAN46" s="39"/>
      <c r="AAO46" s="39"/>
      <c r="AAP46" s="39"/>
      <c r="AAQ46" s="39"/>
      <c r="AAR46" s="39"/>
      <c r="AAS46" s="39"/>
      <c r="AAT46" s="39"/>
      <c r="AAU46" s="39"/>
      <c r="AAV46" s="39"/>
      <c r="AAW46" s="39"/>
      <c r="AAX46" s="39"/>
      <c r="AAY46" s="39"/>
      <c r="AAZ46" s="39"/>
      <c r="ABA46" s="39"/>
      <c r="ABB46" s="39"/>
      <c r="ABC46" s="39"/>
      <c r="ABD46" s="39"/>
      <c r="ABE46" s="39"/>
      <c r="ABF46" s="39"/>
      <c r="ABG46" s="39"/>
      <c r="ABH46" s="39"/>
      <c r="ABI46" s="39"/>
      <c r="ABJ46" s="39"/>
      <c r="ABK46" s="39"/>
      <c r="ABL46" s="39"/>
      <c r="ABM46" s="39"/>
      <c r="ABN46" s="39"/>
      <c r="ABO46" s="39"/>
      <c r="ABP46" s="39"/>
      <c r="ABQ46" s="39"/>
      <c r="ABR46" s="39"/>
      <c r="ABS46" s="39"/>
      <c r="ABT46" s="39"/>
      <c r="ABU46" s="39"/>
      <c r="ABV46" s="39"/>
      <c r="ABW46" s="39"/>
      <c r="ABX46" s="39"/>
      <c r="ABY46" s="39"/>
      <c r="ABZ46" s="39"/>
      <c r="ACA46" s="39"/>
      <c r="ACB46" s="39"/>
      <c r="ACC46" s="39"/>
      <c r="ACD46" s="39"/>
      <c r="ACE46" s="39"/>
      <c r="ACF46" s="39"/>
      <c r="ACG46" s="39"/>
      <c r="ACH46" s="39"/>
      <c r="ACI46" s="39"/>
      <c r="ACJ46" s="39"/>
      <c r="ACK46" s="39"/>
      <c r="ACL46" s="39"/>
      <c r="ACM46" s="39"/>
      <c r="ACN46" s="39"/>
      <c r="ACO46" s="39"/>
      <c r="ACP46" s="39"/>
      <c r="ACQ46" s="39"/>
      <c r="ACR46" s="39"/>
      <c r="ACS46" s="39"/>
      <c r="ACT46" s="39"/>
      <c r="ACU46" s="39"/>
      <c r="ACV46" s="39"/>
      <c r="ACW46" s="39"/>
      <c r="ACX46" s="39"/>
      <c r="ACY46" s="39"/>
      <c r="ACZ46" s="39"/>
      <c r="ADA46" s="39"/>
      <c r="ADB46" s="39"/>
      <c r="ADC46" s="39"/>
      <c r="ADD46" s="39"/>
      <c r="ADE46" s="39"/>
      <c r="ADF46" s="39"/>
      <c r="ADG46" s="39"/>
      <c r="ADH46" s="39"/>
      <c r="ADI46" s="39"/>
      <c r="ADJ46" s="39"/>
      <c r="ADK46" s="39"/>
      <c r="ADL46" s="39"/>
      <c r="ADM46" s="39"/>
      <c r="ADN46" s="39"/>
      <c r="ADO46" s="39"/>
      <c r="ADP46" s="39"/>
      <c r="ADQ46" s="39"/>
      <c r="ADR46" s="39"/>
      <c r="ADS46" s="39"/>
      <c r="ADT46" s="39"/>
      <c r="ADU46" s="39"/>
      <c r="ADV46" s="39"/>
      <c r="ADW46" s="39"/>
      <c r="ADX46" s="39"/>
      <c r="ADY46" s="39"/>
      <c r="ADZ46" s="39"/>
      <c r="AEA46" s="39"/>
      <c r="AEB46" s="39"/>
      <c r="AEC46" s="39"/>
      <c r="AED46" s="39"/>
      <c r="AEE46" s="39"/>
      <c r="AEF46" s="39"/>
      <c r="AEG46" s="39"/>
      <c r="AEH46" s="39"/>
      <c r="AEI46" s="39"/>
      <c r="AEJ46" s="39"/>
      <c r="AEK46" s="39"/>
      <c r="AEL46" s="39"/>
      <c r="AEM46" s="39"/>
      <c r="AEN46" s="39"/>
      <c r="AEO46" s="39"/>
      <c r="AEP46" s="39"/>
      <c r="AEQ46" s="39"/>
      <c r="AER46" s="39"/>
      <c r="AES46" s="39"/>
      <c r="AET46" s="39"/>
      <c r="AEU46" s="39"/>
      <c r="AEV46" s="39"/>
      <c r="AEW46" s="39"/>
      <c r="AEX46" s="39"/>
      <c r="AEY46" s="39"/>
      <c r="AEZ46" s="39"/>
      <c r="AFA46" s="39"/>
      <c r="AFB46" s="39"/>
      <c r="AFC46" s="39"/>
      <c r="AFD46" s="39"/>
      <c r="AFE46" s="39"/>
      <c r="AFF46" s="39"/>
      <c r="AFG46" s="39"/>
      <c r="AFH46" s="39"/>
      <c r="AFI46" s="39"/>
      <c r="AFJ46" s="39"/>
      <c r="AFK46" s="39"/>
      <c r="AFL46" s="39"/>
      <c r="AFM46" s="39"/>
      <c r="AFN46" s="39"/>
      <c r="AFO46" s="39"/>
      <c r="AFP46" s="39"/>
      <c r="AFQ46" s="39"/>
      <c r="AFR46" s="39"/>
      <c r="AFS46" s="39"/>
      <c r="AFT46" s="39"/>
      <c r="AFU46" s="39"/>
      <c r="AFV46" s="39"/>
      <c r="AFW46" s="39"/>
      <c r="AFX46" s="39"/>
      <c r="AFY46" s="39"/>
      <c r="AFZ46" s="39"/>
      <c r="AGA46" s="39"/>
      <c r="AGB46" s="39"/>
      <c r="AGC46" s="39"/>
      <c r="AGD46" s="39"/>
      <c r="AGE46" s="39"/>
      <c r="AGF46" s="39"/>
      <c r="AGG46" s="39"/>
      <c r="AGH46" s="39"/>
      <c r="AGI46" s="39"/>
      <c r="AGJ46" s="39"/>
      <c r="AGK46" s="39"/>
      <c r="AGL46" s="39"/>
      <c r="AGM46" s="39"/>
      <c r="AGN46" s="39"/>
      <c r="AGO46" s="39"/>
      <c r="AGP46" s="39"/>
      <c r="AGQ46" s="39"/>
      <c r="AGR46" s="39"/>
      <c r="AGS46" s="39"/>
      <c r="AGT46" s="39"/>
      <c r="AGU46" s="39"/>
      <c r="AGV46" s="39"/>
      <c r="AGW46" s="39"/>
      <c r="AGX46" s="39"/>
      <c r="AGY46" s="39"/>
      <c r="AGZ46" s="39"/>
      <c r="AHA46" s="39"/>
      <c r="AHB46" s="39"/>
      <c r="AHC46" s="39"/>
      <c r="AHD46" s="39"/>
      <c r="AHE46" s="39"/>
      <c r="AHF46" s="39"/>
      <c r="AHG46" s="39"/>
      <c r="AHH46" s="39"/>
      <c r="AHI46" s="39"/>
      <c r="AHJ46" s="39"/>
      <c r="AHK46" s="39"/>
      <c r="AHL46" s="39"/>
      <c r="AHM46" s="39"/>
      <c r="AHN46" s="39"/>
      <c r="AHO46" s="39"/>
      <c r="AHP46" s="39"/>
      <c r="AHQ46" s="39"/>
      <c r="AHR46" s="39"/>
      <c r="AHS46" s="39"/>
      <c r="AHT46" s="39"/>
      <c r="AHU46" s="39"/>
      <c r="AHV46" s="39"/>
      <c r="AHW46" s="39"/>
      <c r="AHX46" s="39"/>
      <c r="AHY46" s="39"/>
      <c r="AHZ46" s="39"/>
      <c r="AIA46" s="39"/>
      <c r="AIB46" s="39"/>
      <c r="AIC46" s="39"/>
      <c r="AID46" s="39"/>
      <c r="AIE46" s="39"/>
      <c r="AIF46" s="39"/>
      <c r="AIG46" s="39"/>
      <c r="AIH46" s="39"/>
      <c r="AII46" s="39"/>
      <c r="AIJ46" s="39"/>
      <c r="AIK46" s="39"/>
      <c r="AIL46" s="39"/>
      <c r="AIM46" s="39"/>
      <c r="AIN46" s="39"/>
      <c r="AIO46" s="39"/>
      <c r="AIP46" s="39"/>
      <c r="AIQ46" s="39"/>
      <c r="AIR46" s="39"/>
      <c r="AIS46" s="39"/>
      <c r="AIT46" s="39"/>
      <c r="AIU46" s="39"/>
      <c r="AIV46" s="39"/>
      <c r="AIW46" s="39"/>
      <c r="AIX46" s="39"/>
      <c r="AIY46" s="39"/>
      <c r="AIZ46" s="39"/>
      <c r="AJA46" s="39"/>
      <c r="AJB46" s="39"/>
      <c r="AJC46" s="39"/>
      <c r="AJD46" s="39"/>
      <c r="AJE46" s="39"/>
      <c r="AJF46" s="39"/>
      <c r="AJG46" s="39"/>
      <c r="AJH46" s="39"/>
      <c r="AJI46" s="39"/>
      <c r="AJJ46" s="39"/>
      <c r="AJK46" s="39"/>
      <c r="AJL46" s="39"/>
      <c r="AJM46" s="39"/>
      <c r="AJN46" s="39"/>
      <c r="AJO46" s="39"/>
      <c r="AJP46" s="39"/>
      <c r="AJQ46" s="39"/>
      <c r="AJR46" s="39"/>
      <c r="AJS46" s="39"/>
      <c r="AJT46" s="39"/>
      <c r="AJU46" s="39"/>
      <c r="AJV46" s="39"/>
      <c r="AJW46" s="39"/>
      <c r="AJX46" s="39"/>
      <c r="AJY46" s="39"/>
      <c r="AJZ46" s="39"/>
      <c r="AKA46" s="39"/>
      <c r="AKB46" s="39"/>
      <c r="AKC46" s="39"/>
      <c r="AKD46" s="39"/>
      <c r="AKE46" s="39"/>
      <c r="AKF46" s="39"/>
      <c r="AKG46" s="39"/>
      <c r="AKH46" s="39"/>
      <c r="AKI46" s="39"/>
      <c r="AKJ46" s="39"/>
      <c r="AKK46" s="39"/>
      <c r="AKL46" s="39"/>
      <c r="AKM46" s="39"/>
      <c r="AKN46" s="39"/>
      <c r="AKO46" s="39"/>
      <c r="AKP46" s="39"/>
      <c r="AKQ46" s="39"/>
    </row>
    <row r="47" spans="1:979" ht="24" customHeight="1" x14ac:dyDescent="0.25">
      <c r="A47" s="882"/>
      <c r="B47" s="184"/>
      <c r="C47" s="167" t="s">
        <v>125</v>
      </c>
      <c r="D47" s="167" t="s">
        <v>121</v>
      </c>
      <c r="E47" s="167">
        <f>0.75*100000</f>
        <v>75000</v>
      </c>
      <c r="F47" s="69">
        <f>BJ47</f>
        <v>0</v>
      </c>
      <c r="G47" s="69">
        <f>E47*F47</f>
        <v>0</v>
      </c>
      <c r="H47" s="69">
        <f>G47*0</f>
        <v>0</v>
      </c>
      <c r="I47" s="69">
        <f>G47*1</f>
        <v>0</v>
      </c>
      <c r="J47" s="69">
        <f>G47*0</f>
        <v>0</v>
      </c>
      <c r="K47" s="69">
        <f>G47*0</f>
        <v>0</v>
      </c>
      <c r="L47" s="69">
        <f>G47*0</f>
        <v>0</v>
      </c>
      <c r="M47" s="69">
        <f>G47*0</f>
        <v>0</v>
      </c>
      <c r="N47" s="69">
        <f>G47*0</f>
        <v>0</v>
      </c>
      <c r="O47" s="69">
        <f>G47*0</f>
        <v>0</v>
      </c>
      <c r="P47" s="69">
        <f>G47*0</f>
        <v>0</v>
      </c>
      <c r="Q47" s="69">
        <f>G47*0</f>
        <v>0</v>
      </c>
      <c r="R47" s="153">
        <f t="shared" si="67"/>
        <v>0</v>
      </c>
      <c r="S47" s="153">
        <f t="shared" si="68"/>
        <v>0</v>
      </c>
      <c r="T47" s="153">
        <f t="shared" si="69"/>
        <v>0</v>
      </c>
      <c r="U47" s="153">
        <f t="shared" si="70"/>
        <v>0</v>
      </c>
      <c r="V47" s="69">
        <f>R47*E47</f>
        <v>0</v>
      </c>
      <c r="W47" s="69">
        <f>S47*E47</f>
        <v>0</v>
      </c>
      <c r="X47" s="69">
        <f>T47*E47</f>
        <v>0</v>
      </c>
      <c r="Y47" s="69">
        <f>U47*E47</f>
        <v>0</v>
      </c>
      <c r="Z47" s="85">
        <v>0</v>
      </c>
      <c r="AA47" s="69">
        <f>Z47*750000</f>
        <v>0</v>
      </c>
      <c r="AB47" s="85">
        <v>0</v>
      </c>
      <c r="AC47" s="69">
        <f>AB47*750000</f>
        <v>0</v>
      </c>
      <c r="AD47" s="85">
        <v>0</v>
      </c>
      <c r="AE47" s="69">
        <f>AD47*750000</f>
        <v>0</v>
      </c>
      <c r="AF47" s="85">
        <v>0</v>
      </c>
      <c r="AG47" s="69">
        <f>AF47*750000</f>
        <v>0</v>
      </c>
      <c r="AH47" s="85">
        <v>0</v>
      </c>
      <c r="AI47" s="69">
        <f>AH47*750000</f>
        <v>0</v>
      </c>
      <c r="AJ47" s="85">
        <v>0</v>
      </c>
      <c r="AK47" s="69">
        <f>AJ47*750000</f>
        <v>0</v>
      </c>
      <c r="AL47" s="85">
        <v>0</v>
      </c>
      <c r="AM47" s="69">
        <f>AL47*750000</f>
        <v>0</v>
      </c>
      <c r="AN47" s="85">
        <v>0</v>
      </c>
      <c r="AO47" s="69">
        <f>AN47*750000</f>
        <v>0</v>
      </c>
      <c r="AP47" s="85">
        <v>0</v>
      </c>
      <c r="AQ47" s="69">
        <f>AP47*750000</f>
        <v>0</v>
      </c>
      <c r="AR47" s="85">
        <v>0</v>
      </c>
      <c r="AS47" s="69">
        <f>AR47*750000</f>
        <v>0</v>
      </c>
      <c r="AT47" s="85">
        <v>0</v>
      </c>
      <c r="AU47" s="69">
        <f>AT47*750000</f>
        <v>0</v>
      </c>
      <c r="AV47" s="85">
        <v>0</v>
      </c>
      <c r="AW47" s="69">
        <f>AV47*750000</f>
        <v>0</v>
      </c>
      <c r="AX47" s="85">
        <v>0</v>
      </c>
      <c r="AY47" s="69">
        <f>AX47*750000</f>
        <v>0</v>
      </c>
      <c r="AZ47" s="85">
        <v>0</v>
      </c>
      <c r="BA47" s="69">
        <f>AZ47*750000</f>
        <v>0</v>
      </c>
      <c r="BB47" s="85">
        <v>0</v>
      </c>
      <c r="BC47" s="69">
        <f>BB47*750000</f>
        <v>0</v>
      </c>
      <c r="BD47" s="85">
        <v>0</v>
      </c>
      <c r="BE47" s="69">
        <f>BD47*750000</f>
        <v>0</v>
      </c>
      <c r="BF47" s="85">
        <v>0</v>
      </c>
      <c r="BG47" s="69">
        <f>BF47*750000</f>
        <v>0</v>
      </c>
      <c r="BH47" s="85">
        <v>0</v>
      </c>
      <c r="BI47" s="69">
        <f>BH47*750000</f>
        <v>0</v>
      </c>
      <c r="BJ47" s="85">
        <f t="shared" si="66"/>
        <v>0</v>
      </c>
      <c r="BK47" s="85">
        <f t="shared" si="66"/>
        <v>0</v>
      </c>
      <c r="BL47" s="324" t="s">
        <v>469</v>
      </c>
      <c r="BN47" s="113">
        <v>0</v>
      </c>
      <c r="BO47" s="113">
        <v>0</v>
      </c>
      <c r="BP47" s="113">
        <v>0</v>
      </c>
      <c r="BQ47" s="113">
        <f>G47</f>
        <v>0</v>
      </c>
      <c r="BR47" s="176">
        <f>BN47+BO47+BP47+BQ47</f>
        <v>0</v>
      </c>
      <c r="BS47" s="113">
        <v>0</v>
      </c>
      <c r="BT47" s="113">
        <v>0</v>
      </c>
      <c r="BU47" s="113">
        <f>BS47+BT47</f>
        <v>0</v>
      </c>
      <c r="BV47" s="189">
        <f t="shared" si="1"/>
        <v>0</v>
      </c>
    </row>
    <row r="48" spans="1:979" s="163" customFormat="1" ht="24" customHeight="1" x14ac:dyDescent="0.25">
      <c r="A48" s="882"/>
      <c r="B48" s="188"/>
      <c r="C48" s="696" t="s">
        <v>884</v>
      </c>
      <c r="D48" s="172" t="s">
        <v>885</v>
      </c>
      <c r="E48" s="172">
        <v>500000</v>
      </c>
      <c r="F48" s="69">
        <f>BJ48</f>
        <v>85</v>
      </c>
      <c r="G48" s="125">
        <f>E48*F48</f>
        <v>42500000</v>
      </c>
      <c r="H48" s="125">
        <f>G48*0</f>
        <v>0</v>
      </c>
      <c r="I48" s="125">
        <f>G48*1</f>
        <v>42500000</v>
      </c>
      <c r="J48" s="125">
        <f>G48*0</f>
        <v>0</v>
      </c>
      <c r="K48" s="125">
        <f>G48*0</f>
        <v>0</v>
      </c>
      <c r="L48" s="125">
        <f>G48*0</f>
        <v>0</v>
      </c>
      <c r="M48" s="125">
        <f>G48*0</f>
        <v>0</v>
      </c>
      <c r="N48" s="125">
        <f>G48*0</f>
        <v>0</v>
      </c>
      <c r="O48" s="125">
        <f>G48*0</f>
        <v>0</v>
      </c>
      <c r="P48" s="125">
        <f>G48*0</f>
        <v>0</v>
      </c>
      <c r="Q48" s="125">
        <f>G48*0</f>
        <v>0</v>
      </c>
      <c r="R48" s="153">
        <f t="shared" si="67"/>
        <v>8.5</v>
      </c>
      <c r="S48" s="153">
        <f t="shared" si="68"/>
        <v>21.25</v>
      </c>
      <c r="T48" s="153">
        <f t="shared" si="69"/>
        <v>29.749999999999996</v>
      </c>
      <c r="U48" s="153">
        <f t="shared" si="70"/>
        <v>25.5</v>
      </c>
      <c r="V48" s="69">
        <f>R48*E48</f>
        <v>4250000</v>
      </c>
      <c r="W48" s="69">
        <f>S48*E48</f>
        <v>10625000</v>
      </c>
      <c r="X48" s="69">
        <f>T48*E48</f>
        <v>14874999.999999998</v>
      </c>
      <c r="Y48" s="69">
        <f>U48*E48</f>
        <v>12750000</v>
      </c>
      <c r="Z48" s="133">
        <v>3</v>
      </c>
      <c r="AA48" s="125">
        <f>Z48*E48</f>
        <v>1500000</v>
      </c>
      <c r="AB48" s="133">
        <v>3</v>
      </c>
      <c r="AC48" s="125">
        <f>AB48*E48</f>
        <v>1500000</v>
      </c>
      <c r="AD48" s="133">
        <v>3</v>
      </c>
      <c r="AE48" s="125">
        <f>AD48*E48</f>
        <v>1500000</v>
      </c>
      <c r="AF48" s="133">
        <v>5</v>
      </c>
      <c r="AG48" s="125">
        <f>AF48*E48</f>
        <v>2500000</v>
      </c>
      <c r="AH48" s="133">
        <v>2</v>
      </c>
      <c r="AI48" s="125">
        <f>AH48*E48</f>
        <v>1000000</v>
      </c>
      <c r="AJ48" s="133">
        <v>4</v>
      </c>
      <c r="AK48" s="125">
        <f>AJ48*E48</f>
        <v>2000000</v>
      </c>
      <c r="AL48" s="133">
        <v>5</v>
      </c>
      <c r="AM48" s="125">
        <f>AL48*E48</f>
        <v>2500000</v>
      </c>
      <c r="AN48" s="133">
        <v>5</v>
      </c>
      <c r="AO48" s="125">
        <f>AN48*E48</f>
        <v>2500000</v>
      </c>
      <c r="AP48" s="133">
        <v>2</v>
      </c>
      <c r="AQ48" s="125">
        <f>AP48*E48</f>
        <v>1000000</v>
      </c>
      <c r="AR48" s="133">
        <v>3</v>
      </c>
      <c r="AS48" s="125">
        <f>AR48*E48</f>
        <v>1500000</v>
      </c>
      <c r="AT48" s="133">
        <v>6</v>
      </c>
      <c r="AU48" s="125">
        <f>AT48*E48</f>
        <v>3000000</v>
      </c>
      <c r="AV48" s="133">
        <v>5</v>
      </c>
      <c r="AW48" s="125">
        <f>AV48*E48</f>
        <v>2500000</v>
      </c>
      <c r="AX48" s="133">
        <v>9</v>
      </c>
      <c r="AY48" s="125">
        <f>AX48*E48</f>
        <v>4500000</v>
      </c>
      <c r="AZ48" s="133">
        <v>9</v>
      </c>
      <c r="BA48" s="125">
        <f>AZ48*E48</f>
        <v>4500000</v>
      </c>
      <c r="BB48" s="133">
        <v>3</v>
      </c>
      <c r="BC48" s="125">
        <f>BB48*E48</f>
        <v>1500000</v>
      </c>
      <c r="BD48" s="133">
        <v>12</v>
      </c>
      <c r="BE48" s="125">
        <f>BD48*E48</f>
        <v>6000000</v>
      </c>
      <c r="BF48" s="133">
        <v>6</v>
      </c>
      <c r="BG48" s="125">
        <f>BF48*E48</f>
        <v>3000000</v>
      </c>
      <c r="BH48" s="133">
        <v>0</v>
      </c>
      <c r="BI48" s="125">
        <f>BH48*2200</f>
        <v>0</v>
      </c>
      <c r="BJ48" s="133">
        <f t="shared" si="66"/>
        <v>85</v>
      </c>
      <c r="BK48" s="133">
        <f t="shared" si="66"/>
        <v>42500000</v>
      </c>
      <c r="BL48" s="325" t="s">
        <v>469</v>
      </c>
      <c r="BM48" s="39"/>
      <c r="BN48" s="176">
        <v>0</v>
      </c>
      <c r="BO48" s="176">
        <v>0</v>
      </c>
      <c r="BP48" s="176">
        <v>0</v>
      </c>
      <c r="BQ48" s="176">
        <f>G48</f>
        <v>42500000</v>
      </c>
      <c r="BR48" s="176">
        <f>BN48+BO48+BP48+BQ48</f>
        <v>42500000</v>
      </c>
      <c r="BS48" s="176">
        <v>0</v>
      </c>
      <c r="BT48" s="176">
        <v>0</v>
      </c>
      <c r="BU48" s="176">
        <f>BS48+BT48</f>
        <v>0</v>
      </c>
      <c r="BV48" s="189">
        <f t="shared" si="1"/>
        <v>42500000</v>
      </c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  <c r="LM48" s="39"/>
      <c r="LN48" s="39"/>
      <c r="LO48" s="39"/>
      <c r="LP48" s="39"/>
      <c r="LQ48" s="39"/>
      <c r="LR48" s="39"/>
      <c r="LS48" s="39"/>
      <c r="LT48" s="39"/>
      <c r="LU48" s="39"/>
      <c r="LV48" s="39"/>
      <c r="LW48" s="39"/>
      <c r="LX48" s="39"/>
      <c r="LY48" s="39"/>
      <c r="LZ48" s="39"/>
      <c r="MA48" s="39"/>
      <c r="MB48" s="39"/>
      <c r="MC48" s="39"/>
      <c r="MD48" s="39"/>
      <c r="ME48" s="39"/>
      <c r="MF48" s="39"/>
      <c r="MG48" s="39"/>
      <c r="MH48" s="39"/>
      <c r="MI48" s="39"/>
      <c r="MJ48" s="39"/>
      <c r="MK48" s="39"/>
      <c r="ML48" s="39"/>
      <c r="MM48" s="39"/>
      <c r="MN48" s="39"/>
      <c r="MO48" s="39"/>
      <c r="MP48" s="39"/>
      <c r="MQ48" s="39"/>
      <c r="MR48" s="39"/>
      <c r="MS48" s="39"/>
      <c r="MT48" s="39"/>
      <c r="MU48" s="39"/>
      <c r="MV48" s="39"/>
      <c r="MW48" s="39"/>
      <c r="MX48" s="39"/>
      <c r="MY48" s="39"/>
      <c r="MZ48" s="39"/>
      <c r="NA48" s="39"/>
      <c r="NB48" s="39"/>
      <c r="NC48" s="39"/>
      <c r="ND48" s="39"/>
      <c r="NE48" s="39"/>
      <c r="NF48" s="39"/>
      <c r="NG48" s="39"/>
      <c r="NH48" s="39"/>
      <c r="NI48" s="39"/>
      <c r="NJ48" s="39"/>
      <c r="NK48" s="39"/>
      <c r="NL48" s="39"/>
      <c r="NM48" s="39"/>
      <c r="NN48" s="39"/>
      <c r="NO48" s="39"/>
      <c r="NP48" s="39"/>
      <c r="NQ48" s="39"/>
      <c r="NR48" s="39"/>
      <c r="NS48" s="39"/>
      <c r="NT48" s="39"/>
      <c r="NU48" s="39"/>
      <c r="NV48" s="39"/>
      <c r="NW48" s="39"/>
      <c r="NX48" s="39"/>
      <c r="NY48" s="39"/>
      <c r="NZ48" s="39"/>
      <c r="OA48" s="39"/>
      <c r="OB48" s="39"/>
      <c r="OC48" s="39"/>
      <c r="OD48" s="39"/>
      <c r="OE48" s="39"/>
      <c r="OF48" s="39"/>
      <c r="OG48" s="39"/>
      <c r="OH48" s="39"/>
      <c r="OI48" s="39"/>
      <c r="OJ48" s="39"/>
      <c r="OK48" s="39"/>
      <c r="OL48" s="39"/>
      <c r="OM48" s="39"/>
      <c r="ON48" s="39"/>
      <c r="OO48" s="39"/>
      <c r="OP48" s="39"/>
      <c r="OQ48" s="39"/>
      <c r="OR48" s="39"/>
      <c r="OS48" s="39"/>
      <c r="OT48" s="39"/>
      <c r="OU48" s="39"/>
      <c r="OV48" s="39"/>
      <c r="OW48" s="39"/>
      <c r="OX48" s="39"/>
      <c r="OY48" s="39"/>
      <c r="OZ48" s="39"/>
      <c r="PA48" s="39"/>
      <c r="PB48" s="39"/>
      <c r="PC48" s="39"/>
      <c r="PD48" s="39"/>
      <c r="PE48" s="39"/>
      <c r="PF48" s="39"/>
      <c r="PG48" s="39"/>
      <c r="PH48" s="39"/>
      <c r="PI48" s="39"/>
      <c r="PJ48" s="39"/>
      <c r="PK48" s="39"/>
      <c r="PL48" s="39"/>
      <c r="PM48" s="39"/>
      <c r="PN48" s="39"/>
      <c r="PO48" s="39"/>
      <c r="PP48" s="39"/>
      <c r="PQ48" s="39"/>
      <c r="PR48" s="39"/>
      <c r="PS48" s="39"/>
      <c r="PT48" s="39"/>
      <c r="PU48" s="39"/>
      <c r="PV48" s="39"/>
      <c r="PW48" s="39"/>
      <c r="PX48" s="39"/>
      <c r="PY48" s="39"/>
      <c r="PZ48" s="39"/>
      <c r="QA48" s="39"/>
      <c r="QB48" s="39"/>
      <c r="QC48" s="39"/>
      <c r="QD48" s="39"/>
      <c r="QE48" s="39"/>
      <c r="QF48" s="39"/>
      <c r="QG48" s="39"/>
      <c r="QH48" s="39"/>
      <c r="QI48" s="39"/>
      <c r="QJ48" s="39"/>
      <c r="QK48" s="39"/>
      <c r="QL48" s="39"/>
      <c r="QM48" s="39"/>
      <c r="QN48" s="39"/>
      <c r="QO48" s="39"/>
      <c r="QP48" s="39"/>
      <c r="QQ48" s="39"/>
      <c r="QR48" s="39"/>
      <c r="QS48" s="39"/>
      <c r="QT48" s="39"/>
      <c r="QU48" s="39"/>
      <c r="QV48" s="39"/>
      <c r="QW48" s="39"/>
      <c r="QX48" s="39"/>
      <c r="QY48" s="39"/>
      <c r="QZ48" s="39"/>
      <c r="RA48" s="39"/>
      <c r="RB48" s="39"/>
      <c r="RC48" s="39"/>
      <c r="RD48" s="39"/>
      <c r="RE48" s="39"/>
      <c r="RF48" s="39"/>
      <c r="RG48" s="39"/>
      <c r="RH48" s="39"/>
      <c r="RI48" s="39"/>
      <c r="RJ48" s="39"/>
      <c r="RK48" s="39"/>
      <c r="RL48" s="39"/>
      <c r="RM48" s="39"/>
      <c r="RN48" s="39"/>
      <c r="RO48" s="39"/>
      <c r="RP48" s="39"/>
      <c r="RQ48" s="39"/>
      <c r="RR48" s="39"/>
      <c r="RS48" s="39"/>
      <c r="RT48" s="39"/>
      <c r="RU48" s="39"/>
      <c r="RV48" s="39"/>
      <c r="RW48" s="39"/>
      <c r="RX48" s="39"/>
      <c r="RY48" s="39"/>
      <c r="RZ48" s="39"/>
      <c r="SA48" s="39"/>
      <c r="SB48" s="39"/>
      <c r="SC48" s="39"/>
      <c r="SD48" s="39"/>
      <c r="SE48" s="39"/>
      <c r="SF48" s="39"/>
      <c r="SG48" s="39"/>
      <c r="SH48" s="39"/>
      <c r="SI48" s="39"/>
      <c r="SJ48" s="39"/>
      <c r="SK48" s="39"/>
      <c r="SL48" s="39"/>
      <c r="SM48" s="39"/>
      <c r="SN48" s="39"/>
      <c r="SO48" s="39"/>
      <c r="SP48" s="39"/>
      <c r="SQ48" s="39"/>
      <c r="SR48" s="39"/>
      <c r="SS48" s="39"/>
      <c r="ST48" s="39"/>
      <c r="SU48" s="39"/>
      <c r="SV48" s="39"/>
      <c r="SW48" s="39"/>
      <c r="SX48" s="39"/>
      <c r="SY48" s="39"/>
      <c r="SZ48" s="39"/>
      <c r="TA48" s="39"/>
      <c r="TB48" s="39"/>
      <c r="TC48" s="39"/>
      <c r="TD48" s="39"/>
      <c r="TE48" s="39"/>
      <c r="TF48" s="39"/>
      <c r="TG48" s="39"/>
      <c r="TH48" s="39"/>
      <c r="TI48" s="39"/>
      <c r="TJ48" s="39"/>
      <c r="TK48" s="39"/>
      <c r="TL48" s="39"/>
      <c r="TM48" s="39"/>
      <c r="TN48" s="39"/>
      <c r="TO48" s="39"/>
      <c r="TP48" s="39"/>
      <c r="TQ48" s="39"/>
      <c r="TR48" s="39"/>
      <c r="TS48" s="39"/>
      <c r="TT48" s="39"/>
      <c r="TU48" s="39"/>
      <c r="TV48" s="39"/>
      <c r="TW48" s="39"/>
      <c r="TX48" s="39"/>
      <c r="TY48" s="39"/>
      <c r="TZ48" s="39"/>
      <c r="UA48" s="39"/>
      <c r="UB48" s="39"/>
      <c r="UC48" s="39"/>
      <c r="UD48" s="39"/>
      <c r="UE48" s="39"/>
      <c r="UF48" s="39"/>
      <c r="UG48" s="39"/>
      <c r="UH48" s="39"/>
      <c r="UI48" s="39"/>
      <c r="UJ48" s="39"/>
      <c r="UK48" s="39"/>
      <c r="UL48" s="39"/>
      <c r="UM48" s="39"/>
      <c r="UN48" s="39"/>
      <c r="UO48" s="39"/>
      <c r="UP48" s="39"/>
      <c r="UQ48" s="39"/>
      <c r="UR48" s="39"/>
      <c r="US48" s="39"/>
      <c r="UT48" s="39"/>
      <c r="UU48" s="39"/>
      <c r="UV48" s="39"/>
      <c r="UW48" s="39"/>
      <c r="UX48" s="39"/>
      <c r="UY48" s="39"/>
      <c r="UZ48" s="39"/>
      <c r="VA48" s="39"/>
      <c r="VB48" s="39"/>
      <c r="VC48" s="39"/>
      <c r="VD48" s="39"/>
      <c r="VE48" s="39"/>
      <c r="VF48" s="39"/>
      <c r="VG48" s="39"/>
      <c r="VH48" s="39"/>
      <c r="VI48" s="39"/>
      <c r="VJ48" s="39"/>
      <c r="VK48" s="39"/>
      <c r="VL48" s="39"/>
      <c r="VM48" s="39"/>
      <c r="VN48" s="39"/>
      <c r="VO48" s="39"/>
      <c r="VP48" s="39"/>
      <c r="VQ48" s="39"/>
      <c r="VR48" s="39"/>
      <c r="VS48" s="39"/>
      <c r="VT48" s="39"/>
      <c r="VU48" s="39"/>
      <c r="VV48" s="39"/>
      <c r="VW48" s="39"/>
      <c r="VX48" s="39"/>
      <c r="VY48" s="39"/>
      <c r="VZ48" s="39"/>
      <c r="WA48" s="39"/>
      <c r="WB48" s="39"/>
      <c r="WC48" s="39"/>
      <c r="WD48" s="39"/>
      <c r="WE48" s="39"/>
      <c r="WF48" s="39"/>
      <c r="WG48" s="39"/>
      <c r="WH48" s="39"/>
      <c r="WI48" s="39"/>
      <c r="WJ48" s="39"/>
      <c r="WK48" s="39"/>
      <c r="WL48" s="39"/>
      <c r="WM48" s="39"/>
      <c r="WN48" s="39"/>
      <c r="WO48" s="39"/>
      <c r="WP48" s="39"/>
      <c r="WQ48" s="39"/>
      <c r="WR48" s="39"/>
      <c r="WS48" s="39"/>
      <c r="WT48" s="39"/>
      <c r="WU48" s="39"/>
      <c r="WV48" s="39"/>
      <c r="WW48" s="39"/>
      <c r="WX48" s="39"/>
      <c r="WY48" s="39"/>
      <c r="WZ48" s="39"/>
      <c r="XA48" s="39"/>
      <c r="XB48" s="39"/>
      <c r="XC48" s="39"/>
      <c r="XD48" s="39"/>
      <c r="XE48" s="39"/>
      <c r="XF48" s="39"/>
      <c r="XG48" s="39"/>
      <c r="XH48" s="39"/>
      <c r="XI48" s="39"/>
      <c r="XJ48" s="39"/>
      <c r="XK48" s="39"/>
      <c r="XL48" s="39"/>
      <c r="XM48" s="39"/>
      <c r="XN48" s="39"/>
      <c r="XO48" s="39"/>
      <c r="XP48" s="39"/>
      <c r="XQ48" s="39"/>
      <c r="XR48" s="39"/>
      <c r="XS48" s="39"/>
      <c r="XT48" s="39"/>
      <c r="XU48" s="39"/>
      <c r="XV48" s="39"/>
      <c r="XW48" s="39"/>
      <c r="XX48" s="39"/>
      <c r="XY48" s="39"/>
      <c r="XZ48" s="39"/>
      <c r="YA48" s="39"/>
      <c r="YB48" s="39"/>
      <c r="YC48" s="39"/>
      <c r="YD48" s="39"/>
      <c r="YE48" s="39"/>
      <c r="YF48" s="39"/>
      <c r="YG48" s="39"/>
      <c r="YH48" s="39"/>
      <c r="YI48" s="39"/>
      <c r="YJ48" s="39"/>
      <c r="YK48" s="39"/>
      <c r="YL48" s="39"/>
      <c r="YM48" s="39"/>
      <c r="YN48" s="39"/>
      <c r="YO48" s="39"/>
      <c r="YP48" s="39"/>
      <c r="YQ48" s="39"/>
      <c r="YR48" s="39"/>
      <c r="YS48" s="39"/>
      <c r="YT48" s="39"/>
      <c r="YU48" s="39"/>
      <c r="YV48" s="39"/>
      <c r="YW48" s="39"/>
      <c r="YX48" s="39"/>
      <c r="YY48" s="39"/>
      <c r="YZ48" s="39"/>
      <c r="ZA48" s="39"/>
      <c r="ZB48" s="39"/>
      <c r="ZC48" s="39"/>
      <c r="ZD48" s="39"/>
      <c r="ZE48" s="39"/>
      <c r="ZF48" s="39"/>
      <c r="ZG48" s="39"/>
      <c r="ZH48" s="39"/>
      <c r="ZI48" s="39"/>
      <c r="ZJ48" s="39"/>
      <c r="ZK48" s="39"/>
      <c r="ZL48" s="39"/>
      <c r="ZM48" s="39"/>
      <c r="ZN48" s="39"/>
      <c r="ZO48" s="39"/>
      <c r="ZP48" s="39"/>
      <c r="ZQ48" s="39"/>
      <c r="ZR48" s="39"/>
      <c r="ZS48" s="39"/>
      <c r="ZT48" s="39"/>
      <c r="ZU48" s="39"/>
      <c r="ZV48" s="39"/>
      <c r="ZW48" s="39"/>
      <c r="ZX48" s="39"/>
      <c r="ZY48" s="39"/>
      <c r="ZZ48" s="39"/>
      <c r="AAA48" s="39"/>
      <c r="AAB48" s="39"/>
      <c r="AAC48" s="39"/>
      <c r="AAD48" s="39"/>
      <c r="AAE48" s="39"/>
      <c r="AAF48" s="39"/>
      <c r="AAG48" s="39"/>
      <c r="AAH48" s="39"/>
      <c r="AAI48" s="39"/>
      <c r="AAJ48" s="39"/>
      <c r="AAK48" s="39"/>
      <c r="AAL48" s="39"/>
      <c r="AAM48" s="39"/>
      <c r="AAN48" s="39"/>
      <c r="AAO48" s="39"/>
      <c r="AAP48" s="39"/>
      <c r="AAQ48" s="39"/>
      <c r="AAR48" s="39"/>
      <c r="AAS48" s="39"/>
      <c r="AAT48" s="39"/>
      <c r="AAU48" s="39"/>
      <c r="AAV48" s="39"/>
      <c r="AAW48" s="39"/>
      <c r="AAX48" s="39"/>
      <c r="AAY48" s="39"/>
      <c r="AAZ48" s="39"/>
      <c r="ABA48" s="39"/>
      <c r="ABB48" s="39"/>
      <c r="ABC48" s="39"/>
      <c r="ABD48" s="39"/>
      <c r="ABE48" s="39"/>
      <c r="ABF48" s="39"/>
      <c r="ABG48" s="39"/>
      <c r="ABH48" s="39"/>
      <c r="ABI48" s="39"/>
      <c r="ABJ48" s="39"/>
      <c r="ABK48" s="39"/>
      <c r="ABL48" s="39"/>
      <c r="ABM48" s="39"/>
      <c r="ABN48" s="39"/>
      <c r="ABO48" s="39"/>
      <c r="ABP48" s="39"/>
      <c r="ABQ48" s="39"/>
      <c r="ABR48" s="39"/>
      <c r="ABS48" s="39"/>
      <c r="ABT48" s="39"/>
      <c r="ABU48" s="39"/>
      <c r="ABV48" s="39"/>
      <c r="ABW48" s="39"/>
      <c r="ABX48" s="39"/>
      <c r="ABY48" s="39"/>
      <c r="ABZ48" s="39"/>
      <c r="ACA48" s="39"/>
      <c r="ACB48" s="39"/>
      <c r="ACC48" s="39"/>
      <c r="ACD48" s="39"/>
      <c r="ACE48" s="39"/>
      <c r="ACF48" s="39"/>
      <c r="ACG48" s="39"/>
      <c r="ACH48" s="39"/>
      <c r="ACI48" s="39"/>
      <c r="ACJ48" s="39"/>
      <c r="ACK48" s="39"/>
      <c r="ACL48" s="39"/>
      <c r="ACM48" s="39"/>
      <c r="ACN48" s="39"/>
      <c r="ACO48" s="39"/>
      <c r="ACP48" s="39"/>
      <c r="ACQ48" s="39"/>
      <c r="ACR48" s="39"/>
      <c r="ACS48" s="39"/>
      <c r="ACT48" s="39"/>
      <c r="ACU48" s="39"/>
      <c r="ACV48" s="39"/>
      <c r="ACW48" s="39"/>
      <c r="ACX48" s="39"/>
      <c r="ACY48" s="39"/>
      <c r="ACZ48" s="39"/>
      <c r="ADA48" s="39"/>
      <c r="ADB48" s="39"/>
      <c r="ADC48" s="39"/>
      <c r="ADD48" s="39"/>
      <c r="ADE48" s="39"/>
      <c r="ADF48" s="39"/>
      <c r="ADG48" s="39"/>
      <c r="ADH48" s="39"/>
      <c r="ADI48" s="39"/>
      <c r="ADJ48" s="39"/>
      <c r="ADK48" s="39"/>
      <c r="ADL48" s="39"/>
      <c r="ADM48" s="39"/>
      <c r="ADN48" s="39"/>
      <c r="ADO48" s="39"/>
      <c r="ADP48" s="39"/>
      <c r="ADQ48" s="39"/>
      <c r="ADR48" s="39"/>
      <c r="ADS48" s="39"/>
      <c r="ADT48" s="39"/>
      <c r="ADU48" s="39"/>
      <c r="ADV48" s="39"/>
      <c r="ADW48" s="39"/>
      <c r="ADX48" s="39"/>
      <c r="ADY48" s="39"/>
      <c r="ADZ48" s="39"/>
      <c r="AEA48" s="39"/>
      <c r="AEB48" s="39"/>
      <c r="AEC48" s="39"/>
      <c r="AED48" s="39"/>
      <c r="AEE48" s="39"/>
      <c r="AEF48" s="39"/>
      <c r="AEG48" s="39"/>
      <c r="AEH48" s="39"/>
      <c r="AEI48" s="39"/>
      <c r="AEJ48" s="39"/>
      <c r="AEK48" s="39"/>
      <c r="AEL48" s="39"/>
      <c r="AEM48" s="39"/>
      <c r="AEN48" s="39"/>
      <c r="AEO48" s="39"/>
      <c r="AEP48" s="39"/>
      <c r="AEQ48" s="39"/>
      <c r="AER48" s="39"/>
      <c r="AES48" s="39"/>
      <c r="AET48" s="39"/>
      <c r="AEU48" s="39"/>
      <c r="AEV48" s="39"/>
      <c r="AEW48" s="39"/>
      <c r="AEX48" s="39"/>
      <c r="AEY48" s="39"/>
      <c r="AEZ48" s="39"/>
      <c r="AFA48" s="39"/>
      <c r="AFB48" s="39"/>
      <c r="AFC48" s="39"/>
      <c r="AFD48" s="39"/>
      <c r="AFE48" s="39"/>
      <c r="AFF48" s="39"/>
      <c r="AFG48" s="39"/>
      <c r="AFH48" s="39"/>
      <c r="AFI48" s="39"/>
      <c r="AFJ48" s="39"/>
      <c r="AFK48" s="39"/>
      <c r="AFL48" s="39"/>
      <c r="AFM48" s="39"/>
      <c r="AFN48" s="39"/>
      <c r="AFO48" s="39"/>
      <c r="AFP48" s="39"/>
      <c r="AFQ48" s="39"/>
      <c r="AFR48" s="39"/>
      <c r="AFS48" s="39"/>
      <c r="AFT48" s="39"/>
      <c r="AFU48" s="39"/>
      <c r="AFV48" s="39"/>
      <c r="AFW48" s="39"/>
      <c r="AFX48" s="39"/>
      <c r="AFY48" s="39"/>
      <c r="AFZ48" s="39"/>
      <c r="AGA48" s="39"/>
      <c r="AGB48" s="39"/>
      <c r="AGC48" s="39"/>
      <c r="AGD48" s="39"/>
      <c r="AGE48" s="39"/>
      <c r="AGF48" s="39"/>
      <c r="AGG48" s="39"/>
      <c r="AGH48" s="39"/>
      <c r="AGI48" s="39"/>
      <c r="AGJ48" s="39"/>
      <c r="AGK48" s="39"/>
      <c r="AGL48" s="39"/>
      <c r="AGM48" s="39"/>
      <c r="AGN48" s="39"/>
      <c r="AGO48" s="39"/>
      <c r="AGP48" s="39"/>
      <c r="AGQ48" s="39"/>
      <c r="AGR48" s="39"/>
      <c r="AGS48" s="39"/>
      <c r="AGT48" s="39"/>
      <c r="AGU48" s="39"/>
      <c r="AGV48" s="39"/>
      <c r="AGW48" s="39"/>
      <c r="AGX48" s="39"/>
      <c r="AGY48" s="39"/>
      <c r="AGZ48" s="39"/>
      <c r="AHA48" s="39"/>
      <c r="AHB48" s="39"/>
      <c r="AHC48" s="39"/>
      <c r="AHD48" s="39"/>
      <c r="AHE48" s="39"/>
      <c r="AHF48" s="39"/>
      <c r="AHG48" s="39"/>
      <c r="AHH48" s="39"/>
      <c r="AHI48" s="39"/>
      <c r="AHJ48" s="39"/>
      <c r="AHK48" s="39"/>
      <c r="AHL48" s="39"/>
      <c r="AHM48" s="39"/>
      <c r="AHN48" s="39"/>
      <c r="AHO48" s="39"/>
      <c r="AHP48" s="39"/>
      <c r="AHQ48" s="39"/>
      <c r="AHR48" s="39"/>
      <c r="AHS48" s="39"/>
      <c r="AHT48" s="39"/>
      <c r="AHU48" s="39"/>
      <c r="AHV48" s="39"/>
      <c r="AHW48" s="39"/>
      <c r="AHX48" s="39"/>
      <c r="AHY48" s="39"/>
      <c r="AHZ48" s="39"/>
      <c r="AIA48" s="39"/>
      <c r="AIB48" s="39"/>
      <c r="AIC48" s="39"/>
      <c r="AID48" s="39"/>
      <c r="AIE48" s="39"/>
      <c r="AIF48" s="39"/>
      <c r="AIG48" s="39"/>
      <c r="AIH48" s="39"/>
      <c r="AII48" s="39"/>
      <c r="AIJ48" s="39"/>
      <c r="AIK48" s="39"/>
      <c r="AIL48" s="39"/>
      <c r="AIM48" s="39"/>
      <c r="AIN48" s="39"/>
      <c r="AIO48" s="39"/>
      <c r="AIP48" s="39"/>
      <c r="AIQ48" s="39"/>
      <c r="AIR48" s="39"/>
      <c r="AIS48" s="39"/>
      <c r="AIT48" s="39"/>
      <c r="AIU48" s="39"/>
      <c r="AIV48" s="39"/>
      <c r="AIW48" s="39"/>
      <c r="AIX48" s="39"/>
      <c r="AIY48" s="39"/>
      <c r="AIZ48" s="39"/>
      <c r="AJA48" s="39"/>
      <c r="AJB48" s="39"/>
      <c r="AJC48" s="39"/>
      <c r="AJD48" s="39"/>
      <c r="AJE48" s="39"/>
      <c r="AJF48" s="39"/>
      <c r="AJG48" s="39"/>
      <c r="AJH48" s="39"/>
      <c r="AJI48" s="39"/>
      <c r="AJJ48" s="39"/>
      <c r="AJK48" s="39"/>
      <c r="AJL48" s="39"/>
      <c r="AJM48" s="39"/>
      <c r="AJN48" s="39"/>
      <c r="AJO48" s="39"/>
      <c r="AJP48" s="39"/>
      <c r="AJQ48" s="39"/>
      <c r="AJR48" s="39"/>
      <c r="AJS48" s="39"/>
      <c r="AJT48" s="39"/>
      <c r="AJU48" s="39"/>
      <c r="AJV48" s="39"/>
      <c r="AJW48" s="39"/>
      <c r="AJX48" s="39"/>
      <c r="AJY48" s="39"/>
      <c r="AJZ48" s="39"/>
      <c r="AKA48" s="39"/>
      <c r="AKB48" s="39"/>
      <c r="AKC48" s="39"/>
      <c r="AKD48" s="39"/>
      <c r="AKE48" s="39"/>
      <c r="AKF48" s="39"/>
      <c r="AKG48" s="39"/>
      <c r="AKH48" s="39"/>
      <c r="AKI48" s="39"/>
      <c r="AKJ48" s="39"/>
      <c r="AKK48" s="39"/>
      <c r="AKL48" s="39"/>
      <c r="AKM48" s="39"/>
      <c r="AKN48" s="39"/>
      <c r="AKO48" s="39"/>
      <c r="AKP48" s="39"/>
      <c r="AKQ48" s="39"/>
    </row>
    <row r="49" spans="1:979" s="163" customFormat="1" ht="15.75" x14ac:dyDescent="0.25">
      <c r="A49" s="882"/>
      <c r="B49" s="188"/>
      <c r="C49" s="172" t="s">
        <v>861</v>
      </c>
      <c r="D49" s="172" t="s">
        <v>817</v>
      </c>
      <c r="E49" s="172">
        <v>5000</v>
      </c>
      <c r="F49" s="69">
        <f>BJ49</f>
        <v>0</v>
      </c>
      <c r="G49" s="125">
        <f>E49*F49</f>
        <v>0</v>
      </c>
      <c r="H49" s="125">
        <f>G49*0</f>
        <v>0</v>
      </c>
      <c r="I49" s="125">
        <f>G49*1</f>
        <v>0</v>
      </c>
      <c r="J49" s="125">
        <f>G49*0</f>
        <v>0</v>
      </c>
      <c r="K49" s="125">
        <f>G49*0</f>
        <v>0</v>
      </c>
      <c r="L49" s="125">
        <f>G49*0</f>
        <v>0</v>
      </c>
      <c r="M49" s="125">
        <f>G49*0</f>
        <v>0</v>
      </c>
      <c r="N49" s="125">
        <f>G49*0</f>
        <v>0</v>
      </c>
      <c r="O49" s="125">
        <f>G49*0</f>
        <v>0</v>
      </c>
      <c r="P49" s="125">
        <f>G49*0</f>
        <v>0</v>
      </c>
      <c r="Q49" s="125">
        <f>G49*0</f>
        <v>0</v>
      </c>
      <c r="R49" s="153">
        <f t="shared" si="67"/>
        <v>0</v>
      </c>
      <c r="S49" s="153">
        <f t="shared" si="68"/>
        <v>0</v>
      </c>
      <c r="T49" s="153">
        <f t="shared" si="69"/>
        <v>0</v>
      </c>
      <c r="U49" s="153">
        <f t="shared" si="70"/>
        <v>0</v>
      </c>
      <c r="V49" s="69">
        <f>R49*E49</f>
        <v>0</v>
      </c>
      <c r="W49" s="69">
        <f>S49*E49</f>
        <v>0</v>
      </c>
      <c r="X49" s="69">
        <f>T49*E49</f>
        <v>0</v>
      </c>
      <c r="Y49" s="69">
        <f>U49*E49</f>
        <v>0</v>
      </c>
      <c r="Z49" s="133">
        <v>0</v>
      </c>
      <c r="AA49" s="125">
        <f>Z49*E49</f>
        <v>0</v>
      </c>
      <c r="AB49" s="133">
        <v>0</v>
      </c>
      <c r="AC49" s="125">
        <f>AB49*E49</f>
        <v>0</v>
      </c>
      <c r="AD49" s="133">
        <v>0</v>
      </c>
      <c r="AE49" s="125">
        <f>AD49*E49</f>
        <v>0</v>
      </c>
      <c r="AF49" s="133">
        <v>0</v>
      </c>
      <c r="AG49" s="125">
        <f>AF49*E49</f>
        <v>0</v>
      </c>
      <c r="AH49" s="133">
        <v>0</v>
      </c>
      <c r="AI49" s="125">
        <f>AH49*E49</f>
        <v>0</v>
      </c>
      <c r="AJ49" s="133">
        <v>0</v>
      </c>
      <c r="AK49" s="125">
        <f>AJ49*E49</f>
        <v>0</v>
      </c>
      <c r="AL49" s="133">
        <v>0</v>
      </c>
      <c r="AM49" s="125">
        <f>AL49*E49</f>
        <v>0</v>
      </c>
      <c r="AN49" s="133">
        <v>0</v>
      </c>
      <c r="AO49" s="125">
        <f>AN49*E49</f>
        <v>0</v>
      </c>
      <c r="AP49" s="133">
        <v>0</v>
      </c>
      <c r="AQ49" s="125">
        <f>AP49*E49</f>
        <v>0</v>
      </c>
      <c r="AR49" s="133">
        <v>0</v>
      </c>
      <c r="AS49" s="125">
        <f>AR49*E49</f>
        <v>0</v>
      </c>
      <c r="AT49" s="133">
        <v>0</v>
      </c>
      <c r="AU49" s="125">
        <f>AT49*E49</f>
        <v>0</v>
      </c>
      <c r="AV49" s="133">
        <v>0</v>
      </c>
      <c r="AW49" s="125">
        <f>AV49*E49</f>
        <v>0</v>
      </c>
      <c r="AX49" s="133">
        <v>0</v>
      </c>
      <c r="AY49" s="125">
        <f>AX49*E49</f>
        <v>0</v>
      </c>
      <c r="AZ49" s="133">
        <v>0</v>
      </c>
      <c r="BA49" s="125">
        <f>AZ49*E49</f>
        <v>0</v>
      </c>
      <c r="BB49" s="133">
        <v>0</v>
      </c>
      <c r="BC49" s="125">
        <f>BB49*E49</f>
        <v>0</v>
      </c>
      <c r="BD49" s="133">
        <v>0</v>
      </c>
      <c r="BE49" s="125">
        <f>BD49*E49</f>
        <v>0</v>
      </c>
      <c r="BF49" s="133">
        <v>0</v>
      </c>
      <c r="BG49" s="125">
        <f>BF49*E49</f>
        <v>0</v>
      </c>
      <c r="BH49" s="133">
        <v>0</v>
      </c>
      <c r="BI49" s="125">
        <f>BH49*E49</f>
        <v>0</v>
      </c>
      <c r="BJ49" s="133">
        <f>Z49+AB49+AD49+AF49+AH49+AJ49+AL49+AN49+AP49+AR49+AT49+AV49+AX49+AZ49+BB49+BD49+BF49+BH49</f>
        <v>0</v>
      </c>
      <c r="BK49" s="133">
        <f>AA49+AC49+AE49+AG49+AI49+AK49+AM49+AO49+AQ49+AS49+AU49+AW49+AY49+BA49+BC49+BE49+BG49+BI49</f>
        <v>0</v>
      </c>
      <c r="BL49" s="325" t="s">
        <v>469</v>
      </c>
      <c r="BM49" s="39"/>
      <c r="BN49" s="176"/>
      <c r="BO49" s="176"/>
      <c r="BP49" s="176"/>
      <c r="BQ49" s="176">
        <f>G49</f>
        <v>0</v>
      </c>
      <c r="BR49" s="176">
        <f>BN49+BO49+BP49+BQ49</f>
        <v>0</v>
      </c>
      <c r="BS49" s="176"/>
      <c r="BT49" s="176"/>
      <c r="BU49" s="176"/>
      <c r="BV49" s="189">
        <f t="shared" si="1"/>
        <v>0</v>
      </c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  <c r="LM49" s="39"/>
      <c r="LN49" s="39"/>
      <c r="LO49" s="39"/>
      <c r="LP49" s="39"/>
      <c r="LQ49" s="39"/>
      <c r="LR49" s="39"/>
      <c r="LS49" s="39"/>
      <c r="LT49" s="39"/>
      <c r="LU49" s="39"/>
      <c r="LV49" s="39"/>
      <c r="LW49" s="39"/>
      <c r="LX49" s="39"/>
      <c r="LY49" s="39"/>
      <c r="LZ49" s="39"/>
      <c r="MA49" s="39"/>
      <c r="MB49" s="39"/>
      <c r="MC49" s="39"/>
      <c r="MD49" s="39"/>
      <c r="ME49" s="39"/>
      <c r="MF49" s="39"/>
      <c r="MG49" s="39"/>
      <c r="MH49" s="39"/>
      <c r="MI49" s="39"/>
      <c r="MJ49" s="39"/>
      <c r="MK49" s="39"/>
      <c r="ML49" s="39"/>
      <c r="MM49" s="39"/>
      <c r="MN49" s="39"/>
      <c r="MO49" s="39"/>
      <c r="MP49" s="39"/>
      <c r="MQ49" s="39"/>
      <c r="MR49" s="39"/>
      <c r="MS49" s="39"/>
      <c r="MT49" s="39"/>
      <c r="MU49" s="39"/>
      <c r="MV49" s="39"/>
      <c r="MW49" s="39"/>
      <c r="MX49" s="39"/>
      <c r="MY49" s="39"/>
      <c r="MZ49" s="39"/>
      <c r="NA49" s="39"/>
      <c r="NB49" s="39"/>
      <c r="NC49" s="39"/>
      <c r="ND49" s="39"/>
      <c r="NE49" s="39"/>
      <c r="NF49" s="39"/>
      <c r="NG49" s="39"/>
      <c r="NH49" s="39"/>
      <c r="NI49" s="39"/>
      <c r="NJ49" s="39"/>
      <c r="NK49" s="39"/>
      <c r="NL49" s="39"/>
      <c r="NM49" s="39"/>
      <c r="NN49" s="39"/>
      <c r="NO49" s="39"/>
      <c r="NP49" s="39"/>
      <c r="NQ49" s="39"/>
      <c r="NR49" s="39"/>
      <c r="NS49" s="39"/>
      <c r="NT49" s="39"/>
      <c r="NU49" s="39"/>
      <c r="NV49" s="39"/>
      <c r="NW49" s="39"/>
      <c r="NX49" s="39"/>
      <c r="NY49" s="39"/>
      <c r="NZ49" s="39"/>
      <c r="OA49" s="39"/>
      <c r="OB49" s="39"/>
      <c r="OC49" s="39"/>
      <c r="OD49" s="39"/>
      <c r="OE49" s="39"/>
      <c r="OF49" s="39"/>
      <c r="OG49" s="39"/>
      <c r="OH49" s="39"/>
      <c r="OI49" s="39"/>
      <c r="OJ49" s="39"/>
      <c r="OK49" s="39"/>
      <c r="OL49" s="39"/>
      <c r="OM49" s="39"/>
      <c r="ON49" s="39"/>
      <c r="OO49" s="39"/>
      <c r="OP49" s="39"/>
      <c r="OQ49" s="39"/>
      <c r="OR49" s="39"/>
      <c r="OS49" s="39"/>
      <c r="OT49" s="39"/>
      <c r="OU49" s="39"/>
      <c r="OV49" s="39"/>
      <c r="OW49" s="39"/>
      <c r="OX49" s="39"/>
      <c r="OY49" s="39"/>
      <c r="OZ49" s="39"/>
      <c r="PA49" s="39"/>
      <c r="PB49" s="39"/>
      <c r="PC49" s="39"/>
      <c r="PD49" s="39"/>
      <c r="PE49" s="39"/>
      <c r="PF49" s="39"/>
      <c r="PG49" s="39"/>
      <c r="PH49" s="39"/>
      <c r="PI49" s="39"/>
      <c r="PJ49" s="39"/>
      <c r="PK49" s="39"/>
      <c r="PL49" s="39"/>
      <c r="PM49" s="39"/>
      <c r="PN49" s="39"/>
      <c r="PO49" s="39"/>
      <c r="PP49" s="39"/>
      <c r="PQ49" s="39"/>
      <c r="PR49" s="39"/>
      <c r="PS49" s="39"/>
      <c r="PT49" s="39"/>
      <c r="PU49" s="39"/>
      <c r="PV49" s="39"/>
      <c r="PW49" s="39"/>
      <c r="PX49" s="39"/>
      <c r="PY49" s="39"/>
      <c r="PZ49" s="39"/>
      <c r="QA49" s="39"/>
      <c r="QB49" s="39"/>
      <c r="QC49" s="39"/>
      <c r="QD49" s="39"/>
      <c r="QE49" s="39"/>
      <c r="QF49" s="39"/>
      <c r="QG49" s="39"/>
      <c r="QH49" s="39"/>
      <c r="QI49" s="39"/>
      <c r="QJ49" s="39"/>
      <c r="QK49" s="39"/>
      <c r="QL49" s="39"/>
      <c r="QM49" s="39"/>
      <c r="QN49" s="39"/>
      <c r="QO49" s="39"/>
      <c r="QP49" s="39"/>
      <c r="QQ49" s="39"/>
      <c r="QR49" s="39"/>
      <c r="QS49" s="39"/>
      <c r="QT49" s="39"/>
      <c r="QU49" s="39"/>
      <c r="QV49" s="39"/>
      <c r="QW49" s="39"/>
      <c r="QX49" s="39"/>
      <c r="QY49" s="39"/>
      <c r="QZ49" s="39"/>
      <c r="RA49" s="39"/>
      <c r="RB49" s="39"/>
      <c r="RC49" s="39"/>
      <c r="RD49" s="39"/>
      <c r="RE49" s="39"/>
      <c r="RF49" s="39"/>
      <c r="RG49" s="39"/>
      <c r="RH49" s="39"/>
      <c r="RI49" s="39"/>
      <c r="RJ49" s="39"/>
      <c r="RK49" s="39"/>
      <c r="RL49" s="39"/>
      <c r="RM49" s="39"/>
      <c r="RN49" s="39"/>
      <c r="RO49" s="39"/>
      <c r="RP49" s="39"/>
      <c r="RQ49" s="39"/>
      <c r="RR49" s="39"/>
      <c r="RS49" s="39"/>
      <c r="RT49" s="39"/>
      <c r="RU49" s="39"/>
      <c r="RV49" s="39"/>
      <c r="RW49" s="39"/>
      <c r="RX49" s="39"/>
      <c r="RY49" s="39"/>
      <c r="RZ49" s="39"/>
      <c r="SA49" s="39"/>
      <c r="SB49" s="39"/>
      <c r="SC49" s="39"/>
      <c r="SD49" s="39"/>
      <c r="SE49" s="39"/>
      <c r="SF49" s="39"/>
      <c r="SG49" s="39"/>
      <c r="SH49" s="39"/>
      <c r="SI49" s="39"/>
      <c r="SJ49" s="39"/>
      <c r="SK49" s="39"/>
      <c r="SL49" s="39"/>
      <c r="SM49" s="39"/>
      <c r="SN49" s="39"/>
      <c r="SO49" s="39"/>
      <c r="SP49" s="39"/>
      <c r="SQ49" s="39"/>
      <c r="SR49" s="39"/>
      <c r="SS49" s="39"/>
      <c r="ST49" s="39"/>
      <c r="SU49" s="39"/>
      <c r="SV49" s="39"/>
      <c r="SW49" s="39"/>
      <c r="SX49" s="39"/>
      <c r="SY49" s="39"/>
      <c r="SZ49" s="39"/>
      <c r="TA49" s="39"/>
      <c r="TB49" s="39"/>
      <c r="TC49" s="39"/>
      <c r="TD49" s="39"/>
      <c r="TE49" s="39"/>
      <c r="TF49" s="39"/>
      <c r="TG49" s="39"/>
      <c r="TH49" s="39"/>
      <c r="TI49" s="39"/>
      <c r="TJ49" s="39"/>
      <c r="TK49" s="39"/>
      <c r="TL49" s="39"/>
      <c r="TM49" s="39"/>
      <c r="TN49" s="39"/>
      <c r="TO49" s="39"/>
      <c r="TP49" s="39"/>
      <c r="TQ49" s="39"/>
      <c r="TR49" s="39"/>
      <c r="TS49" s="39"/>
      <c r="TT49" s="39"/>
      <c r="TU49" s="39"/>
      <c r="TV49" s="39"/>
      <c r="TW49" s="39"/>
      <c r="TX49" s="39"/>
      <c r="TY49" s="39"/>
      <c r="TZ49" s="39"/>
      <c r="UA49" s="39"/>
      <c r="UB49" s="39"/>
      <c r="UC49" s="39"/>
      <c r="UD49" s="39"/>
      <c r="UE49" s="39"/>
      <c r="UF49" s="39"/>
      <c r="UG49" s="39"/>
      <c r="UH49" s="39"/>
      <c r="UI49" s="39"/>
      <c r="UJ49" s="39"/>
      <c r="UK49" s="39"/>
      <c r="UL49" s="39"/>
      <c r="UM49" s="39"/>
      <c r="UN49" s="39"/>
      <c r="UO49" s="39"/>
      <c r="UP49" s="39"/>
      <c r="UQ49" s="39"/>
      <c r="UR49" s="39"/>
      <c r="US49" s="39"/>
      <c r="UT49" s="39"/>
      <c r="UU49" s="39"/>
      <c r="UV49" s="39"/>
      <c r="UW49" s="39"/>
      <c r="UX49" s="39"/>
      <c r="UY49" s="39"/>
      <c r="UZ49" s="39"/>
      <c r="VA49" s="39"/>
      <c r="VB49" s="39"/>
      <c r="VC49" s="39"/>
      <c r="VD49" s="39"/>
      <c r="VE49" s="39"/>
      <c r="VF49" s="39"/>
      <c r="VG49" s="39"/>
      <c r="VH49" s="39"/>
      <c r="VI49" s="39"/>
      <c r="VJ49" s="39"/>
      <c r="VK49" s="39"/>
      <c r="VL49" s="39"/>
      <c r="VM49" s="39"/>
      <c r="VN49" s="39"/>
      <c r="VO49" s="39"/>
      <c r="VP49" s="39"/>
      <c r="VQ49" s="39"/>
      <c r="VR49" s="39"/>
      <c r="VS49" s="39"/>
      <c r="VT49" s="39"/>
      <c r="VU49" s="39"/>
      <c r="VV49" s="39"/>
      <c r="VW49" s="39"/>
      <c r="VX49" s="39"/>
      <c r="VY49" s="39"/>
      <c r="VZ49" s="39"/>
      <c r="WA49" s="39"/>
      <c r="WB49" s="39"/>
      <c r="WC49" s="39"/>
      <c r="WD49" s="39"/>
      <c r="WE49" s="39"/>
      <c r="WF49" s="39"/>
      <c r="WG49" s="39"/>
      <c r="WH49" s="39"/>
      <c r="WI49" s="39"/>
      <c r="WJ49" s="39"/>
      <c r="WK49" s="39"/>
      <c r="WL49" s="39"/>
      <c r="WM49" s="39"/>
      <c r="WN49" s="39"/>
      <c r="WO49" s="39"/>
      <c r="WP49" s="39"/>
      <c r="WQ49" s="39"/>
      <c r="WR49" s="39"/>
      <c r="WS49" s="39"/>
      <c r="WT49" s="39"/>
      <c r="WU49" s="39"/>
      <c r="WV49" s="39"/>
      <c r="WW49" s="39"/>
      <c r="WX49" s="39"/>
      <c r="WY49" s="39"/>
      <c r="WZ49" s="39"/>
      <c r="XA49" s="39"/>
      <c r="XB49" s="39"/>
      <c r="XC49" s="39"/>
      <c r="XD49" s="39"/>
      <c r="XE49" s="39"/>
      <c r="XF49" s="39"/>
      <c r="XG49" s="39"/>
      <c r="XH49" s="39"/>
      <c r="XI49" s="39"/>
      <c r="XJ49" s="39"/>
      <c r="XK49" s="39"/>
      <c r="XL49" s="39"/>
      <c r="XM49" s="39"/>
      <c r="XN49" s="39"/>
      <c r="XO49" s="39"/>
      <c r="XP49" s="39"/>
      <c r="XQ49" s="39"/>
      <c r="XR49" s="39"/>
      <c r="XS49" s="39"/>
      <c r="XT49" s="39"/>
      <c r="XU49" s="39"/>
      <c r="XV49" s="39"/>
      <c r="XW49" s="39"/>
      <c r="XX49" s="39"/>
      <c r="XY49" s="39"/>
      <c r="XZ49" s="39"/>
      <c r="YA49" s="39"/>
      <c r="YB49" s="39"/>
      <c r="YC49" s="39"/>
      <c r="YD49" s="39"/>
      <c r="YE49" s="39"/>
      <c r="YF49" s="39"/>
      <c r="YG49" s="39"/>
      <c r="YH49" s="39"/>
      <c r="YI49" s="39"/>
      <c r="YJ49" s="39"/>
      <c r="YK49" s="39"/>
      <c r="YL49" s="39"/>
      <c r="YM49" s="39"/>
      <c r="YN49" s="39"/>
      <c r="YO49" s="39"/>
      <c r="YP49" s="39"/>
      <c r="YQ49" s="39"/>
      <c r="YR49" s="39"/>
      <c r="YS49" s="39"/>
      <c r="YT49" s="39"/>
      <c r="YU49" s="39"/>
      <c r="YV49" s="39"/>
      <c r="YW49" s="39"/>
      <c r="YX49" s="39"/>
      <c r="YY49" s="39"/>
      <c r="YZ49" s="39"/>
      <c r="ZA49" s="39"/>
      <c r="ZB49" s="39"/>
      <c r="ZC49" s="39"/>
      <c r="ZD49" s="39"/>
      <c r="ZE49" s="39"/>
      <c r="ZF49" s="39"/>
      <c r="ZG49" s="39"/>
      <c r="ZH49" s="39"/>
      <c r="ZI49" s="39"/>
      <c r="ZJ49" s="39"/>
      <c r="ZK49" s="39"/>
      <c r="ZL49" s="39"/>
      <c r="ZM49" s="39"/>
      <c r="ZN49" s="39"/>
      <c r="ZO49" s="39"/>
      <c r="ZP49" s="39"/>
      <c r="ZQ49" s="39"/>
      <c r="ZR49" s="39"/>
      <c r="ZS49" s="39"/>
      <c r="ZT49" s="39"/>
      <c r="ZU49" s="39"/>
      <c r="ZV49" s="39"/>
      <c r="ZW49" s="39"/>
      <c r="ZX49" s="39"/>
      <c r="ZY49" s="39"/>
      <c r="ZZ49" s="39"/>
      <c r="AAA49" s="39"/>
      <c r="AAB49" s="39"/>
      <c r="AAC49" s="39"/>
      <c r="AAD49" s="39"/>
      <c r="AAE49" s="39"/>
      <c r="AAF49" s="39"/>
      <c r="AAG49" s="39"/>
      <c r="AAH49" s="39"/>
      <c r="AAI49" s="39"/>
      <c r="AAJ49" s="39"/>
      <c r="AAK49" s="39"/>
      <c r="AAL49" s="39"/>
      <c r="AAM49" s="39"/>
      <c r="AAN49" s="39"/>
      <c r="AAO49" s="39"/>
      <c r="AAP49" s="39"/>
      <c r="AAQ49" s="39"/>
      <c r="AAR49" s="39"/>
      <c r="AAS49" s="39"/>
      <c r="AAT49" s="39"/>
      <c r="AAU49" s="39"/>
      <c r="AAV49" s="39"/>
      <c r="AAW49" s="39"/>
      <c r="AAX49" s="39"/>
      <c r="AAY49" s="39"/>
      <c r="AAZ49" s="39"/>
      <c r="ABA49" s="39"/>
      <c r="ABB49" s="39"/>
      <c r="ABC49" s="39"/>
      <c r="ABD49" s="39"/>
      <c r="ABE49" s="39"/>
      <c r="ABF49" s="39"/>
      <c r="ABG49" s="39"/>
      <c r="ABH49" s="39"/>
      <c r="ABI49" s="39"/>
      <c r="ABJ49" s="39"/>
      <c r="ABK49" s="39"/>
      <c r="ABL49" s="39"/>
      <c r="ABM49" s="39"/>
      <c r="ABN49" s="39"/>
      <c r="ABO49" s="39"/>
      <c r="ABP49" s="39"/>
      <c r="ABQ49" s="39"/>
      <c r="ABR49" s="39"/>
      <c r="ABS49" s="39"/>
      <c r="ABT49" s="39"/>
      <c r="ABU49" s="39"/>
      <c r="ABV49" s="39"/>
      <c r="ABW49" s="39"/>
      <c r="ABX49" s="39"/>
      <c r="ABY49" s="39"/>
      <c r="ABZ49" s="39"/>
      <c r="ACA49" s="39"/>
      <c r="ACB49" s="39"/>
      <c r="ACC49" s="39"/>
      <c r="ACD49" s="39"/>
      <c r="ACE49" s="39"/>
      <c r="ACF49" s="39"/>
      <c r="ACG49" s="39"/>
      <c r="ACH49" s="39"/>
      <c r="ACI49" s="39"/>
      <c r="ACJ49" s="39"/>
      <c r="ACK49" s="39"/>
      <c r="ACL49" s="39"/>
      <c r="ACM49" s="39"/>
      <c r="ACN49" s="39"/>
      <c r="ACO49" s="39"/>
      <c r="ACP49" s="39"/>
      <c r="ACQ49" s="39"/>
      <c r="ACR49" s="39"/>
      <c r="ACS49" s="39"/>
      <c r="ACT49" s="39"/>
      <c r="ACU49" s="39"/>
      <c r="ACV49" s="39"/>
      <c r="ACW49" s="39"/>
      <c r="ACX49" s="39"/>
      <c r="ACY49" s="39"/>
      <c r="ACZ49" s="39"/>
      <c r="ADA49" s="39"/>
      <c r="ADB49" s="39"/>
      <c r="ADC49" s="39"/>
      <c r="ADD49" s="39"/>
      <c r="ADE49" s="39"/>
      <c r="ADF49" s="39"/>
      <c r="ADG49" s="39"/>
      <c r="ADH49" s="39"/>
      <c r="ADI49" s="39"/>
      <c r="ADJ49" s="39"/>
      <c r="ADK49" s="39"/>
      <c r="ADL49" s="39"/>
      <c r="ADM49" s="39"/>
      <c r="ADN49" s="39"/>
      <c r="ADO49" s="39"/>
      <c r="ADP49" s="39"/>
      <c r="ADQ49" s="39"/>
      <c r="ADR49" s="39"/>
      <c r="ADS49" s="39"/>
      <c r="ADT49" s="39"/>
      <c r="ADU49" s="39"/>
      <c r="ADV49" s="39"/>
      <c r="ADW49" s="39"/>
      <c r="ADX49" s="39"/>
      <c r="ADY49" s="39"/>
      <c r="ADZ49" s="39"/>
      <c r="AEA49" s="39"/>
      <c r="AEB49" s="39"/>
      <c r="AEC49" s="39"/>
      <c r="AED49" s="39"/>
      <c r="AEE49" s="39"/>
      <c r="AEF49" s="39"/>
      <c r="AEG49" s="39"/>
      <c r="AEH49" s="39"/>
      <c r="AEI49" s="39"/>
      <c r="AEJ49" s="39"/>
      <c r="AEK49" s="39"/>
      <c r="AEL49" s="39"/>
      <c r="AEM49" s="39"/>
      <c r="AEN49" s="39"/>
      <c r="AEO49" s="39"/>
      <c r="AEP49" s="39"/>
      <c r="AEQ49" s="39"/>
      <c r="AER49" s="39"/>
      <c r="AES49" s="39"/>
      <c r="AET49" s="39"/>
      <c r="AEU49" s="39"/>
      <c r="AEV49" s="39"/>
      <c r="AEW49" s="39"/>
      <c r="AEX49" s="39"/>
      <c r="AEY49" s="39"/>
      <c r="AEZ49" s="39"/>
      <c r="AFA49" s="39"/>
      <c r="AFB49" s="39"/>
      <c r="AFC49" s="39"/>
      <c r="AFD49" s="39"/>
      <c r="AFE49" s="39"/>
      <c r="AFF49" s="39"/>
      <c r="AFG49" s="39"/>
      <c r="AFH49" s="39"/>
      <c r="AFI49" s="39"/>
      <c r="AFJ49" s="39"/>
      <c r="AFK49" s="39"/>
      <c r="AFL49" s="39"/>
      <c r="AFM49" s="39"/>
      <c r="AFN49" s="39"/>
      <c r="AFO49" s="39"/>
      <c r="AFP49" s="39"/>
      <c r="AFQ49" s="39"/>
      <c r="AFR49" s="39"/>
      <c r="AFS49" s="39"/>
      <c r="AFT49" s="39"/>
      <c r="AFU49" s="39"/>
      <c r="AFV49" s="39"/>
      <c r="AFW49" s="39"/>
      <c r="AFX49" s="39"/>
      <c r="AFY49" s="39"/>
      <c r="AFZ49" s="39"/>
      <c r="AGA49" s="39"/>
      <c r="AGB49" s="39"/>
      <c r="AGC49" s="39"/>
      <c r="AGD49" s="39"/>
      <c r="AGE49" s="39"/>
      <c r="AGF49" s="39"/>
      <c r="AGG49" s="39"/>
      <c r="AGH49" s="39"/>
      <c r="AGI49" s="39"/>
      <c r="AGJ49" s="39"/>
      <c r="AGK49" s="39"/>
      <c r="AGL49" s="39"/>
      <c r="AGM49" s="39"/>
      <c r="AGN49" s="39"/>
      <c r="AGO49" s="39"/>
      <c r="AGP49" s="39"/>
      <c r="AGQ49" s="39"/>
      <c r="AGR49" s="39"/>
      <c r="AGS49" s="39"/>
      <c r="AGT49" s="39"/>
      <c r="AGU49" s="39"/>
      <c r="AGV49" s="39"/>
      <c r="AGW49" s="39"/>
      <c r="AGX49" s="39"/>
      <c r="AGY49" s="39"/>
      <c r="AGZ49" s="39"/>
      <c r="AHA49" s="39"/>
      <c r="AHB49" s="39"/>
      <c r="AHC49" s="39"/>
      <c r="AHD49" s="39"/>
      <c r="AHE49" s="39"/>
      <c r="AHF49" s="39"/>
      <c r="AHG49" s="39"/>
      <c r="AHH49" s="39"/>
      <c r="AHI49" s="39"/>
      <c r="AHJ49" s="39"/>
      <c r="AHK49" s="39"/>
      <c r="AHL49" s="39"/>
      <c r="AHM49" s="39"/>
      <c r="AHN49" s="39"/>
      <c r="AHO49" s="39"/>
      <c r="AHP49" s="39"/>
      <c r="AHQ49" s="39"/>
      <c r="AHR49" s="39"/>
      <c r="AHS49" s="39"/>
      <c r="AHT49" s="39"/>
      <c r="AHU49" s="39"/>
      <c r="AHV49" s="39"/>
      <c r="AHW49" s="39"/>
      <c r="AHX49" s="39"/>
      <c r="AHY49" s="39"/>
      <c r="AHZ49" s="39"/>
      <c r="AIA49" s="39"/>
      <c r="AIB49" s="39"/>
      <c r="AIC49" s="39"/>
      <c r="AID49" s="39"/>
      <c r="AIE49" s="39"/>
      <c r="AIF49" s="39"/>
      <c r="AIG49" s="39"/>
      <c r="AIH49" s="39"/>
      <c r="AII49" s="39"/>
      <c r="AIJ49" s="39"/>
      <c r="AIK49" s="39"/>
      <c r="AIL49" s="39"/>
      <c r="AIM49" s="39"/>
      <c r="AIN49" s="39"/>
      <c r="AIO49" s="39"/>
      <c r="AIP49" s="39"/>
      <c r="AIQ49" s="39"/>
      <c r="AIR49" s="39"/>
      <c r="AIS49" s="39"/>
      <c r="AIT49" s="39"/>
      <c r="AIU49" s="39"/>
      <c r="AIV49" s="39"/>
      <c r="AIW49" s="39"/>
      <c r="AIX49" s="39"/>
      <c r="AIY49" s="39"/>
      <c r="AIZ49" s="39"/>
      <c r="AJA49" s="39"/>
      <c r="AJB49" s="39"/>
      <c r="AJC49" s="39"/>
      <c r="AJD49" s="39"/>
      <c r="AJE49" s="39"/>
      <c r="AJF49" s="39"/>
      <c r="AJG49" s="39"/>
      <c r="AJH49" s="39"/>
      <c r="AJI49" s="39"/>
      <c r="AJJ49" s="39"/>
      <c r="AJK49" s="39"/>
      <c r="AJL49" s="39"/>
      <c r="AJM49" s="39"/>
      <c r="AJN49" s="39"/>
      <c r="AJO49" s="39"/>
      <c r="AJP49" s="39"/>
      <c r="AJQ49" s="39"/>
      <c r="AJR49" s="39"/>
      <c r="AJS49" s="39"/>
      <c r="AJT49" s="39"/>
      <c r="AJU49" s="39"/>
      <c r="AJV49" s="39"/>
      <c r="AJW49" s="39"/>
      <c r="AJX49" s="39"/>
      <c r="AJY49" s="39"/>
      <c r="AJZ49" s="39"/>
      <c r="AKA49" s="39"/>
      <c r="AKB49" s="39"/>
      <c r="AKC49" s="39"/>
      <c r="AKD49" s="39"/>
      <c r="AKE49" s="39"/>
      <c r="AKF49" s="39"/>
      <c r="AKG49" s="39"/>
      <c r="AKH49" s="39"/>
      <c r="AKI49" s="39"/>
      <c r="AKJ49" s="39"/>
      <c r="AKK49" s="39"/>
      <c r="AKL49" s="39"/>
      <c r="AKM49" s="39"/>
      <c r="AKN49" s="39"/>
      <c r="AKO49" s="39"/>
      <c r="AKP49" s="39"/>
      <c r="AKQ49" s="39"/>
    </row>
    <row r="50" spans="1:979" s="67" customFormat="1" ht="24" customHeight="1" x14ac:dyDescent="0.25">
      <c r="A50" s="882"/>
      <c r="B50" s="563"/>
      <c r="C50" s="564"/>
      <c r="D50" s="139"/>
      <c r="E50" s="139"/>
      <c r="F50" s="139">
        <f>SUM(F45:F49)</f>
        <v>85</v>
      </c>
      <c r="G50" s="139">
        <f>SUM(G45:G49)</f>
        <v>42500000</v>
      </c>
      <c r="H50" s="139">
        <f t="shared" ref="H50:BK50" si="71">SUM(H45:H49)</f>
        <v>0</v>
      </c>
      <c r="I50" s="139">
        <f t="shared" si="71"/>
        <v>42500000</v>
      </c>
      <c r="J50" s="139">
        <f t="shared" si="71"/>
        <v>0</v>
      </c>
      <c r="K50" s="139">
        <f t="shared" si="71"/>
        <v>0</v>
      </c>
      <c r="L50" s="139">
        <f t="shared" si="71"/>
        <v>0</v>
      </c>
      <c r="M50" s="139">
        <f t="shared" si="71"/>
        <v>0</v>
      </c>
      <c r="N50" s="139">
        <f t="shared" si="71"/>
        <v>0</v>
      </c>
      <c r="O50" s="139">
        <f t="shared" si="71"/>
        <v>0</v>
      </c>
      <c r="P50" s="139">
        <f t="shared" si="71"/>
        <v>0</v>
      </c>
      <c r="Q50" s="139">
        <f t="shared" si="71"/>
        <v>0</v>
      </c>
      <c r="R50" s="139">
        <f t="shared" si="71"/>
        <v>8.5</v>
      </c>
      <c r="S50" s="139">
        <f t="shared" si="71"/>
        <v>21.25</v>
      </c>
      <c r="T50" s="139">
        <f t="shared" si="71"/>
        <v>29.749999999999996</v>
      </c>
      <c r="U50" s="139">
        <f t="shared" si="71"/>
        <v>25.5</v>
      </c>
      <c r="V50" s="139">
        <f t="shared" si="71"/>
        <v>4250000</v>
      </c>
      <c r="W50" s="139">
        <f t="shared" si="71"/>
        <v>10625000</v>
      </c>
      <c r="X50" s="139">
        <f t="shared" si="71"/>
        <v>14874999.999999998</v>
      </c>
      <c r="Y50" s="139">
        <f t="shared" si="71"/>
        <v>12750000</v>
      </c>
      <c r="Z50" s="139">
        <f t="shared" si="71"/>
        <v>3</v>
      </c>
      <c r="AA50" s="139">
        <f t="shared" si="71"/>
        <v>1500000</v>
      </c>
      <c r="AB50" s="139">
        <f t="shared" si="71"/>
        <v>3</v>
      </c>
      <c r="AC50" s="139">
        <f t="shared" si="71"/>
        <v>1500000</v>
      </c>
      <c r="AD50" s="139">
        <f t="shared" si="71"/>
        <v>3</v>
      </c>
      <c r="AE50" s="139">
        <f t="shared" si="71"/>
        <v>1500000</v>
      </c>
      <c r="AF50" s="139">
        <f t="shared" si="71"/>
        <v>5</v>
      </c>
      <c r="AG50" s="139">
        <f t="shared" si="71"/>
        <v>2500000</v>
      </c>
      <c r="AH50" s="139">
        <f t="shared" si="71"/>
        <v>2</v>
      </c>
      <c r="AI50" s="139">
        <f t="shared" si="71"/>
        <v>1000000</v>
      </c>
      <c r="AJ50" s="139">
        <f t="shared" si="71"/>
        <v>4</v>
      </c>
      <c r="AK50" s="139">
        <f t="shared" si="71"/>
        <v>2000000</v>
      </c>
      <c r="AL50" s="139">
        <f t="shared" si="71"/>
        <v>5</v>
      </c>
      <c r="AM50" s="139">
        <f t="shared" si="71"/>
        <v>2500000</v>
      </c>
      <c r="AN50" s="139">
        <f t="shared" si="71"/>
        <v>5</v>
      </c>
      <c r="AO50" s="139">
        <f t="shared" si="71"/>
        <v>2500000</v>
      </c>
      <c r="AP50" s="139">
        <f t="shared" si="71"/>
        <v>2</v>
      </c>
      <c r="AQ50" s="139">
        <f t="shared" si="71"/>
        <v>1000000</v>
      </c>
      <c r="AR50" s="139">
        <f t="shared" si="71"/>
        <v>3</v>
      </c>
      <c r="AS50" s="139">
        <f t="shared" si="71"/>
        <v>1500000</v>
      </c>
      <c r="AT50" s="139">
        <f t="shared" si="71"/>
        <v>6</v>
      </c>
      <c r="AU50" s="139">
        <f t="shared" si="71"/>
        <v>3000000</v>
      </c>
      <c r="AV50" s="139">
        <f t="shared" si="71"/>
        <v>5</v>
      </c>
      <c r="AW50" s="139">
        <f t="shared" si="71"/>
        <v>2500000</v>
      </c>
      <c r="AX50" s="139">
        <f t="shared" si="71"/>
        <v>9</v>
      </c>
      <c r="AY50" s="139">
        <f t="shared" si="71"/>
        <v>4500000</v>
      </c>
      <c r="AZ50" s="139">
        <f t="shared" si="71"/>
        <v>9</v>
      </c>
      <c r="BA50" s="139">
        <f t="shared" si="71"/>
        <v>4500000</v>
      </c>
      <c r="BB50" s="139">
        <f t="shared" si="71"/>
        <v>3</v>
      </c>
      <c r="BC50" s="139">
        <f t="shared" si="71"/>
        <v>1500000</v>
      </c>
      <c r="BD50" s="139">
        <f t="shared" si="71"/>
        <v>12</v>
      </c>
      <c r="BE50" s="139">
        <f t="shared" si="71"/>
        <v>6000000</v>
      </c>
      <c r="BF50" s="139">
        <f t="shared" si="71"/>
        <v>6</v>
      </c>
      <c r="BG50" s="139">
        <f t="shared" si="71"/>
        <v>3000000</v>
      </c>
      <c r="BH50" s="139">
        <f t="shared" si="71"/>
        <v>0</v>
      </c>
      <c r="BI50" s="139">
        <f t="shared" si="71"/>
        <v>0</v>
      </c>
      <c r="BJ50" s="139">
        <f t="shared" si="71"/>
        <v>85</v>
      </c>
      <c r="BK50" s="139">
        <f t="shared" si="71"/>
        <v>42500000</v>
      </c>
      <c r="BL50" s="118"/>
      <c r="BN50" s="139">
        <f>SUM(BN45:BN49)</f>
        <v>0</v>
      </c>
      <c r="BO50" s="139">
        <f t="shared" ref="BO50:BV50" si="72">SUM(BO45:BO49)</f>
        <v>0</v>
      </c>
      <c r="BP50" s="139">
        <f t="shared" si="72"/>
        <v>0</v>
      </c>
      <c r="BQ50" s="139">
        <f t="shared" si="72"/>
        <v>42500000</v>
      </c>
      <c r="BR50" s="139">
        <f t="shared" si="72"/>
        <v>42500000</v>
      </c>
      <c r="BS50" s="139">
        <f t="shared" si="72"/>
        <v>0</v>
      </c>
      <c r="BT50" s="139">
        <f t="shared" si="72"/>
        <v>0</v>
      </c>
      <c r="BU50" s="139">
        <f t="shared" si="72"/>
        <v>0</v>
      </c>
      <c r="BV50" s="139">
        <f t="shared" si="72"/>
        <v>42500000</v>
      </c>
    </row>
    <row r="51" spans="1:979" ht="24" customHeight="1" x14ac:dyDescent="0.25">
      <c r="A51" s="882"/>
      <c r="B51" s="443">
        <v>12330</v>
      </c>
      <c r="C51" s="562" t="s">
        <v>126</v>
      </c>
      <c r="D51" s="167"/>
      <c r="E51" s="167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185"/>
      <c r="S51" s="185"/>
      <c r="T51" s="185"/>
      <c r="U51" s="1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47"/>
      <c r="BN51" s="113"/>
      <c r="BO51" s="113"/>
      <c r="BP51" s="113"/>
      <c r="BQ51" s="113"/>
      <c r="BR51" s="113"/>
      <c r="BS51" s="113"/>
      <c r="BT51" s="113"/>
      <c r="BU51" s="113"/>
      <c r="BV51" s="179">
        <f t="shared" si="1"/>
        <v>0</v>
      </c>
    </row>
    <row r="52" spans="1:979" ht="24" customHeight="1" x14ac:dyDescent="0.25">
      <c r="A52" s="882"/>
      <c r="B52" s="184"/>
      <c r="C52" s="167" t="s">
        <v>127</v>
      </c>
      <c r="D52" s="167" t="s">
        <v>128</v>
      </c>
      <c r="E52" s="167">
        <f>5*100000</f>
        <v>500000</v>
      </c>
      <c r="F52" s="69">
        <f t="shared" ref="F52:F60" si="73">BJ52</f>
        <v>0</v>
      </c>
      <c r="G52" s="69">
        <f t="shared" ref="G52:G60" si="74">E52*F52</f>
        <v>0</v>
      </c>
      <c r="H52" s="69">
        <f>G52*0</f>
        <v>0</v>
      </c>
      <c r="I52" s="69">
        <f>G52*0.8</f>
        <v>0</v>
      </c>
      <c r="J52" s="69">
        <f>G52*0</f>
        <v>0</v>
      </c>
      <c r="K52" s="69">
        <f>G52*0</f>
        <v>0</v>
      </c>
      <c r="L52" s="69">
        <f>G52*0.2</f>
        <v>0</v>
      </c>
      <c r="M52" s="69">
        <f>G52*0</f>
        <v>0</v>
      </c>
      <c r="N52" s="69">
        <f>G52*0</f>
        <v>0</v>
      </c>
      <c r="O52" s="69">
        <f>G52*0</f>
        <v>0</v>
      </c>
      <c r="P52" s="69">
        <f>G52*0</f>
        <v>0</v>
      </c>
      <c r="Q52" s="69">
        <f>G52*0</f>
        <v>0</v>
      </c>
      <c r="R52" s="153">
        <f t="shared" ref="R52" si="75">F52*0.1</f>
        <v>0</v>
      </c>
      <c r="S52" s="153">
        <f t="shared" ref="S52" si="76">F52*0.25</f>
        <v>0</v>
      </c>
      <c r="T52" s="153">
        <f t="shared" ref="T52" si="77">F52*0.35</f>
        <v>0</v>
      </c>
      <c r="U52" s="153">
        <f t="shared" ref="U52" si="78">F52*0.3</f>
        <v>0</v>
      </c>
      <c r="V52" s="69">
        <f>R52*E52</f>
        <v>0</v>
      </c>
      <c r="W52" s="69">
        <f>S52*E52</f>
        <v>0</v>
      </c>
      <c r="X52" s="69">
        <f>T52*E52</f>
        <v>0</v>
      </c>
      <c r="Y52" s="69">
        <f>U52*E52</f>
        <v>0</v>
      </c>
      <c r="Z52" s="85">
        <v>0</v>
      </c>
      <c r="AA52" s="69">
        <f>Z52*500000</f>
        <v>0</v>
      </c>
      <c r="AB52" s="85">
        <v>0</v>
      </c>
      <c r="AC52" s="69">
        <f>AB52*500000</f>
        <v>0</v>
      </c>
      <c r="AD52" s="85">
        <v>0</v>
      </c>
      <c r="AE52" s="69">
        <f>AD52*500000</f>
        <v>0</v>
      </c>
      <c r="AF52" s="85">
        <v>0</v>
      </c>
      <c r="AG52" s="69">
        <f>AF52*500000</f>
        <v>0</v>
      </c>
      <c r="AH52" s="85">
        <v>0</v>
      </c>
      <c r="AI52" s="69">
        <f>AH52*500000</f>
        <v>0</v>
      </c>
      <c r="AJ52" s="85">
        <v>0</v>
      </c>
      <c r="AK52" s="69">
        <f>AJ52*500000</f>
        <v>0</v>
      </c>
      <c r="AL52" s="85">
        <v>0</v>
      </c>
      <c r="AM52" s="69">
        <f>AL52*500000</f>
        <v>0</v>
      </c>
      <c r="AN52" s="85">
        <v>0</v>
      </c>
      <c r="AO52" s="69">
        <f>AN52*500000</f>
        <v>0</v>
      </c>
      <c r="AP52" s="85">
        <v>0</v>
      </c>
      <c r="AQ52" s="69">
        <f>AP52*500000</f>
        <v>0</v>
      </c>
      <c r="AR52" s="85">
        <v>0</v>
      </c>
      <c r="AS52" s="69">
        <f>AR52*500000</f>
        <v>0</v>
      </c>
      <c r="AT52" s="85">
        <v>0</v>
      </c>
      <c r="AU52" s="69">
        <f>AT52*500000</f>
        <v>0</v>
      </c>
      <c r="AV52" s="85">
        <v>0</v>
      </c>
      <c r="AW52" s="69">
        <f>AV52*500000</f>
        <v>0</v>
      </c>
      <c r="AX52" s="85">
        <v>0</v>
      </c>
      <c r="AY52" s="69">
        <f>AX52*500000</f>
        <v>0</v>
      </c>
      <c r="AZ52" s="85">
        <v>0</v>
      </c>
      <c r="BA52" s="69">
        <f>AZ52*500000</f>
        <v>0</v>
      </c>
      <c r="BB52" s="85">
        <v>0</v>
      </c>
      <c r="BC52" s="69">
        <f>BB52*500000</f>
        <v>0</v>
      </c>
      <c r="BD52" s="85">
        <v>0</v>
      </c>
      <c r="BE52" s="69">
        <f>BD52*500000</f>
        <v>0</v>
      </c>
      <c r="BF52" s="85">
        <v>0</v>
      </c>
      <c r="BG52" s="69">
        <f>BF52*500000</f>
        <v>0</v>
      </c>
      <c r="BH52" s="85">
        <v>0</v>
      </c>
      <c r="BI52" s="125">
        <v>0</v>
      </c>
      <c r="BJ52" s="85">
        <f t="shared" ref="BJ52:BK60" si="79">Z52+AB52+AD52+AF52+AH52+AJ52+AL52+AN52+AP52+AR52+AT52+AV52+AX52+AZ52+BB52+BD52+BF52+BH52</f>
        <v>0</v>
      </c>
      <c r="BK52" s="85">
        <f t="shared" si="79"/>
        <v>0</v>
      </c>
      <c r="BL52" s="324" t="s">
        <v>467</v>
      </c>
      <c r="BN52" s="113">
        <v>0</v>
      </c>
      <c r="BO52" s="113">
        <f>G52</f>
        <v>0</v>
      </c>
      <c r="BP52" s="113">
        <v>0</v>
      </c>
      <c r="BQ52" s="113">
        <v>0</v>
      </c>
      <c r="BR52" s="113">
        <f>BN52+BO52+BP52+BQ52</f>
        <v>0</v>
      </c>
      <c r="BS52" s="113">
        <v>0</v>
      </c>
      <c r="BT52" s="113">
        <v>0</v>
      </c>
      <c r="BU52" s="113">
        <f>BS52+BT52</f>
        <v>0</v>
      </c>
      <c r="BV52" s="179">
        <f t="shared" si="1"/>
        <v>0</v>
      </c>
    </row>
    <row r="53" spans="1:979" ht="24" customHeight="1" x14ac:dyDescent="0.25">
      <c r="A53" s="882"/>
      <c r="B53" s="184"/>
      <c r="C53" s="167" t="s">
        <v>129</v>
      </c>
      <c r="D53" s="167" t="s">
        <v>90</v>
      </c>
      <c r="E53" s="167">
        <f>0.05*100000</f>
        <v>5000</v>
      </c>
      <c r="F53" s="69">
        <f t="shared" si="73"/>
        <v>0</v>
      </c>
      <c r="G53" s="69">
        <f t="shared" si="74"/>
        <v>0</v>
      </c>
      <c r="H53" s="69">
        <f t="shared" ref="H53:H60" si="80">G53*0</f>
        <v>0</v>
      </c>
      <c r="I53" s="69">
        <f t="shared" ref="I53:I60" si="81">G53*0.8</f>
        <v>0</v>
      </c>
      <c r="J53" s="69">
        <f t="shared" ref="J53:J60" si="82">G53*0</f>
        <v>0</v>
      </c>
      <c r="K53" s="69">
        <f t="shared" ref="K53:K60" si="83">G53*0</f>
        <v>0</v>
      </c>
      <c r="L53" s="69">
        <f t="shared" ref="L53:L60" si="84">G53*0.2</f>
        <v>0</v>
      </c>
      <c r="M53" s="69">
        <f t="shared" ref="M53:M60" si="85">G53*0</f>
        <v>0</v>
      </c>
      <c r="N53" s="69">
        <f t="shared" ref="N53:N60" si="86">G53*0</f>
        <v>0</v>
      </c>
      <c r="O53" s="69">
        <f t="shared" ref="O53:O60" si="87">G53*0</f>
        <v>0</v>
      </c>
      <c r="P53" s="69">
        <f t="shared" ref="P53:P60" si="88">G53*0</f>
        <v>0</v>
      </c>
      <c r="Q53" s="69">
        <f t="shared" ref="Q53:Q60" si="89">G53*0</f>
        <v>0</v>
      </c>
      <c r="R53" s="153">
        <f t="shared" ref="R53:R60" si="90">F53*0.1</f>
        <v>0</v>
      </c>
      <c r="S53" s="153">
        <f t="shared" ref="S53:S60" si="91">F53*0.25</f>
        <v>0</v>
      </c>
      <c r="T53" s="153">
        <f t="shared" ref="T53:T60" si="92">F53*0.35</f>
        <v>0</v>
      </c>
      <c r="U53" s="153">
        <f t="shared" ref="U53:U60" si="93">F53*0.3</f>
        <v>0</v>
      </c>
      <c r="V53" s="69">
        <f t="shared" ref="V53:V60" si="94">R53*E53</f>
        <v>0</v>
      </c>
      <c r="W53" s="69">
        <f t="shared" ref="W53:W60" si="95">S53*E53</f>
        <v>0</v>
      </c>
      <c r="X53" s="69">
        <f t="shared" ref="X53:X60" si="96">T53*E53</f>
        <v>0</v>
      </c>
      <c r="Y53" s="69">
        <f t="shared" ref="Y53:Y60" si="97">U53*E53</f>
        <v>0</v>
      </c>
      <c r="Z53" s="85">
        <v>0</v>
      </c>
      <c r="AA53" s="69">
        <f>Z53*5000</f>
        <v>0</v>
      </c>
      <c r="AB53" s="85">
        <v>0</v>
      </c>
      <c r="AC53" s="69">
        <f>AB53*5000</f>
        <v>0</v>
      </c>
      <c r="AD53" s="85">
        <v>0</v>
      </c>
      <c r="AE53" s="69">
        <f>AD53*5000</f>
        <v>0</v>
      </c>
      <c r="AF53" s="85">
        <v>0</v>
      </c>
      <c r="AG53" s="69">
        <f>AF53*5000</f>
        <v>0</v>
      </c>
      <c r="AH53" s="85">
        <v>0</v>
      </c>
      <c r="AI53" s="69">
        <f>AH53*5000</f>
        <v>0</v>
      </c>
      <c r="AJ53" s="85">
        <v>0</v>
      </c>
      <c r="AK53" s="69">
        <f>AJ53*5000</f>
        <v>0</v>
      </c>
      <c r="AL53" s="85">
        <v>0</v>
      </c>
      <c r="AM53" s="69">
        <f>AL53*5000</f>
        <v>0</v>
      </c>
      <c r="AN53" s="85">
        <v>0</v>
      </c>
      <c r="AO53" s="69">
        <f>AN53*5000</f>
        <v>0</v>
      </c>
      <c r="AP53" s="85">
        <v>0</v>
      </c>
      <c r="AQ53" s="69">
        <f>AP53*5000</f>
        <v>0</v>
      </c>
      <c r="AR53" s="85">
        <v>0</v>
      </c>
      <c r="AS53" s="69">
        <f>AR53*5000</f>
        <v>0</v>
      </c>
      <c r="AT53" s="85">
        <v>0</v>
      </c>
      <c r="AU53" s="69">
        <f>AT53*5000</f>
        <v>0</v>
      </c>
      <c r="AV53" s="85">
        <v>0</v>
      </c>
      <c r="AW53" s="69">
        <f>AV53*5000</f>
        <v>0</v>
      </c>
      <c r="AX53" s="85">
        <v>0</v>
      </c>
      <c r="AY53" s="69">
        <f>AX53*5000</f>
        <v>0</v>
      </c>
      <c r="AZ53" s="85">
        <v>0</v>
      </c>
      <c r="BA53" s="69">
        <f>AZ53*5000</f>
        <v>0</v>
      </c>
      <c r="BB53" s="85">
        <v>0</v>
      </c>
      <c r="BC53" s="69">
        <f>BB53*5000</f>
        <v>0</v>
      </c>
      <c r="BD53" s="85">
        <v>0</v>
      </c>
      <c r="BE53" s="69">
        <f>BD53*5000</f>
        <v>0</v>
      </c>
      <c r="BF53" s="85">
        <v>0</v>
      </c>
      <c r="BG53" s="69">
        <f>BF53*5000</f>
        <v>0</v>
      </c>
      <c r="BH53" s="85">
        <v>0</v>
      </c>
      <c r="BI53" s="69">
        <f>BH53*5000</f>
        <v>0</v>
      </c>
      <c r="BJ53" s="85">
        <f t="shared" si="79"/>
        <v>0</v>
      </c>
      <c r="BK53" s="85">
        <f t="shared" si="79"/>
        <v>0</v>
      </c>
      <c r="BL53" s="324" t="s">
        <v>467</v>
      </c>
      <c r="BN53" s="113">
        <v>0</v>
      </c>
      <c r="BO53" s="113">
        <v>0</v>
      </c>
      <c r="BP53" s="113">
        <v>0</v>
      </c>
      <c r="BQ53" s="113">
        <v>0</v>
      </c>
      <c r="BR53" s="113">
        <f t="shared" ref="BR53:BR60" si="98">BN53+BO53+BP53+BQ53</f>
        <v>0</v>
      </c>
      <c r="BS53" s="113">
        <v>0</v>
      </c>
      <c r="BT53" s="113">
        <v>0</v>
      </c>
      <c r="BU53" s="113">
        <f t="shared" ref="BU53:BU60" si="99">BS53+BT53</f>
        <v>0</v>
      </c>
      <c r="BV53" s="179">
        <f t="shared" si="1"/>
        <v>0</v>
      </c>
    </row>
    <row r="54" spans="1:979" ht="24" customHeight="1" x14ac:dyDescent="0.25">
      <c r="A54" s="882"/>
      <c r="B54" s="184"/>
      <c r="C54" s="167" t="s">
        <v>130</v>
      </c>
      <c r="D54" s="167" t="s">
        <v>44</v>
      </c>
      <c r="E54" s="167">
        <f>5*100000</f>
        <v>500000</v>
      </c>
      <c r="F54" s="69">
        <f t="shared" si="73"/>
        <v>0</v>
      </c>
      <c r="G54" s="69">
        <f t="shared" si="74"/>
        <v>0</v>
      </c>
      <c r="H54" s="69">
        <f t="shared" si="80"/>
        <v>0</v>
      </c>
      <c r="I54" s="69">
        <f t="shared" si="81"/>
        <v>0</v>
      </c>
      <c r="J54" s="69">
        <f t="shared" si="82"/>
        <v>0</v>
      </c>
      <c r="K54" s="69">
        <f t="shared" si="83"/>
        <v>0</v>
      </c>
      <c r="L54" s="69">
        <f t="shared" si="84"/>
        <v>0</v>
      </c>
      <c r="M54" s="69">
        <f t="shared" si="85"/>
        <v>0</v>
      </c>
      <c r="N54" s="69">
        <f t="shared" si="86"/>
        <v>0</v>
      </c>
      <c r="O54" s="69">
        <f t="shared" si="87"/>
        <v>0</v>
      </c>
      <c r="P54" s="69">
        <f t="shared" si="88"/>
        <v>0</v>
      </c>
      <c r="Q54" s="69">
        <f t="shared" si="89"/>
        <v>0</v>
      </c>
      <c r="R54" s="153">
        <f t="shared" si="90"/>
        <v>0</v>
      </c>
      <c r="S54" s="153">
        <f t="shared" si="91"/>
        <v>0</v>
      </c>
      <c r="T54" s="153">
        <f t="shared" si="92"/>
        <v>0</v>
      </c>
      <c r="U54" s="153">
        <f t="shared" si="93"/>
        <v>0</v>
      </c>
      <c r="V54" s="69">
        <f t="shared" si="94"/>
        <v>0</v>
      </c>
      <c r="W54" s="69">
        <f t="shared" si="95"/>
        <v>0</v>
      </c>
      <c r="X54" s="69">
        <f t="shared" si="96"/>
        <v>0</v>
      </c>
      <c r="Y54" s="69">
        <f t="shared" si="97"/>
        <v>0</v>
      </c>
      <c r="Z54" s="85">
        <v>0</v>
      </c>
      <c r="AA54" s="69">
        <f>Z54*500000</f>
        <v>0</v>
      </c>
      <c r="AB54" s="85">
        <v>0</v>
      </c>
      <c r="AC54" s="69">
        <f>AB54*500000</f>
        <v>0</v>
      </c>
      <c r="AD54" s="85">
        <v>0</v>
      </c>
      <c r="AE54" s="69">
        <f>AD54*500000</f>
        <v>0</v>
      </c>
      <c r="AF54" s="85">
        <v>0</v>
      </c>
      <c r="AG54" s="69">
        <f>AF54*500000</f>
        <v>0</v>
      </c>
      <c r="AH54" s="85">
        <v>0</v>
      </c>
      <c r="AI54" s="69">
        <f>AH54*500000</f>
        <v>0</v>
      </c>
      <c r="AJ54" s="85">
        <v>0</v>
      </c>
      <c r="AK54" s="69">
        <f>AJ54*500000</f>
        <v>0</v>
      </c>
      <c r="AL54" s="85">
        <v>0</v>
      </c>
      <c r="AM54" s="69">
        <f>AL54*500000</f>
        <v>0</v>
      </c>
      <c r="AN54" s="85">
        <v>0</v>
      </c>
      <c r="AO54" s="69">
        <f>AN54*500000</f>
        <v>0</v>
      </c>
      <c r="AP54" s="85">
        <v>0</v>
      </c>
      <c r="AQ54" s="69">
        <f>AP54*500000</f>
        <v>0</v>
      </c>
      <c r="AR54" s="85">
        <v>0</v>
      </c>
      <c r="AS54" s="69">
        <f>AR54*500000</f>
        <v>0</v>
      </c>
      <c r="AT54" s="85">
        <v>0</v>
      </c>
      <c r="AU54" s="69">
        <f>AT54*500000</f>
        <v>0</v>
      </c>
      <c r="AV54" s="85">
        <v>0</v>
      </c>
      <c r="AW54" s="69">
        <f>AV54*500000</f>
        <v>0</v>
      </c>
      <c r="AX54" s="85">
        <v>0</v>
      </c>
      <c r="AY54" s="69">
        <f>AX54*500000</f>
        <v>0</v>
      </c>
      <c r="AZ54" s="85">
        <v>0</v>
      </c>
      <c r="BA54" s="69">
        <f>AZ54*500000</f>
        <v>0</v>
      </c>
      <c r="BB54" s="85">
        <v>0</v>
      </c>
      <c r="BC54" s="69">
        <f>BB54*500000</f>
        <v>0</v>
      </c>
      <c r="BD54" s="85">
        <v>0</v>
      </c>
      <c r="BE54" s="69">
        <f>BD54*500000</f>
        <v>0</v>
      </c>
      <c r="BF54" s="85">
        <v>0</v>
      </c>
      <c r="BG54" s="69">
        <f>BF54*500000</f>
        <v>0</v>
      </c>
      <c r="BH54" s="85">
        <v>0</v>
      </c>
      <c r="BI54" s="69">
        <f>BH54*500000</f>
        <v>0</v>
      </c>
      <c r="BJ54" s="85">
        <f t="shared" si="79"/>
        <v>0</v>
      </c>
      <c r="BK54" s="85">
        <f t="shared" si="79"/>
        <v>0</v>
      </c>
      <c r="BL54" s="324" t="s">
        <v>467</v>
      </c>
      <c r="BN54" s="113">
        <v>0</v>
      </c>
      <c r="BO54" s="113">
        <v>0</v>
      </c>
      <c r="BP54" s="113">
        <v>0</v>
      </c>
      <c r="BQ54" s="113">
        <v>0</v>
      </c>
      <c r="BR54" s="113">
        <f t="shared" si="98"/>
        <v>0</v>
      </c>
      <c r="BS54" s="113">
        <v>0</v>
      </c>
      <c r="BT54" s="113">
        <v>0</v>
      </c>
      <c r="BU54" s="113">
        <f t="shared" si="99"/>
        <v>0</v>
      </c>
      <c r="BV54" s="179">
        <f t="shared" si="1"/>
        <v>0</v>
      </c>
    </row>
    <row r="55" spans="1:979" ht="24" customHeight="1" x14ac:dyDescent="0.25">
      <c r="A55" s="882"/>
      <c r="B55" s="184"/>
      <c r="C55" s="167" t="s">
        <v>131</v>
      </c>
      <c r="D55" s="167" t="s">
        <v>17</v>
      </c>
      <c r="E55" s="167">
        <f>0.75*100000</f>
        <v>75000</v>
      </c>
      <c r="F55" s="69">
        <f t="shared" si="73"/>
        <v>0</v>
      </c>
      <c r="G55" s="69">
        <f t="shared" si="74"/>
        <v>0</v>
      </c>
      <c r="H55" s="69">
        <f t="shared" si="80"/>
        <v>0</v>
      </c>
      <c r="I55" s="69">
        <f t="shared" si="81"/>
        <v>0</v>
      </c>
      <c r="J55" s="69">
        <f t="shared" si="82"/>
        <v>0</v>
      </c>
      <c r="K55" s="69">
        <f t="shared" si="83"/>
        <v>0</v>
      </c>
      <c r="L55" s="69">
        <f t="shared" si="84"/>
        <v>0</v>
      </c>
      <c r="M55" s="69">
        <f t="shared" si="85"/>
        <v>0</v>
      </c>
      <c r="N55" s="69">
        <f t="shared" si="86"/>
        <v>0</v>
      </c>
      <c r="O55" s="69">
        <f t="shared" si="87"/>
        <v>0</v>
      </c>
      <c r="P55" s="69">
        <f t="shared" si="88"/>
        <v>0</v>
      </c>
      <c r="Q55" s="69">
        <f t="shared" si="89"/>
        <v>0</v>
      </c>
      <c r="R55" s="153">
        <f t="shared" si="90"/>
        <v>0</v>
      </c>
      <c r="S55" s="153">
        <f t="shared" si="91"/>
        <v>0</v>
      </c>
      <c r="T55" s="153">
        <f t="shared" si="92"/>
        <v>0</v>
      </c>
      <c r="U55" s="153">
        <f t="shared" si="93"/>
        <v>0</v>
      </c>
      <c r="V55" s="69">
        <f t="shared" si="94"/>
        <v>0</v>
      </c>
      <c r="W55" s="69">
        <f t="shared" si="95"/>
        <v>0</v>
      </c>
      <c r="X55" s="69">
        <f t="shared" si="96"/>
        <v>0</v>
      </c>
      <c r="Y55" s="69">
        <f t="shared" si="97"/>
        <v>0</v>
      </c>
      <c r="Z55" s="85">
        <v>0</v>
      </c>
      <c r="AA55" s="69">
        <f>Z55*75000</f>
        <v>0</v>
      </c>
      <c r="AB55" s="85">
        <v>0</v>
      </c>
      <c r="AC55" s="69">
        <f>AB55*75000</f>
        <v>0</v>
      </c>
      <c r="AD55" s="85">
        <v>0</v>
      </c>
      <c r="AE55" s="69">
        <f>AD55*75000</f>
        <v>0</v>
      </c>
      <c r="AF55" s="85">
        <v>0</v>
      </c>
      <c r="AG55" s="69">
        <f>AF55*75000</f>
        <v>0</v>
      </c>
      <c r="AH55" s="85">
        <v>0</v>
      </c>
      <c r="AI55" s="69">
        <f>AH55*75000</f>
        <v>0</v>
      </c>
      <c r="AJ55" s="85">
        <v>0</v>
      </c>
      <c r="AK55" s="69">
        <f>AJ55*75000</f>
        <v>0</v>
      </c>
      <c r="AL55" s="85">
        <v>0</v>
      </c>
      <c r="AM55" s="69">
        <f>AL55*75000</f>
        <v>0</v>
      </c>
      <c r="AN55" s="85">
        <v>0</v>
      </c>
      <c r="AO55" s="69">
        <f>AN55*75000</f>
        <v>0</v>
      </c>
      <c r="AP55" s="85">
        <v>0</v>
      </c>
      <c r="AQ55" s="69">
        <f>AP55*75000</f>
        <v>0</v>
      </c>
      <c r="AR55" s="85">
        <v>0</v>
      </c>
      <c r="AS55" s="69">
        <f>AR55*75000</f>
        <v>0</v>
      </c>
      <c r="AT55" s="85">
        <v>0</v>
      </c>
      <c r="AU55" s="69">
        <f>AT55*75000</f>
        <v>0</v>
      </c>
      <c r="AV55" s="85">
        <v>0</v>
      </c>
      <c r="AW55" s="69">
        <f>AV55*75000</f>
        <v>0</v>
      </c>
      <c r="AX55" s="85">
        <v>0</v>
      </c>
      <c r="AY55" s="69">
        <f>AX55*75000</f>
        <v>0</v>
      </c>
      <c r="AZ55" s="85">
        <v>0</v>
      </c>
      <c r="BA55" s="69">
        <f>AZ55*75000</f>
        <v>0</v>
      </c>
      <c r="BB55" s="85">
        <v>0</v>
      </c>
      <c r="BC55" s="69">
        <f>BB55*75000</f>
        <v>0</v>
      </c>
      <c r="BD55" s="85">
        <v>0</v>
      </c>
      <c r="BE55" s="69">
        <f>BD55*75000</f>
        <v>0</v>
      </c>
      <c r="BF55" s="85">
        <v>0</v>
      </c>
      <c r="BG55" s="69">
        <f>BF55*75000</f>
        <v>0</v>
      </c>
      <c r="BH55" s="85">
        <v>0</v>
      </c>
      <c r="BI55" s="69">
        <f>BH55*75000</f>
        <v>0</v>
      </c>
      <c r="BJ55" s="85">
        <f t="shared" si="79"/>
        <v>0</v>
      </c>
      <c r="BK55" s="85">
        <f t="shared" si="79"/>
        <v>0</v>
      </c>
      <c r="BL55" s="324" t="s">
        <v>467</v>
      </c>
      <c r="BN55" s="113">
        <v>0</v>
      </c>
      <c r="BO55" s="113">
        <v>0</v>
      </c>
      <c r="BP55" s="113">
        <v>0</v>
      </c>
      <c r="BQ55" s="113">
        <v>0</v>
      </c>
      <c r="BR55" s="113">
        <f t="shared" si="98"/>
        <v>0</v>
      </c>
      <c r="BS55" s="113">
        <v>0</v>
      </c>
      <c r="BT55" s="113">
        <v>0</v>
      </c>
      <c r="BU55" s="113">
        <f t="shared" si="99"/>
        <v>0</v>
      </c>
      <c r="BV55" s="179">
        <f t="shared" si="1"/>
        <v>0</v>
      </c>
    </row>
    <row r="56" spans="1:979" ht="24" customHeight="1" x14ac:dyDescent="0.25">
      <c r="A56" s="882"/>
      <c r="B56" s="184"/>
      <c r="C56" s="167" t="s">
        <v>132</v>
      </c>
      <c r="D56" s="167" t="s">
        <v>120</v>
      </c>
      <c r="E56" s="167">
        <f>0.025*100000</f>
        <v>2500</v>
      </c>
      <c r="F56" s="69">
        <f t="shared" si="73"/>
        <v>0</v>
      </c>
      <c r="G56" s="69">
        <f t="shared" si="74"/>
        <v>0</v>
      </c>
      <c r="H56" s="69">
        <f t="shared" si="80"/>
        <v>0</v>
      </c>
      <c r="I56" s="69">
        <f t="shared" si="81"/>
        <v>0</v>
      </c>
      <c r="J56" s="69">
        <f t="shared" si="82"/>
        <v>0</v>
      </c>
      <c r="K56" s="69">
        <f t="shared" si="83"/>
        <v>0</v>
      </c>
      <c r="L56" s="69">
        <f t="shared" si="84"/>
        <v>0</v>
      </c>
      <c r="M56" s="69">
        <f t="shared" si="85"/>
        <v>0</v>
      </c>
      <c r="N56" s="69">
        <f t="shared" si="86"/>
        <v>0</v>
      </c>
      <c r="O56" s="69">
        <f t="shared" si="87"/>
        <v>0</v>
      </c>
      <c r="P56" s="69">
        <f t="shared" si="88"/>
        <v>0</v>
      </c>
      <c r="Q56" s="69">
        <f t="shared" si="89"/>
        <v>0</v>
      </c>
      <c r="R56" s="153">
        <f t="shared" si="90"/>
        <v>0</v>
      </c>
      <c r="S56" s="153">
        <f t="shared" si="91"/>
        <v>0</v>
      </c>
      <c r="T56" s="153">
        <f t="shared" si="92"/>
        <v>0</v>
      </c>
      <c r="U56" s="153">
        <f t="shared" si="93"/>
        <v>0</v>
      </c>
      <c r="V56" s="69">
        <f t="shared" si="94"/>
        <v>0</v>
      </c>
      <c r="W56" s="69">
        <f t="shared" si="95"/>
        <v>0</v>
      </c>
      <c r="X56" s="69">
        <f t="shared" si="96"/>
        <v>0</v>
      </c>
      <c r="Y56" s="69">
        <f t="shared" si="97"/>
        <v>0</v>
      </c>
      <c r="Z56" s="85">
        <v>0</v>
      </c>
      <c r="AA56" s="69">
        <f>Z56*2500</f>
        <v>0</v>
      </c>
      <c r="AB56" s="85">
        <v>0</v>
      </c>
      <c r="AC56" s="69">
        <f>AB56*2500</f>
        <v>0</v>
      </c>
      <c r="AD56" s="85">
        <v>0</v>
      </c>
      <c r="AE56" s="69">
        <f>AD56*2500</f>
        <v>0</v>
      </c>
      <c r="AF56" s="85">
        <v>0</v>
      </c>
      <c r="AG56" s="69">
        <f>AF56*2500</f>
        <v>0</v>
      </c>
      <c r="AH56" s="85">
        <v>0</v>
      </c>
      <c r="AI56" s="69">
        <f>AH56*2500</f>
        <v>0</v>
      </c>
      <c r="AJ56" s="85">
        <v>0</v>
      </c>
      <c r="AK56" s="69">
        <f>AJ56*2500</f>
        <v>0</v>
      </c>
      <c r="AL56" s="85">
        <v>0</v>
      </c>
      <c r="AM56" s="69">
        <f>AL56*2500</f>
        <v>0</v>
      </c>
      <c r="AN56" s="85">
        <v>0</v>
      </c>
      <c r="AO56" s="69">
        <f>AN56*2500</f>
        <v>0</v>
      </c>
      <c r="AP56" s="85">
        <v>0</v>
      </c>
      <c r="AQ56" s="69">
        <f>AP56*2500</f>
        <v>0</v>
      </c>
      <c r="AR56" s="85">
        <v>0</v>
      </c>
      <c r="AS56" s="69">
        <f>AR56*2500</f>
        <v>0</v>
      </c>
      <c r="AT56" s="85">
        <v>0</v>
      </c>
      <c r="AU56" s="69">
        <f>AT56*2500</f>
        <v>0</v>
      </c>
      <c r="AV56" s="85">
        <v>0</v>
      </c>
      <c r="AW56" s="69">
        <f>AV56*2500</f>
        <v>0</v>
      </c>
      <c r="AX56" s="85">
        <v>0</v>
      </c>
      <c r="AY56" s="69">
        <f>AX56*2500</f>
        <v>0</v>
      </c>
      <c r="AZ56" s="85">
        <v>0</v>
      </c>
      <c r="BA56" s="69">
        <f>AZ56*2500</f>
        <v>0</v>
      </c>
      <c r="BB56" s="85">
        <v>0</v>
      </c>
      <c r="BC56" s="69">
        <f>BB56*2500</f>
        <v>0</v>
      </c>
      <c r="BD56" s="85">
        <v>0</v>
      </c>
      <c r="BE56" s="69">
        <f>BD56*2500</f>
        <v>0</v>
      </c>
      <c r="BF56" s="85">
        <v>0</v>
      </c>
      <c r="BG56" s="69">
        <f>BF56*2500</f>
        <v>0</v>
      </c>
      <c r="BH56" s="85">
        <v>0</v>
      </c>
      <c r="BI56" s="69">
        <f>BH56*2500</f>
        <v>0</v>
      </c>
      <c r="BJ56" s="85">
        <f t="shared" si="79"/>
        <v>0</v>
      </c>
      <c r="BK56" s="85">
        <f t="shared" si="79"/>
        <v>0</v>
      </c>
      <c r="BL56" s="324" t="s">
        <v>467</v>
      </c>
      <c r="BN56" s="113">
        <v>0</v>
      </c>
      <c r="BO56" s="113">
        <v>0</v>
      </c>
      <c r="BP56" s="113">
        <v>0</v>
      </c>
      <c r="BQ56" s="113">
        <v>0</v>
      </c>
      <c r="BR56" s="113">
        <f t="shared" si="98"/>
        <v>0</v>
      </c>
      <c r="BS56" s="113">
        <v>0</v>
      </c>
      <c r="BT56" s="113">
        <v>0</v>
      </c>
      <c r="BU56" s="113">
        <f t="shared" si="99"/>
        <v>0</v>
      </c>
      <c r="BV56" s="179">
        <f t="shared" si="1"/>
        <v>0</v>
      </c>
    </row>
    <row r="57" spans="1:979" ht="33.75" customHeight="1" x14ac:dyDescent="0.25">
      <c r="A57" s="882"/>
      <c r="B57" s="184"/>
      <c r="C57" s="167" t="s">
        <v>133</v>
      </c>
      <c r="D57" s="167" t="s">
        <v>17</v>
      </c>
      <c r="E57" s="167">
        <f>0.025*100000</f>
        <v>2500</v>
      </c>
      <c r="F57" s="69">
        <f t="shared" si="73"/>
        <v>0</v>
      </c>
      <c r="G57" s="69">
        <f t="shared" si="74"/>
        <v>0</v>
      </c>
      <c r="H57" s="69">
        <f t="shared" si="80"/>
        <v>0</v>
      </c>
      <c r="I57" s="69">
        <f t="shared" si="81"/>
        <v>0</v>
      </c>
      <c r="J57" s="69">
        <f t="shared" si="82"/>
        <v>0</v>
      </c>
      <c r="K57" s="69">
        <f t="shared" si="83"/>
        <v>0</v>
      </c>
      <c r="L57" s="69">
        <f t="shared" si="84"/>
        <v>0</v>
      </c>
      <c r="M57" s="69">
        <f t="shared" si="85"/>
        <v>0</v>
      </c>
      <c r="N57" s="69">
        <f t="shared" si="86"/>
        <v>0</v>
      </c>
      <c r="O57" s="69">
        <f t="shared" si="87"/>
        <v>0</v>
      </c>
      <c r="P57" s="69">
        <f t="shared" si="88"/>
        <v>0</v>
      </c>
      <c r="Q57" s="69">
        <f t="shared" si="89"/>
        <v>0</v>
      </c>
      <c r="R57" s="153">
        <f t="shared" si="90"/>
        <v>0</v>
      </c>
      <c r="S57" s="153">
        <f t="shared" si="91"/>
        <v>0</v>
      </c>
      <c r="T57" s="153">
        <f t="shared" si="92"/>
        <v>0</v>
      </c>
      <c r="U57" s="153">
        <f t="shared" si="93"/>
        <v>0</v>
      </c>
      <c r="V57" s="69">
        <f t="shared" si="94"/>
        <v>0</v>
      </c>
      <c r="W57" s="69">
        <f t="shared" si="95"/>
        <v>0</v>
      </c>
      <c r="X57" s="69">
        <f t="shared" si="96"/>
        <v>0</v>
      </c>
      <c r="Y57" s="69">
        <f t="shared" si="97"/>
        <v>0</v>
      </c>
      <c r="Z57" s="85">
        <v>0</v>
      </c>
      <c r="AA57" s="69">
        <f>Z57*2500</f>
        <v>0</v>
      </c>
      <c r="AB57" s="85">
        <v>0</v>
      </c>
      <c r="AC57" s="69">
        <f>AB57*2500</f>
        <v>0</v>
      </c>
      <c r="AD57" s="85">
        <v>0</v>
      </c>
      <c r="AE57" s="69">
        <f>AD57*2500</f>
        <v>0</v>
      </c>
      <c r="AF57" s="85">
        <v>0</v>
      </c>
      <c r="AG57" s="69">
        <f>AF57*2500</f>
        <v>0</v>
      </c>
      <c r="AH57" s="85">
        <v>0</v>
      </c>
      <c r="AI57" s="69">
        <f>AH57*2500</f>
        <v>0</v>
      </c>
      <c r="AJ57" s="85">
        <v>0</v>
      </c>
      <c r="AK57" s="69">
        <f>AJ57*2500</f>
        <v>0</v>
      </c>
      <c r="AL57" s="85">
        <v>0</v>
      </c>
      <c r="AM57" s="69">
        <f>AL57*2500</f>
        <v>0</v>
      </c>
      <c r="AN57" s="85">
        <v>0</v>
      </c>
      <c r="AO57" s="69">
        <f>AN57*2500</f>
        <v>0</v>
      </c>
      <c r="AP57" s="85">
        <v>0</v>
      </c>
      <c r="AQ57" s="69">
        <f>AP57*2500</f>
        <v>0</v>
      </c>
      <c r="AR57" s="85">
        <v>0</v>
      </c>
      <c r="AS57" s="69">
        <f>AR57*2500</f>
        <v>0</v>
      </c>
      <c r="AT57" s="85">
        <v>0</v>
      </c>
      <c r="AU57" s="69">
        <f>AT57*2500</f>
        <v>0</v>
      </c>
      <c r="AV57" s="85">
        <v>0</v>
      </c>
      <c r="AW57" s="69">
        <f>AV57*2500</f>
        <v>0</v>
      </c>
      <c r="AX57" s="85">
        <v>0</v>
      </c>
      <c r="AY57" s="69">
        <f>AX57*2500</f>
        <v>0</v>
      </c>
      <c r="AZ57" s="85">
        <v>0</v>
      </c>
      <c r="BA57" s="69">
        <f>AZ57*2500</f>
        <v>0</v>
      </c>
      <c r="BB57" s="85">
        <v>0</v>
      </c>
      <c r="BC57" s="69">
        <f>BB57*2500</f>
        <v>0</v>
      </c>
      <c r="BD57" s="85">
        <v>0</v>
      </c>
      <c r="BE57" s="69">
        <f>BD57*2500</f>
        <v>0</v>
      </c>
      <c r="BF57" s="85">
        <v>0</v>
      </c>
      <c r="BG57" s="69">
        <f>BF57*2500</f>
        <v>0</v>
      </c>
      <c r="BH57" s="85">
        <v>0</v>
      </c>
      <c r="BI57" s="69">
        <f>BH57*2500</f>
        <v>0</v>
      </c>
      <c r="BJ57" s="85">
        <f t="shared" si="79"/>
        <v>0</v>
      </c>
      <c r="BK57" s="85">
        <f t="shared" si="79"/>
        <v>0</v>
      </c>
      <c r="BL57" s="324" t="s">
        <v>467</v>
      </c>
      <c r="BN57" s="113">
        <v>0</v>
      </c>
      <c r="BO57" s="113">
        <v>0</v>
      </c>
      <c r="BP57" s="113">
        <v>0</v>
      </c>
      <c r="BQ57" s="113">
        <v>0</v>
      </c>
      <c r="BR57" s="113">
        <f t="shared" si="98"/>
        <v>0</v>
      </c>
      <c r="BS57" s="113">
        <v>0</v>
      </c>
      <c r="BT57" s="113">
        <v>0</v>
      </c>
      <c r="BU57" s="113">
        <f t="shared" si="99"/>
        <v>0</v>
      </c>
      <c r="BV57" s="179">
        <f t="shared" si="1"/>
        <v>0</v>
      </c>
    </row>
    <row r="58" spans="1:979" ht="24" customHeight="1" x14ac:dyDescent="0.25">
      <c r="A58" s="882"/>
      <c r="B58" s="184"/>
      <c r="C58" s="167" t="s">
        <v>134</v>
      </c>
      <c r="D58" s="167" t="s">
        <v>17</v>
      </c>
      <c r="E58" s="167">
        <f>0.03*100000</f>
        <v>3000</v>
      </c>
      <c r="F58" s="69">
        <f t="shared" si="73"/>
        <v>0</v>
      </c>
      <c r="G58" s="69">
        <f t="shared" si="74"/>
        <v>0</v>
      </c>
      <c r="H58" s="69">
        <f t="shared" si="80"/>
        <v>0</v>
      </c>
      <c r="I58" s="69">
        <f t="shared" si="81"/>
        <v>0</v>
      </c>
      <c r="J58" s="69">
        <f t="shared" si="82"/>
        <v>0</v>
      </c>
      <c r="K58" s="69">
        <f t="shared" si="83"/>
        <v>0</v>
      </c>
      <c r="L58" s="69">
        <f t="shared" si="84"/>
        <v>0</v>
      </c>
      <c r="M58" s="69">
        <f t="shared" si="85"/>
        <v>0</v>
      </c>
      <c r="N58" s="69">
        <f t="shared" si="86"/>
        <v>0</v>
      </c>
      <c r="O58" s="69">
        <f t="shared" si="87"/>
        <v>0</v>
      </c>
      <c r="P58" s="69">
        <f t="shared" si="88"/>
        <v>0</v>
      </c>
      <c r="Q58" s="69">
        <f t="shared" si="89"/>
        <v>0</v>
      </c>
      <c r="R58" s="153">
        <f t="shared" si="90"/>
        <v>0</v>
      </c>
      <c r="S58" s="153">
        <f t="shared" si="91"/>
        <v>0</v>
      </c>
      <c r="T58" s="153">
        <f t="shared" si="92"/>
        <v>0</v>
      </c>
      <c r="U58" s="153">
        <f t="shared" si="93"/>
        <v>0</v>
      </c>
      <c r="V58" s="69">
        <f t="shared" si="94"/>
        <v>0</v>
      </c>
      <c r="W58" s="69">
        <f t="shared" si="95"/>
        <v>0</v>
      </c>
      <c r="X58" s="69">
        <f t="shared" si="96"/>
        <v>0</v>
      </c>
      <c r="Y58" s="69">
        <f t="shared" si="97"/>
        <v>0</v>
      </c>
      <c r="Z58" s="85">
        <v>0</v>
      </c>
      <c r="AA58" s="69">
        <f>Z58*3000</f>
        <v>0</v>
      </c>
      <c r="AB58" s="85">
        <v>0</v>
      </c>
      <c r="AC58" s="69">
        <f>AB58*3000</f>
        <v>0</v>
      </c>
      <c r="AD58" s="85">
        <v>0</v>
      </c>
      <c r="AE58" s="69">
        <f>AD58*3000</f>
        <v>0</v>
      </c>
      <c r="AF58" s="85">
        <v>0</v>
      </c>
      <c r="AG58" s="69">
        <f>AF58*3000</f>
        <v>0</v>
      </c>
      <c r="AH58" s="85">
        <v>0</v>
      </c>
      <c r="AI58" s="69">
        <f>AH58*3000</f>
        <v>0</v>
      </c>
      <c r="AJ58" s="85">
        <v>0</v>
      </c>
      <c r="AK58" s="69">
        <f>AJ58*3000</f>
        <v>0</v>
      </c>
      <c r="AL58" s="85">
        <v>0</v>
      </c>
      <c r="AM58" s="69">
        <f>AL58*3000</f>
        <v>0</v>
      </c>
      <c r="AN58" s="85">
        <v>0</v>
      </c>
      <c r="AO58" s="69">
        <f>AN58*3000</f>
        <v>0</v>
      </c>
      <c r="AP58" s="85">
        <v>0</v>
      </c>
      <c r="AQ58" s="69">
        <f>AP58*3000</f>
        <v>0</v>
      </c>
      <c r="AR58" s="85">
        <v>0</v>
      </c>
      <c r="AS58" s="69">
        <f>AR58*3000</f>
        <v>0</v>
      </c>
      <c r="AT58" s="85">
        <v>0</v>
      </c>
      <c r="AU58" s="69">
        <f>AT58*3000</f>
        <v>0</v>
      </c>
      <c r="AV58" s="85">
        <v>0</v>
      </c>
      <c r="AW58" s="69">
        <f>AV58*3000</f>
        <v>0</v>
      </c>
      <c r="AX58" s="85">
        <v>0</v>
      </c>
      <c r="AY58" s="69">
        <f>AX58*3000</f>
        <v>0</v>
      </c>
      <c r="AZ58" s="85">
        <v>0</v>
      </c>
      <c r="BA58" s="69">
        <f>AZ58*3000</f>
        <v>0</v>
      </c>
      <c r="BB58" s="85">
        <v>0</v>
      </c>
      <c r="BC58" s="69">
        <f>BB58*3000</f>
        <v>0</v>
      </c>
      <c r="BD58" s="85">
        <v>0</v>
      </c>
      <c r="BE58" s="69">
        <f>BD58*3000</f>
        <v>0</v>
      </c>
      <c r="BF58" s="85">
        <v>0</v>
      </c>
      <c r="BG58" s="69">
        <f>BF58*3000</f>
        <v>0</v>
      </c>
      <c r="BH58" s="85">
        <v>0</v>
      </c>
      <c r="BI58" s="69">
        <f>BH58*3000</f>
        <v>0</v>
      </c>
      <c r="BJ58" s="85">
        <f t="shared" si="79"/>
        <v>0</v>
      </c>
      <c r="BK58" s="85">
        <f t="shared" si="79"/>
        <v>0</v>
      </c>
      <c r="BL58" s="324" t="s">
        <v>467</v>
      </c>
      <c r="BN58" s="113">
        <v>0</v>
      </c>
      <c r="BO58" s="113">
        <v>0</v>
      </c>
      <c r="BP58" s="113">
        <v>0</v>
      </c>
      <c r="BQ58" s="113">
        <v>0</v>
      </c>
      <c r="BR58" s="113">
        <f t="shared" si="98"/>
        <v>0</v>
      </c>
      <c r="BS58" s="113">
        <v>0</v>
      </c>
      <c r="BT58" s="113">
        <v>0</v>
      </c>
      <c r="BU58" s="113">
        <f t="shared" si="99"/>
        <v>0</v>
      </c>
      <c r="BV58" s="179">
        <f t="shared" si="1"/>
        <v>0</v>
      </c>
    </row>
    <row r="59" spans="1:979" ht="30.75" customHeight="1" x14ac:dyDescent="0.25">
      <c r="A59" s="882"/>
      <c r="B59" s="184"/>
      <c r="C59" s="167" t="s">
        <v>135</v>
      </c>
      <c r="D59" s="167" t="s">
        <v>17</v>
      </c>
      <c r="E59" s="167">
        <f>0.03*100000</f>
        <v>3000</v>
      </c>
      <c r="F59" s="69">
        <f t="shared" si="73"/>
        <v>0</v>
      </c>
      <c r="G59" s="69">
        <f t="shared" si="74"/>
        <v>0</v>
      </c>
      <c r="H59" s="69">
        <f t="shared" si="80"/>
        <v>0</v>
      </c>
      <c r="I59" s="69">
        <f t="shared" si="81"/>
        <v>0</v>
      </c>
      <c r="J59" s="69">
        <f t="shared" si="82"/>
        <v>0</v>
      </c>
      <c r="K59" s="69">
        <f t="shared" si="83"/>
        <v>0</v>
      </c>
      <c r="L59" s="69">
        <f t="shared" si="84"/>
        <v>0</v>
      </c>
      <c r="M59" s="69">
        <f t="shared" si="85"/>
        <v>0</v>
      </c>
      <c r="N59" s="69">
        <f t="shared" si="86"/>
        <v>0</v>
      </c>
      <c r="O59" s="69">
        <f t="shared" si="87"/>
        <v>0</v>
      </c>
      <c r="P59" s="69">
        <f t="shared" si="88"/>
        <v>0</v>
      </c>
      <c r="Q59" s="69">
        <f t="shared" si="89"/>
        <v>0</v>
      </c>
      <c r="R59" s="153">
        <f t="shared" si="90"/>
        <v>0</v>
      </c>
      <c r="S59" s="153">
        <f t="shared" si="91"/>
        <v>0</v>
      </c>
      <c r="T59" s="153">
        <f t="shared" si="92"/>
        <v>0</v>
      </c>
      <c r="U59" s="153">
        <f t="shared" si="93"/>
        <v>0</v>
      </c>
      <c r="V59" s="69">
        <f t="shared" si="94"/>
        <v>0</v>
      </c>
      <c r="W59" s="69">
        <f t="shared" si="95"/>
        <v>0</v>
      </c>
      <c r="X59" s="69">
        <f t="shared" si="96"/>
        <v>0</v>
      </c>
      <c r="Y59" s="69">
        <f t="shared" si="97"/>
        <v>0</v>
      </c>
      <c r="Z59" s="85">
        <v>0</v>
      </c>
      <c r="AA59" s="69">
        <f>Z59*3000</f>
        <v>0</v>
      </c>
      <c r="AB59" s="85">
        <v>0</v>
      </c>
      <c r="AC59" s="69">
        <f>AB59*3000</f>
        <v>0</v>
      </c>
      <c r="AD59" s="85">
        <v>0</v>
      </c>
      <c r="AE59" s="69">
        <f>AD59*3000</f>
        <v>0</v>
      </c>
      <c r="AF59" s="85">
        <v>0</v>
      </c>
      <c r="AG59" s="69">
        <f>AF59*3000</f>
        <v>0</v>
      </c>
      <c r="AH59" s="85">
        <v>0</v>
      </c>
      <c r="AI59" s="69">
        <f>AH59*3000</f>
        <v>0</v>
      </c>
      <c r="AJ59" s="85">
        <v>0</v>
      </c>
      <c r="AK59" s="69">
        <f>AJ59*3000</f>
        <v>0</v>
      </c>
      <c r="AL59" s="85">
        <v>0</v>
      </c>
      <c r="AM59" s="69">
        <f>AL59*3000</f>
        <v>0</v>
      </c>
      <c r="AN59" s="85">
        <v>0</v>
      </c>
      <c r="AO59" s="69">
        <f>AN59*3000</f>
        <v>0</v>
      </c>
      <c r="AP59" s="85">
        <v>0</v>
      </c>
      <c r="AQ59" s="69">
        <f>AP59*3000</f>
        <v>0</v>
      </c>
      <c r="AR59" s="85">
        <v>0</v>
      </c>
      <c r="AS59" s="69">
        <f>AR59*3000</f>
        <v>0</v>
      </c>
      <c r="AT59" s="85">
        <v>0</v>
      </c>
      <c r="AU59" s="69">
        <f>AT59*3000</f>
        <v>0</v>
      </c>
      <c r="AV59" s="85">
        <v>0</v>
      </c>
      <c r="AW59" s="69">
        <f>AV59*3000</f>
        <v>0</v>
      </c>
      <c r="AX59" s="85">
        <v>0</v>
      </c>
      <c r="AY59" s="69">
        <f>AX59*3000</f>
        <v>0</v>
      </c>
      <c r="AZ59" s="85">
        <v>0</v>
      </c>
      <c r="BA59" s="69">
        <f>AZ59*3000</f>
        <v>0</v>
      </c>
      <c r="BB59" s="85">
        <v>0</v>
      </c>
      <c r="BC59" s="69">
        <f>BB59*3000</f>
        <v>0</v>
      </c>
      <c r="BD59" s="85">
        <v>0</v>
      </c>
      <c r="BE59" s="69">
        <f>BD59*3000</f>
        <v>0</v>
      </c>
      <c r="BF59" s="85">
        <v>0</v>
      </c>
      <c r="BG59" s="69">
        <f>BF59*3000</f>
        <v>0</v>
      </c>
      <c r="BH59" s="85">
        <v>0</v>
      </c>
      <c r="BI59" s="69">
        <f>BH59*3000</f>
        <v>0</v>
      </c>
      <c r="BJ59" s="85">
        <f t="shared" si="79"/>
        <v>0</v>
      </c>
      <c r="BK59" s="85">
        <f t="shared" si="79"/>
        <v>0</v>
      </c>
      <c r="BL59" s="324" t="s">
        <v>467</v>
      </c>
      <c r="BN59" s="113">
        <v>0</v>
      </c>
      <c r="BO59" s="113">
        <v>0</v>
      </c>
      <c r="BP59" s="113">
        <v>0</v>
      </c>
      <c r="BQ59" s="113">
        <v>0</v>
      </c>
      <c r="BR59" s="113">
        <f t="shared" si="98"/>
        <v>0</v>
      </c>
      <c r="BS59" s="113">
        <v>0</v>
      </c>
      <c r="BT59" s="113">
        <v>0</v>
      </c>
      <c r="BU59" s="113">
        <f t="shared" si="99"/>
        <v>0</v>
      </c>
      <c r="BV59" s="179">
        <f t="shared" si="1"/>
        <v>0</v>
      </c>
    </row>
    <row r="60" spans="1:979" ht="24" customHeight="1" x14ac:dyDescent="0.25">
      <c r="A60" s="882"/>
      <c r="B60" s="184"/>
      <c r="C60" s="167" t="s">
        <v>136</v>
      </c>
      <c r="D60" s="167" t="s">
        <v>44</v>
      </c>
      <c r="E60" s="167">
        <f>0.5*100000</f>
        <v>50000</v>
      </c>
      <c r="F60" s="69">
        <f t="shared" si="73"/>
        <v>0</v>
      </c>
      <c r="G60" s="69">
        <f t="shared" si="74"/>
        <v>0</v>
      </c>
      <c r="H60" s="69">
        <f t="shared" si="80"/>
        <v>0</v>
      </c>
      <c r="I60" s="69">
        <f t="shared" si="81"/>
        <v>0</v>
      </c>
      <c r="J60" s="69">
        <f t="shared" si="82"/>
        <v>0</v>
      </c>
      <c r="K60" s="69">
        <f t="shared" si="83"/>
        <v>0</v>
      </c>
      <c r="L60" s="69">
        <f t="shared" si="84"/>
        <v>0</v>
      </c>
      <c r="M60" s="69">
        <f t="shared" si="85"/>
        <v>0</v>
      </c>
      <c r="N60" s="69">
        <f t="shared" si="86"/>
        <v>0</v>
      </c>
      <c r="O60" s="69">
        <f t="shared" si="87"/>
        <v>0</v>
      </c>
      <c r="P60" s="69">
        <f t="shared" si="88"/>
        <v>0</v>
      </c>
      <c r="Q60" s="69">
        <f t="shared" si="89"/>
        <v>0</v>
      </c>
      <c r="R60" s="153">
        <f t="shared" si="90"/>
        <v>0</v>
      </c>
      <c r="S60" s="153">
        <f t="shared" si="91"/>
        <v>0</v>
      </c>
      <c r="T60" s="153">
        <f t="shared" si="92"/>
        <v>0</v>
      </c>
      <c r="U60" s="153">
        <f t="shared" si="93"/>
        <v>0</v>
      </c>
      <c r="V60" s="69">
        <f t="shared" si="94"/>
        <v>0</v>
      </c>
      <c r="W60" s="69">
        <f t="shared" si="95"/>
        <v>0</v>
      </c>
      <c r="X60" s="69">
        <f t="shared" si="96"/>
        <v>0</v>
      </c>
      <c r="Y60" s="69">
        <f t="shared" si="97"/>
        <v>0</v>
      </c>
      <c r="Z60" s="85">
        <v>0</v>
      </c>
      <c r="AA60" s="69">
        <f>Z60*50000</f>
        <v>0</v>
      </c>
      <c r="AB60" s="85">
        <v>0</v>
      </c>
      <c r="AC60" s="69">
        <f>AB60*50000</f>
        <v>0</v>
      </c>
      <c r="AD60" s="85">
        <v>0</v>
      </c>
      <c r="AE60" s="69">
        <f>AD60*50000</f>
        <v>0</v>
      </c>
      <c r="AF60" s="85">
        <v>0</v>
      </c>
      <c r="AG60" s="69">
        <f>AF60*50000</f>
        <v>0</v>
      </c>
      <c r="AH60" s="85">
        <v>0</v>
      </c>
      <c r="AI60" s="69">
        <f>AH60*50000</f>
        <v>0</v>
      </c>
      <c r="AJ60" s="85">
        <v>0</v>
      </c>
      <c r="AK60" s="69">
        <f>AJ60*50000</f>
        <v>0</v>
      </c>
      <c r="AL60" s="85">
        <v>0</v>
      </c>
      <c r="AM60" s="69">
        <f>AL60*50000</f>
        <v>0</v>
      </c>
      <c r="AN60" s="85">
        <v>0</v>
      </c>
      <c r="AO60" s="69">
        <f>AN60*50000</f>
        <v>0</v>
      </c>
      <c r="AP60" s="85">
        <v>0</v>
      </c>
      <c r="AQ60" s="69">
        <f>AP60*50000</f>
        <v>0</v>
      </c>
      <c r="AR60" s="85">
        <v>0</v>
      </c>
      <c r="AS60" s="69">
        <f>AR60*50000</f>
        <v>0</v>
      </c>
      <c r="AT60" s="85">
        <v>0</v>
      </c>
      <c r="AU60" s="69">
        <f>AT60*50000</f>
        <v>0</v>
      </c>
      <c r="AV60" s="85">
        <v>0</v>
      </c>
      <c r="AW60" s="69">
        <f>AV60*50000</f>
        <v>0</v>
      </c>
      <c r="AX60" s="85">
        <v>0</v>
      </c>
      <c r="AY60" s="69">
        <f>AX60*50000</f>
        <v>0</v>
      </c>
      <c r="AZ60" s="85">
        <v>0</v>
      </c>
      <c r="BA60" s="69">
        <f>AZ60*50000</f>
        <v>0</v>
      </c>
      <c r="BB60" s="85">
        <v>0</v>
      </c>
      <c r="BC60" s="69">
        <f>BB60*50000</f>
        <v>0</v>
      </c>
      <c r="BD60" s="85">
        <v>0</v>
      </c>
      <c r="BE60" s="69">
        <f>BD60*50000</f>
        <v>0</v>
      </c>
      <c r="BF60" s="85">
        <v>0</v>
      </c>
      <c r="BG60" s="69">
        <f>BF60*50000</f>
        <v>0</v>
      </c>
      <c r="BH60" s="85">
        <v>0</v>
      </c>
      <c r="BI60" s="69">
        <f>BH60*50000</f>
        <v>0</v>
      </c>
      <c r="BJ60" s="85">
        <f t="shared" si="79"/>
        <v>0</v>
      </c>
      <c r="BK60" s="85">
        <f t="shared" si="79"/>
        <v>0</v>
      </c>
      <c r="BL60" s="324" t="s">
        <v>467</v>
      </c>
      <c r="BN60" s="113">
        <v>0</v>
      </c>
      <c r="BO60" s="113">
        <v>0</v>
      </c>
      <c r="BP60" s="113">
        <v>0</v>
      </c>
      <c r="BQ60" s="113">
        <v>0</v>
      </c>
      <c r="BR60" s="113">
        <f t="shared" si="98"/>
        <v>0</v>
      </c>
      <c r="BS60" s="113">
        <v>0</v>
      </c>
      <c r="BT60" s="113">
        <v>0</v>
      </c>
      <c r="BU60" s="113">
        <f t="shared" si="99"/>
        <v>0</v>
      </c>
      <c r="BV60" s="179">
        <f t="shared" si="1"/>
        <v>0</v>
      </c>
    </row>
    <row r="61" spans="1:979" ht="24" customHeight="1" x14ac:dyDescent="0.25">
      <c r="A61" s="882"/>
      <c r="B61" s="563"/>
      <c r="C61" s="564"/>
      <c r="D61" s="139"/>
      <c r="E61" s="139"/>
      <c r="F61" s="139">
        <f>SUM(F52:F60)</f>
        <v>0</v>
      </c>
      <c r="G61" s="139">
        <f t="shared" ref="G61:BK61" si="100">SUM(G52:G60)</f>
        <v>0</v>
      </c>
      <c r="H61" s="139">
        <f t="shared" si="100"/>
        <v>0</v>
      </c>
      <c r="I61" s="139">
        <f t="shared" si="100"/>
        <v>0</v>
      </c>
      <c r="J61" s="139">
        <f t="shared" si="100"/>
        <v>0</v>
      </c>
      <c r="K61" s="139">
        <f t="shared" si="100"/>
        <v>0</v>
      </c>
      <c r="L61" s="139">
        <f t="shared" si="100"/>
        <v>0</v>
      </c>
      <c r="M61" s="139">
        <f t="shared" si="100"/>
        <v>0</v>
      </c>
      <c r="N61" s="139">
        <f t="shared" si="100"/>
        <v>0</v>
      </c>
      <c r="O61" s="139">
        <f t="shared" si="100"/>
        <v>0</v>
      </c>
      <c r="P61" s="139">
        <f t="shared" si="100"/>
        <v>0</v>
      </c>
      <c r="Q61" s="139">
        <f t="shared" si="100"/>
        <v>0</v>
      </c>
      <c r="R61" s="468">
        <f t="shared" si="100"/>
        <v>0</v>
      </c>
      <c r="S61" s="468">
        <f t="shared" si="100"/>
        <v>0</v>
      </c>
      <c r="T61" s="468">
        <f t="shared" si="100"/>
        <v>0</v>
      </c>
      <c r="U61" s="468">
        <f t="shared" si="100"/>
        <v>0</v>
      </c>
      <c r="V61" s="139">
        <f t="shared" si="100"/>
        <v>0</v>
      </c>
      <c r="W61" s="139">
        <f t="shared" si="100"/>
        <v>0</v>
      </c>
      <c r="X61" s="139">
        <f t="shared" si="100"/>
        <v>0</v>
      </c>
      <c r="Y61" s="139">
        <f t="shared" si="100"/>
        <v>0</v>
      </c>
      <c r="Z61" s="139">
        <f t="shared" si="100"/>
        <v>0</v>
      </c>
      <c r="AA61" s="139">
        <f t="shared" si="100"/>
        <v>0</v>
      </c>
      <c r="AB61" s="139">
        <f t="shared" si="100"/>
        <v>0</v>
      </c>
      <c r="AC61" s="139">
        <f t="shared" si="100"/>
        <v>0</v>
      </c>
      <c r="AD61" s="139">
        <f t="shared" si="100"/>
        <v>0</v>
      </c>
      <c r="AE61" s="139">
        <f t="shared" si="100"/>
        <v>0</v>
      </c>
      <c r="AF61" s="139">
        <f t="shared" si="100"/>
        <v>0</v>
      </c>
      <c r="AG61" s="139">
        <f t="shared" si="100"/>
        <v>0</v>
      </c>
      <c r="AH61" s="139">
        <f t="shared" si="100"/>
        <v>0</v>
      </c>
      <c r="AI61" s="139">
        <f t="shared" si="100"/>
        <v>0</v>
      </c>
      <c r="AJ61" s="139">
        <f t="shared" si="100"/>
        <v>0</v>
      </c>
      <c r="AK61" s="139">
        <f t="shared" si="100"/>
        <v>0</v>
      </c>
      <c r="AL61" s="139">
        <f t="shared" si="100"/>
        <v>0</v>
      </c>
      <c r="AM61" s="139">
        <f t="shared" si="100"/>
        <v>0</v>
      </c>
      <c r="AN61" s="139">
        <f t="shared" si="100"/>
        <v>0</v>
      </c>
      <c r="AO61" s="139">
        <f t="shared" si="100"/>
        <v>0</v>
      </c>
      <c r="AP61" s="139">
        <f t="shared" si="100"/>
        <v>0</v>
      </c>
      <c r="AQ61" s="139">
        <f t="shared" si="100"/>
        <v>0</v>
      </c>
      <c r="AR61" s="139">
        <f t="shared" si="100"/>
        <v>0</v>
      </c>
      <c r="AS61" s="139">
        <f t="shared" si="100"/>
        <v>0</v>
      </c>
      <c r="AT61" s="139">
        <f t="shared" si="100"/>
        <v>0</v>
      </c>
      <c r="AU61" s="139">
        <f t="shared" si="100"/>
        <v>0</v>
      </c>
      <c r="AV61" s="139">
        <f t="shared" si="100"/>
        <v>0</v>
      </c>
      <c r="AW61" s="139">
        <f t="shared" si="100"/>
        <v>0</v>
      </c>
      <c r="AX61" s="139">
        <f t="shared" si="100"/>
        <v>0</v>
      </c>
      <c r="AY61" s="139">
        <f t="shared" si="100"/>
        <v>0</v>
      </c>
      <c r="AZ61" s="139">
        <f t="shared" si="100"/>
        <v>0</v>
      </c>
      <c r="BA61" s="139">
        <f t="shared" si="100"/>
        <v>0</v>
      </c>
      <c r="BB61" s="139">
        <f t="shared" si="100"/>
        <v>0</v>
      </c>
      <c r="BC61" s="139">
        <f t="shared" si="100"/>
        <v>0</v>
      </c>
      <c r="BD61" s="139">
        <f t="shared" si="100"/>
        <v>0</v>
      </c>
      <c r="BE61" s="139">
        <f t="shared" si="100"/>
        <v>0</v>
      </c>
      <c r="BF61" s="139">
        <f t="shared" si="100"/>
        <v>0</v>
      </c>
      <c r="BG61" s="139">
        <f t="shared" si="100"/>
        <v>0</v>
      </c>
      <c r="BH61" s="139">
        <f t="shared" si="100"/>
        <v>0</v>
      </c>
      <c r="BI61" s="139">
        <f t="shared" si="100"/>
        <v>0</v>
      </c>
      <c r="BJ61" s="139">
        <f t="shared" si="100"/>
        <v>0</v>
      </c>
      <c r="BK61" s="139">
        <f t="shared" si="100"/>
        <v>0</v>
      </c>
      <c r="BL61" s="47"/>
      <c r="BN61" s="139">
        <f t="shared" ref="BN61:BU61" si="101">SUM(BN52:BN60)</f>
        <v>0</v>
      </c>
      <c r="BO61" s="139">
        <f t="shared" si="101"/>
        <v>0</v>
      </c>
      <c r="BP61" s="139">
        <f t="shared" si="101"/>
        <v>0</v>
      </c>
      <c r="BQ61" s="139">
        <f t="shared" si="101"/>
        <v>0</v>
      </c>
      <c r="BR61" s="139">
        <f t="shared" si="101"/>
        <v>0</v>
      </c>
      <c r="BS61" s="139">
        <f t="shared" si="101"/>
        <v>0</v>
      </c>
      <c r="BT61" s="139">
        <f t="shared" si="101"/>
        <v>0</v>
      </c>
      <c r="BU61" s="139">
        <f t="shared" si="101"/>
        <v>0</v>
      </c>
      <c r="BV61" s="474">
        <f t="shared" si="1"/>
        <v>0</v>
      </c>
    </row>
    <row r="62" spans="1:979" s="67" customFormat="1" ht="24" customHeight="1" x14ac:dyDescent="0.25">
      <c r="A62" s="882"/>
      <c r="B62" s="180"/>
      <c r="C62" s="181"/>
      <c r="D62" s="181"/>
      <c r="E62" s="182"/>
      <c r="F62" s="182">
        <f t="shared" ref="F62:BL62" si="102">F61+F50+F43</f>
        <v>605</v>
      </c>
      <c r="G62" s="182">
        <f t="shared" si="102"/>
        <v>43020000</v>
      </c>
      <c r="H62" s="186">
        <f t="shared" si="102"/>
        <v>104000</v>
      </c>
      <c r="I62" s="186">
        <f t="shared" si="102"/>
        <v>42916000</v>
      </c>
      <c r="J62" s="186">
        <f t="shared" si="102"/>
        <v>0</v>
      </c>
      <c r="K62" s="186">
        <f t="shared" si="102"/>
        <v>0</v>
      </c>
      <c r="L62" s="186">
        <f t="shared" si="102"/>
        <v>0</v>
      </c>
      <c r="M62" s="186">
        <f t="shared" si="102"/>
        <v>0</v>
      </c>
      <c r="N62" s="186">
        <f t="shared" si="102"/>
        <v>0</v>
      </c>
      <c r="O62" s="186">
        <f t="shared" si="102"/>
        <v>0</v>
      </c>
      <c r="P62" s="186">
        <f t="shared" si="102"/>
        <v>0</v>
      </c>
      <c r="Q62" s="186">
        <f t="shared" si="102"/>
        <v>0</v>
      </c>
      <c r="R62" s="187">
        <f t="shared" si="102"/>
        <v>60.5</v>
      </c>
      <c r="S62" s="187">
        <f t="shared" si="102"/>
        <v>151.25</v>
      </c>
      <c r="T62" s="187">
        <f t="shared" si="102"/>
        <v>211.75</v>
      </c>
      <c r="U62" s="187">
        <f t="shared" si="102"/>
        <v>181.5</v>
      </c>
      <c r="V62" s="186">
        <f t="shared" si="102"/>
        <v>4302000</v>
      </c>
      <c r="W62" s="186">
        <f t="shared" si="102"/>
        <v>10755000</v>
      </c>
      <c r="X62" s="186">
        <f t="shared" si="102"/>
        <v>15056999.999999998</v>
      </c>
      <c r="Y62" s="186">
        <f t="shared" si="102"/>
        <v>12906000</v>
      </c>
      <c r="Z62" s="186">
        <f t="shared" si="102"/>
        <v>29</v>
      </c>
      <c r="AA62" s="186">
        <f t="shared" si="102"/>
        <v>1526000</v>
      </c>
      <c r="AB62" s="186">
        <f t="shared" si="102"/>
        <v>23</v>
      </c>
      <c r="AC62" s="186">
        <f t="shared" si="102"/>
        <v>1520000</v>
      </c>
      <c r="AD62" s="186">
        <f t="shared" si="102"/>
        <v>29</v>
      </c>
      <c r="AE62" s="186">
        <f t="shared" si="102"/>
        <v>1526000</v>
      </c>
      <c r="AF62" s="186">
        <f t="shared" si="102"/>
        <v>35</v>
      </c>
      <c r="AG62" s="186">
        <f t="shared" si="102"/>
        <v>2530000</v>
      </c>
      <c r="AH62" s="186">
        <f t="shared" si="102"/>
        <v>15</v>
      </c>
      <c r="AI62" s="186">
        <f t="shared" si="102"/>
        <v>1013000</v>
      </c>
      <c r="AJ62" s="186">
        <f t="shared" si="102"/>
        <v>30</v>
      </c>
      <c r="AK62" s="186">
        <f t="shared" si="102"/>
        <v>2026000</v>
      </c>
      <c r="AL62" s="186">
        <f t="shared" si="102"/>
        <v>38</v>
      </c>
      <c r="AM62" s="186">
        <f t="shared" si="102"/>
        <v>2533000</v>
      </c>
      <c r="AN62" s="186">
        <f t="shared" si="102"/>
        <v>57</v>
      </c>
      <c r="AO62" s="186">
        <f t="shared" si="102"/>
        <v>2552000</v>
      </c>
      <c r="AP62" s="186">
        <f t="shared" si="102"/>
        <v>15</v>
      </c>
      <c r="AQ62" s="186">
        <f t="shared" si="102"/>
        <v>1013000</v>
      </c>
      <c r="AR62" s="186">
        <f t="shared" si="102"/>
        <v>23</v>
      </c>
      <c r="AS62" s="186">
        <f t="shared" si="102"/>
        <v>1520000</v>
      </c>
      <c r="AT62" s="186">
        <f t="shared" si="102"/>
        <v>45</v>
      </c>
      <c r="AU62" s="186">
        <f t="shared" si="102"/>
        <v>3039000</v>
      </c>
      <c r="AV62" s="186">
        <f t="shared" si="102"/>
        <v>38</v>
      </c>
      <c r="AW62" s="186">
        <f t="shared" si="102"/>
        <v>2533000</v>
      </c>
      <c r="AX62" s="186">
        <f t="shared" si="102"/>
        <v>9</v>
      </c>
      <c r="AY62" s="186">
        <f t="shared" si="102"/>
        <v>4500000</v>
      </c>
      <c r="AZ62" s="186">
        <f t="shared" si="102"/>
        <v>61</v>
      </c>
      <c r="BA62" s="186">
        <f t="shared" si="102"/>
        <v>4552000</v>
      </c>
      <c r="BB62" s="186">
        <f t="shared" si="102"/>
        <v>23</v>
      </c>
      <c r="BC62" s="186">
        <f t="shared" si="102"/>
        <v>1520000</v>
      </c>
      <c r="BD62" s="186">
        <f t="shared" si="102"/>
        <v>90</v>
      </c>
      <c r="BE62" s="186">
        <f t="shared" si="102"/>
        <v>6078000</v>
      </c>
      <c r="BF62" s="186">
        <f t="shared" si="102"/>
        <v>45</v>
      </c>
      <c r="BG62" s="186">
        <f t="shared" si="102"/>
        <v>3039000</v>
      </c>
      <c r="BH62" s="186">
        <f t="shared" si="102"/>
        <v>0</v>
      </c>
      <c r="BI62" s="186">
        <f t="shared" si="102"/>
        <v>0</v>
      </c>
      <c r="BJ62" s="582">
        <f t="shared" si="102"/>
        <v>605</v>
      </c>
      <c r="BK62" s="582">
        <f t="shared" si="102"/>
        <v>43020000</v>
      </c>
      <c r="BL62" s="182">
        <f t="shared" si="102"/>
        <v>0</v>
      </c>
      <c r="BM62" s="292"/>
      <c r="BN62" s="182">
        <f t="shared" ref="BN62:BV62" si="103">BN61+BN50+BN43</f>
        <v>0</v>
      </c>
      <c r="BO62" s="182">
        <f t="shared" si="103"/>
        <v>520000</v>
      </c>
      <c r="BP62" s="182">
        <f t="shared" si="103"/>
        <v>0</v>
      </c>
      <c r="BQ62" s="182">
        <f t="shared" si="103"/>
        <v>42500000</v>
      </c>
      <c r="BR62" s="182">
        <f t="shared" si="103"/>
        <v>43020000</v>
      </c>
      <c r="BS62" s="182">
        <f t="shared" si="103"/>
        <v>0</v>
      </c>
      <c r="BT62" s="182">
        <f t="shared" si="103"/>
        <v>0</v>
      </c>
      <c r="BU62" s="182">
        <f t="shared" si="103"/>
        <v>0</v>
      </c>
      <c r="BV62" s="182">
        <f t="shared" si="103"/>
        <v>43020000</v>
      </c>
    </row>
    <row r="63" spans="1:979" ht="24" customHeight="1" x14ac:dyDescent="0.25">
      <c r="A63" s="882"/>
      <c r="B63" s="443">
        <v>12400</v>
      </c>
      <c r="C63" s="562" t="s">
        <v>137</v>
      </c>
      <c r="D63" s="167"/>
      <c r="E63" s="167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185"/>
      <c r="S63" s="185"/>
      <c r="T63" s="185"/>
      <c r="U63" s="1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47"/>
      <c r="BN63" s="113"/>
      <c r="BO63" s="113"/>
      <c r="BP63" s="113"/>
      <c r="BQ63" s="113"/>
      <c r="BR63" s="113"/>
      <c r="BS63" s="113"/>
      <c r="BT63" s="113"/>
      <c r="BU63" s="113"/>
      <c r="BV63" s="179">
        <f t="shared" si="1"/>
        <v>0</v>
      </c>
    </row>
    <row r="64" spans="1:979" ht="24" customHeight="1" x14ac:dyDescent="0.25">
      <c r="A64" s="882"/>
      <c r="B64" s="443">
        <v>12410</v>
      </c>
      <c r="C64" s="167" t="s">
        <v>138</v>
      </c>
      <c r="D64" s="167"/>
      <c r="E64" s="167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185"/>
      <c r="S64" s="185"/>
      <c r="T64" s="185"/>
      <c r="U64" s="1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47"/>
      <c r="BN64" s="113">
        <v>0</v>
      </c>
      <c r="BO64" s="113">
        <v>0</v>
      </c>
      <c r="BP64" s="113">
        <v>0</v>
      </c>
      <c r="BQ64" s="113">
        <v>0</v>
      </c>
      <c r="BR64" s="113">
        <f>BN64+BO64+BP64+BQ64</f>
        <v>0</v>
      </c>
      <c r="BS64" s="113">
        <v>0</v>
      </c>
      <c r="BT64" s="113">
        <v>0</v>
      </c>
      <c r="BU64" s="113">
        <f>BS64+BT64</f>
        <v>0</v>
      </c>
      <c r="BV64" s="179">
        <f t="shared" si="1"/>
        <v>0</v>
      </c>
    </row>
    <row r="65" spans="1:979" ht="24" customHeight="1" x14ac:dyDescent="0.25">
      <c r="A65" s="882"/>
      <c r="B65" s="184"/>
      <c r="C65" s="167" t="s">
        <v>139</v>
      </c>
      <c r="D65" s="167" t="s">
        <v>17</v>
      </c>
      <c r="E65" s="167">
        <f>0.0025*100000</f>
        <v>250</v>
      </c>
      <c r="F65" s="69">
        <f t="shared" ref="F65:G68" si="104">BJ65</f>
        <v>1305</v>
      </c>
      <c r="G65" s="69">
        <f t="shared" si="104"/>
        <v>326250</v>
      </c>
      <c r="H65" s="69">
        <f>G65*0.2</f>
        <v>65250</v>
      </c>
      <c r="I65" s="69">
        <f>G65*0.8</f>
        <v>261000</v>
      </c>
      <c r="J65" s="69">
        <f>G65*0</f>
        <v>0</v>
      </c>
      <c r="K65" s="69">
        <f>G65*0</f>
        <v>0</v>
      </c>
      <c r="L65" s="69">
        <f>G65*0</f>
        <v>0</v>
      </c>
      <c r="M65" s="69">
        <f>G65*0</f>
        <v>0</v>
      </c>
      <c r="N65" s="69">
        <f>G65*0</f>
        <v>0</v>
      </c>
      <c r="O65" s="69">
        <f>G65*0</f>
        <v>0</v>
      </c>
      <c r="P65" s="69">
        <f>G65*0</f>
        <v>0</v>
      </c>
      <c r="Q65" s="69">
        <f>G65*0</f>
        <v>0</v>
      </c>
      <c r="R65" s="153">
        <f t="shared" ref="R65" si="105">F65*0.1</f>
        <v>130.5</v>
      </c>
      <c r="S65" s="153">
        <f t="shared" ref="S65" si="106">F65*0.25</f>
        <v>326.25</v>
      </c>
      <c r="T65" s="153">
        <f t="shared" ref="T65" si="107">F65*0.35</f>
        <v>456.74999999999994</v>
      </c>
      <c r="U65" s="153">
        <f t="shared" ref="U65" si="108">F65*0.3</f>
        <v>391.5</v>
      </c>
      <c r="V65" s="69">
        <f>R65*E65</f>
        <v>32625</v>
      </c>
      <c r="W65" s="69">
        <f>S65*E65</f>
        <v>81562.5</v>
      </c>
      <c r="X65" s="69">
        <f>T65*E65</f>
        <v>114187.49999999999</v>
      </c>
      <c r="Y65" s="69">
        <f>U65*E65</f>
        <v>97875</v>
      </c>
      <c r="Z65" s="85">
        <v>60</v>
      </c>
      <c r="AA65" s="69">
        <f>Z65*250</f>
        <v>15000</v>
      </c>
      <c r="AB65" s="85">
        <v>30</v>
      </c>
      <c r="AC65" s="69">
        <f>AB65*250</f>
        <v>7500</v>
      </c>
      <c r="AD65" s="85">
        <v>60</v>
      </c>
      <c r="AE65" s="69">
        <f>AD65*250</f>
        <v>15000</v>
      </c>
      <c r="AF65" s="85">
        <v>70</v>
      </c>
      <c r="AG65" s="69">
        <f>AF65*250</f>
        <v>17500</v>
      </c>
      <c r="AH65" s="85">
        <v>40</v>
      </c>
      <c r="AI65" s="69">
        <f>AH65*250</f>
        <v>10000</v>
      </c>
      <c r="AJ65" s="85">
        <v>30</v>
      </c>
      <c r="AK65" s="69">
        <f>AJ65*250</f>
        <v>7500</v>
      </c>
      <c r="AL65" s="85">
        <v>70</v>
      </c>
      <c r="AM65" s="69">
        <f>AL65*250</f>
        <v>17500</v>
      </c>
      <c r="AN65" s="85">
        <v>90</v>
      </c>
      <c r="AO65" s="69">
        <f>AN65*250</f>
        <v>22500</v>
      </c>
      <c r="AP65" s="85">
        <v>30</v>
      </c>
      <c r="AQ65" s="69">
        <f>AP65*250</f>
        <v>7500</v>
      </c>
      <c r="AR65" s="85">
        <v>60</v>
      </c>
      <c r="AS65" s="69">
        <f>AR65*250</f>
        <v>15000</v>
      </c>
      <c r="AT65" s="85">
        <v>70</v>
      </c>
      <c r="AU65" s="69">
        <f>AT65*250</f>
        <v>17500</v>
      </c>
      <c r="AV65" s="85">
        <v>60</v>
      </c>
      <c r="AW65" s="69">
        <f>AV65*250</f>
        <v>15000</v>
      </c>
      <c r="AX65" s="85">
        <v>70</v>
      </c>
      <c r="AY65" s="69">
        <f>AX65*250</f>
        <v>17500</v>
      </c>
      <c r="AZ65" s="85">
        <v>70</v>
      </c>
      <c r="BA65" s="69">
        <f>AZ65*250</f>
        <v>17500</v>
      </c>
      <c r="BB65" s="758">
        <v>25</v>
      </c>
      <c r="BC65" s="69">
        <f>BB65*250</f>
        <v>6250</v>
      </c>
      <c r="BD65" s="85">
        <v>300</v>
      </c>
      <c r="BE65" s="69">
        <f>BD65*250</f>
        <v>75000</v>
      </c>
      <c r="BF65" s="85">
        <v>170</v>
      </c>
      <c r="BG65" s="69">
        <f>BF65*250</f>
        <v>42500</v>
      </c>
      <c r="BH65" s="85">
        <v>0</v>
      </c>
      <c r="BI65" s="69">
        <f>BH65*250</f>
        <v>0</v>
      </c>
      <c r="BJ65" s="85">
        <f t="shared" ref="BJ65:BK68" si="109">Z65+AB65+AD65+AF65+AH65+AJ65+AL65+AN65+AP65+AR65+AT65+AV65+AX65+AZ65+BB65+BD65+BF65+BH65</f>
        <v>1305</v>
      </c>
      <c r="BK65" s="85">
        <f t="shared" si="109"/>
        <v>326250</v>
      </c>
      <c r="BL65" s="324" t="s">
        <v>467</v>
      </c>
      <c r="BN65" s="113">
        <v>0</v>
      </c>
      <c r="BO65" s="113">
        <f>G65</f>
        <v>326250</v>
      </c>
      <c r="BP65" s="113">
        <v>0</v>
      </c>
      <c r="BQ65" s="113">
        <v>0</v>
      </c>
      <c r="BR65" s="113">
        <f>BN65+BO65+BP65+BQ65</f>
        <v>326250</v>
      </c>
      <c r="BS65" s="113">
        <v>0</v>
      </c>
      <c r="BT65" s="113">
        <v>0</v>
      </c>
      <c r="BU65" s="113">
        <f>BS65+BT65</f>
        <v>0</v>
      </c>
      <c r="BV65" s="179">
        <f t="shared" si="1"/>
        <v>326250</v>
      </c>
    </row>
    <row r="66" spans="1:979" ht="24" customHeight="1" x14ac:dyDescent="0.25">
      <c r="A66" s="882"/>
      <c r="B66" s="184"/>
      <c r="C66" s="167" t="s">
        <v>140</v>
      </c>
      <c r="D66" s="167" t="s">
        <v>102</v>
      </c>
      <c r="E66" s="167">
        <f>0.02*100000</f>
        <v>2000</v>
      </c>
      <c r="F66" s="69">
        <f t="shared" si="104"/>
        <v>438</v>
      </c>
      <c r="G66" s="69">
        <f t="shared" si="104"/>
        <v>876000</v>
      </c>
      <c r="H66" s="69">
        <f>G66*0.2</f>
        <v>175200</v>
      </c>
      <c r="I66" s="69">
        <f>G66*0.8</f>
        <v>700800</v>
      </c>
      <c r="J66" s="69">
        <f>G66*0</f>
        <v>0</v>
      </c>
      <c r="K66" s="69">
        <f>G66*0</f>
        <v>0</v>
      </c>
      <c r="L66" s="69">
        <f>G66*0</f>
        <v>0</v>
      </c>
      <c r="M66" s="69">
        <f>G66*0</f>
        <v>0</v>
      </c>
      <c r="N66" s="69">
        <f>G66*0</f>
        <v>0</v>
      </c>
      <c r="O66" s="69">
        <f>G66*0</f>
        <v>0</v>
      </c>
      <c r="P66" s="69">
        <f>G66*0</f>
        <v>0</v>
      </c>
      <c r="Q66" s="69">
        <f>G66*0</f>
        <v>0</v>
      </c>
      <c r="R66" s="153">
        <f t="shared" ref="R66:R68" si="110">F66*0.1</f>
        <v>43.800000000000004</v>
      </c>
      <c r="S66" s="153">
        <f t="shared" ref="S66:S68" si="111">F66*0.25</f>
        <v>109.5</v>
      </c>
      <c r="T66" s="153">
        <f t="shared" ref="T66:T68" si="112">F66*0.35</f>
        <v>153.29999999999998</v>
      </c>
      <c r="U66" s="153">
        <f t="shared" ref="U66:U68" si="113">F66*0.3</f>
        <v>131.4</v>
      </c>
      <c r="V66" s="69">
        <f>R66*E66</f>
        <v>87600.000000000015</v>
      </c>
      <c r="W66" s="69">
        <f>S66*E66</f>
        <v>219000</v>
      </c>
      <c r="X66" s="69">
        <f>T66*E66</f>
        <v>306599.99999999994</v>
      </c>
      <c r="Y66" s="69">
        <f>U66*E66</f>
        <v>262800</v>
      </c>
      <c r="Z66" s="85">
        <v>30</v>
      </c>
      <c r="AA66" s="69">
        <f>Z66*2000</f>
        <v>60000</v>
      </c>
      <c r="AB66" s="85">
        <v>16</v>
      </c>
      <c r="AC66" s="69">
        <f>AB66*2000</f>
        <v>32000</v>
      </c>
      <c r="AD66" s="85">
        <v>30</v>
      </c>
      <c r="AE66" s="69">
        <f>AD66*2000</f>
        <v>60000</v>
      </c>
      <c r="AF66" s="85">
        <v>30</v>
      </c>
      <c r="AG66" s="69">
        <f>AF66*2000</f>
        <v>60000</v>
      </c>
      <c r="AH66" s="85">
        <v>16</v>
      </c>
      <c r="AI66" s="69">
        <f>AH66*2000</f>
        <v>32000</v>
      </c>
      <c r="AJ66" s="85">
        <v>20</v>
      </c>
      <c r="AK66" s="69">
        <f>AJ66*2000</f>
        <v>40000</v>
      </c>
      <c r="AL66" s="85">
        <v>28</v>
      </c>
      <c r="AM66" s="69">
        <f>AL66*2000</f>
        <v>56000</v>
      </c>
      <c r="AN66" s="85">
        <v>30</v>
      </c>
      <c r="AO66" s="69">
        <f>AN66*2000</f>
        <v>60000</v>
      </c>
      <c r="AP66" s="85">
        <v>8</v>
      </c>
      <c r="AQ66" s="69">
        <f>AP66*2000</f>
        <v>16000</v>
      </c>
      <c r="AR66" s="85">
        <v>18</v>
      </c>
      <c r="AS66" s="69">
        <f>AR66*2000</f>
        <v>36000</v>
      </c>
      <c r="AT66" s="85">
        <v>20</v>
      </c>
      <c r="AU66" s="69">
        <f>AT66*2000</f>
        <v>40000</v>
      </c>
      <c r="AV66" s="85">
        <v>20</v>
      </c>
      <c r="AW66" s="69">
        <f>AV66*2000</f>
        <v>40000</v>
      </c>
      <c r="AX66" s="85">
        <v>32</v>
      </c>
      <c r="AY66" s="69">
        <f>AX66*2000</f>
        <v>64000</v>
      </c>
      <c r="AZ66" s="85">
        <v>25</v>
      </c>
      <c r="BA66" s="69">
        <f>AZ66*2000</f>
        <v>50000</v>
      </c>
      <c r="BB66" s="758">
        <v>25</v>
      </c>
      <c r="BC66" s="69">
        <f>BB66*2000</f>
        <v>50000</v>
      </c>
      <c r="BD66" s="85">
        <v>40</v>
      </c>
      <c r="BE66" s="69">
        <f>BD66*2000</f>
        <v>80000</v>
      </c>
      <c r="BF66" s="85">
        <v>50</v>
      </c>
      <c r="BG66" s="69">
        <f>BF66*2000</f>
        <v>100000</v>
      </c>
      <c r="BH66" s="85">
        <v>0</v>
      </c>
      <c r="BI66" s="69">
        <f>BH66*2000</f>
        <v>0</v>
      </c>
      <c r="BJ66" s="85">
        <f t="shared" si="109"/>
        <v>438</v>
      </c>
      <c r="BK66" s="85">
        <f t="shared" si="109"/>
        <v>876000</v>
      </c>
      <c r="BL66" s="324" t="s">
        <v>467</v>
      </c>
      <c r="BN66" s="113">
        <v>0</v>
      </c>
      <c r="BO66" s="113"/>
      <c r="BP66" s="113">
        <f>G66</f>
        <v>876000</v>
      </c>
      <c r="BQ66" s="113">
        <v>0</v>
      </c>
      <c r="BR66" s="113">
        <f>BN66+BO66+BP66+BQ66</f>
        <v>876000</v>
      </c>
      <c r="BS66" s="113">
        <v>0</v>
      </c>
      <c r="BT66" s="113">
        <v>0</v>
      </c>
      <c r="BU66" s="113">
        <f>BS66+BT66</f>
        <v>0</v>
      </c>
      <c r="BV66" s="179">
        <f t="shared" si="1"/>
        <v>876000</v>
      </c>
    </row>
    <row r="67" spans="1:979" ht="24" customHeight="1" x14ac:dyDescent="0.25">
      <c r="A67" s="882"/>
      <c r="B67" s="184"/>
      <c r="C67" s="167" t="s">
        <v>141</v>
      </c>
      <c r="D67" s="167" t="s">
        <v>102</v>
      </c>
      <c r="E67" s="167">
        <f>0.0525*100000</f>
        <v>5250</v>
      </c>
      <c r="F67" s="69">
        <f t="shared" si="104"/>
        <v>438</v>
      </c>
      <c r="G67" s="69">
        <f t="shared" si="104"/>
        <v>2299500</v>
      </c>
      <c r="H67" s="69">
        <f>G67*0.2</f>
        <v>459900</v>
      </c>
      <c r="I67" s="69">
        <f>G67*0.8</f>
        <v>1839600</v>
      </c>
      <c r="J67" s="69">
        <f>G67*0</f>
        <v>0</v>
      </c>
      <c r="K67" s="69">
        <f>G67*0</f>
        <v>0</v>
      </c>
      <c r="L67" s="69">
        <f>G67*0</f>
        <v>0</v>
      </c>
      <c r="M67" s="69">
        <f>G67*0</f>
        <v>0</v>
      </c>
      <c r="N67" s="69">
        <f>G67*0</f>
        <v>0</v>
      </c>
      <c r="O67" s="69">
        <f>G67*0</f>
        <v>0</v>
      </c>
      <c r="P67" s="69">
        <f>G67*0</f>
        <v>0</v>
      </c>
      <c r="Q67" s="69">
        <f>G67*0</f>
        <v>0</v>
      </c>
      <c r="R67" s="153">
        <f t="shared" si="110"/>
        <v>43.800000000000004</v>
      </c>
      <c r="S67" s="153">
        <f t="shared" si="111"/>
        <v>109.5</v>
      </c>
      <c r="T67" s="153">
        <f t="shared" si="112"/>
        <v>153.29999999999998</v>
      </c>
      <c r="U67" s="153">
        <f t="shared" si="113"/>
        <v>131.4</v>
      </c>
      <c r="V67" s="69">
        <f>R67*E67</f>
        <v>229950.00000000003</v>
      </c>
      <c r="W67" s="69">
        <f>S67*E67</f>
        <v>574875</v>
      </c>
      <c r="X67" s="69">
        <f>T67*E67</f>
        <v>804824.99999999988</v>
      </c>
      <c r="Y67" s="69">
        <f>U67*E67</f>
        <v>689850</v>
      </c>
      <c r="Z67" s="85">
        <v>30</v>
      </c>
      <c r="AA67" s="69">
        <f>Z67*5250</f>
        <v>157500</v>
      </c>
      <c r="AB67" s="85">
        <v>16</v>
      </c>
      <c r="AC67" s="69">
        <f>AB67*5250</f>
        <v>84000</v>
      </c>
      <c r="AD67" s="85">
        <v>30</v>
      </c>
      <c r="AE67" s="69">
        <f>AD67*5250</f>
        <v>157500</v>
      </c>
      <c r="AF67" s="85">
        <v>30</v>
      </c>
      <c r="AG67" s="69">
        <f>AF67*5250</f>
        <v>157500</v>
      </c>
      <c r="AH67" s="85">
        <v>16</v>
      </c>
      <c r="AI67" s="69">
        <f>AH67*5250</f>
        <v>84000</v>
      </c>
      <c r="AJ67" s="85">
        <v>20</v>
      </c>
      <c r="AK67" s="69">
        <f>AJ67*5250</f>
        <v>105000</v>
      </c>
      <c r="AL67" s="85">
        <v>28</v>
      </c>
      <c r="AM67" s="69">
        <f>AL67*5250</f>
        <v>147000</v>
      </c>
      <c r="AN67" s="85">
        <v>30</v>
      </c>
      <c r="AO67" s="69">
        <f>AN67*5250</f>
        <v>157500</v>
      </c>
      <c r="AP67" s="85">
        <v>8</v>
      </c>
      <c r="AQ67" s="69">
        <f>AP67*5250</f>
        <v>42000</v>
      </c>
      <c r="AR67" s="85">
        <v>18</v>
      </c>
      <c r="AS67" s="69">
        <f>AR67*5250</f>
        <v>94500</v>
      </c>
      <c r="AT67" s="85">
        <v>20</v>
      </c>
      <c r="AU67" s="69">
        <f>AT67*5250</f>
        <v>105000</v>
      </c>
      <c r="AV67" s="85">
        <v>20</v>
      </c>
      <c r="AW67" s="69">
        <f>AV67*5250</f>
        <v>105000</v>
      </c>
      <c r="AX67" s="85">
        <v>32</v>
      </c>
      <c r="AY67" s="69">
        <f>AX67*5250</f>
        <v>168000</v>
      </c>
      <c r="AZ67" s="85">
        <v>25</v>
      </c>
      <c r="BA67" s="69">
        <f>AZ67*5250</f>
        <v>131250</v>
      </c>
      <c r="BB67" s="758">
        <v>25</v>
      </c>
      <c r="BC67" s="69">
        <f>BB67*5250</f>
        <v>131250</v>
      </c>
      <c r="BD67" s="85">
        <v>40</v>
      </c>
      <c r="BE67" s="69">
        <f>BD67*5250</f>
        <v>210000</v>
      </c>
      <c r="BF67" s="85">
        <v>50</v>
      </c>
      <c r="BG67" s="69">
        <f>BF67*5250</f>
        <v>262500</v>
      </c>
      <c r="BH67" s="85">
        <v>0</v>
      </c>
      <c r="BI67" s="69">
        <f>BH67*5250</f>
        <v>0</v>
      </c>
      <c r="BJ67" s="85">
        <f t="shared" si="109"/>
        <v>438</v>
      </c>
      <c r="BK67" s="85">
        <f t="shared" si="109"/>
        <v>2299500</v>
      </c>
      <c r="BL67" s="324" t="s">
        <v>467</v>
      </c>
      <c r="BN67" s="113">
        <v>0</v>
      </c>
      <c r="BO67" s="113">
        <v>0</v>
      </c>
      <c r="BP67" s="113">
        <f>G67</f>
        <v>2299500</v>
      </c>
      <c r="BQ67" s="113">
        <v>0</v>
      </c>
      <c r="BR67" s="113">
        <f>BN67+BO67+BP67+BQ67</f>
        <v>2299500</v>
      </c>
      <c r="BS67" s="113">
        <v>0</v>
      </c>
      <c r="BT67" s="113">
        <v>0</v>
      </c>
      <c r="BU67" s="113">
        <f>BS67+BT67</f>
        <v>0</v>
      </c>
      <c r="BV67" s="179">
        <f t="shared" ref="BV67:BV74" si="114">BR67+BU67</f>
        <v>2299500</v>
      </c>
    </row>
    <row r="68" spans="1:979" s="163" customFormat="1" ht="37.5" customHeight="1" x14ac:dyDescent="0.25">
      <c r="A68" s="882"/>
      <c r="B68" s="188"/>
      <c r="C68" s="172" t="s">
        <v>736</v>
      </c>
      <c r="D68" s="172" t="s">
        <v>102</v>
      </c>
      <c r="E68" s="172">
        <v>50000</v>
      </c>
      <c r="F68" s="125">
        <f t="shared" si="104"/>
        <v>6</v>
      </c>
      <c r="G68" s="125">
        <f t="shared" si="104"/>
        <v>300000</v>
      </c>
      <c r="H68" s="125"/>
      <c r="I68" s="125">
        <f>G68*1</f>
        <v>300000</v>
      </c>
      <c r="J68" s="125"/>
      <c r="K68" s="125"/>
      <c r="L68" s="125"/>
      <c r="M68" s="125"/>
      <c r="N68" s="125"/>
      <c r="O68" s="125"/>
      <c r="P68" s="125"/>
      <c r="Q68" s="125"/>
      <c r="R68" s="153">
        <f t="shared" si="110"/>
        <v>0.60000000000000009</v>
      </c>
      <c r="S68" s="153">
        <f t="shared" si="111"/>
        <v>1.5</v>
      </c>
      <c r="T68" s="153">
        <f t="shared" si="112"/>
        <v>2.0999999999999996</v>
      </c>
      <c r="U68" s="153">
        <f t="shared" si="113"/>
        <v>1.7999999999999998</v>
      </c>
      <c r="V68" s="125">
        <f>R68*E68</f>
        <v>30000.000000000004</v>
      </c>
      <c r="W68" s="125">
        <f>S68*E68</f>
        <v>75000</v>
      </c>
      <c r="X68" s="125">
        <f>T68*E68</f>
        <v>104999.99999999999</v>
      </c>
      <c r="Y68" s="125">
        <f>U68*E68</f>
        <v>89999.999999999985</v>
      </c>
      <c r="Z68" s="692">
        <v>0</v>
      </c>
      <c r="AA68" s="125">
        <f>Z68*E68</f>
        <v>0</v>
      </c>
      <c r="AB68" s="692">
        <v>0</v>
      </c>
      <c r="AC68" s="125">
        <f>AB68*E68</f>
        <v>0</v>
      </c>
      <c r="AD68" s="133">
        <v>1</v>
      </c>
      <c r="AE68" s="125">
        <f>AD68*E68</f>
        <v>50000</v>
      </c>
      <c r="AF68" s="133">
        <v>0</v>
      </c>
      <c r="AG68" s="125">
        <f>AF68*E68</f>
        <v>0</v>
      </c>
      <c r="AH68" s="133">
        <v>1</v>
      </c>
      <c r="AI68" s="125">
        <f>AH68*E68</f>
        <v>50000</v>
      </c>
      <c r="AJ68" s="133">
        <v>0</v>
      </c>
      <c r="AK68" s="125">
        <f>AJ68*E68</f>
        <v>0</v>
      </c>
      <c r="AL68" s="133">
        <v>0</v>
      </c>
      <c r="AM68" s="125">
        <f>AL68*E68</f>
        <v>0</v>
      </c>
      <c r="AN68" s="133">
        <v>0</v>
      </c>
      <c r="AO68" s="125">
        <f>AN68*E68</f>
        <v>0</v>
      </c>
      <c r="AP68" s="133">
        <v>1</v>
      </c>
      <c r="AQ68" s="125">
        <f>AP68*E68</f>
        <v>50000</v>
      </c>
      <c r="AR68" s="133">
        <v>1</v>
      </c>
      <c r="AS68" s="125">
        <f>AR68*E68</f>
        <v>50000</v>
      </c>
      <c r="AT68" s="133">
        <v>0</v>
      </c>
      <c r="AU68" s="125">
        <f>AT68*E68</f>
        <v>0</v>
      </c>
      <c r="AV68" s="133">
        <v>1</v>
      </c>
      <c r="AW68" s="125">
        <f>AV68*E68</f>
        <v>50000</v>
      </c>
      <c r="AX68" s="133">
        <v>0</v>
      </c>
      <c r="AY68" s="125">
        <f>AX68*E68</f>
        <v>0</v>
      </c>
      <c r="AZ68" s="133">
        <v>0</v>
      </c>
      <c r="BA68" s="125">
        <f>AZ68*E68</f>
        <v>0</v>
      </c>
      <c r="BB68" s="133">
        <v>1</v>
      </c>
      <c r="BC68" s="125">
        <f>BB68*E68</f>
        <v>50000</v>
      </c>
      <c r="BD68" s="133">
        <v>0</v>
      </c>
      <c r="BE68" s="125">
        <f>BD68*E68</f>
        <v>0</v>
      </c>
      <c r="BF68" s="692">
        <v>0</v>
      </c>
      <c r="BG68" s="125">
        <f>BF68*E68</f>
        <v>0</v>
      </c>
      <c r="BH68" s="133">
        <v>0</v>
      </c>
      <c r="BI68" s="125">
        <v>0</v>
      </c>
      <c r="BJ68" s="133">
        <f t="shared" si="109"/>
        <v>6</v>
      </c>
      <c r="BK68" s="133">
        <f t="shared" si="109"/>
        <v>300000</v>
      </c>
      <c r="BL68" s="325" t="s">
        <v>469</v>
      </c>
      <c r="BN68" s="176"/>
      <c r="BO68" s="176"/>
      <c r="BP68" s="176">
        <f>G68</f>
        <v>300000</v>
      </c>
      <c r="BQ68" s="176"/>
      <c r="BR68" s="176">
        <f>BN68+BO68+BP68+BQ68</f>
        <v>300000</v>
      </c>
      <c r="BS68" s="176"/>
      <c r="BT68" s="176"/>
      <c r="BU68" s="176"/>
      <c r="BV68" s="189">
        <f t="shared" si="114"/>
        <v>300000</v>
      </c>
    </row>
    <row r="69" spans="1:979" ht="24" customHeight="1" x14ac:dyDescent="0.25">
      <c r="A69" s="882"/>
      <c r="B69" s="563"/>
      <c r="C69" s="564"/>
      <c r="D69" s="139"/>
      <c r="E69" s="139"/>
      <c r="F69" s="139">
        <f>SUM(F65:F68)</f>
        <v>2187</v>
      </c>
      <c r="G69" s="139">
        <f>SUM(G65:G68)</f>
        <v>3801750</v>
      </c>
      <c r="H69" s="139">
        <f t="shared" ref="H69:Y69" si="115">SUM(H65:H67)</f>
        <v>700350</v>
      </c>
      <c r="I69" s="139">
        <f>SUM(I65:I68)</f>
        <v>3101400</v>
      </c>
      <c r="J69" s="139">
        <f t="shared" si="115"/>
        <v>0</v>
      </c>
      <c r="K69" s="139">
        <f t="shared" si="115"/>
        <v>0</v>
      </c>
      <c r="L69" s="139">
        <f t="shared" si="115"/>
        <v>0</v>
      </c>
      <c r="M69" s="139">
        <f t="shared" si="115"/>
        <v>0</v>
      </c>
      <c r="N69" s="139">
        <f t="shared" si="115"/>
        <v>0</v>
      </c>
      <c r="O69" s="139">
        <f t="shared" si="115"/>
        <v>0</v>
      </c>
      <c r="P69" s="139">
        <f t="shared" si="115"/>
        <v>0</v>
      </c>
      <c r="Q69" s="139">
        <f t="shared" si="115"/>
        <v>0</v>
      </c>
      <c r="R69" s="468">
        <f>SUM(R65:R67)</f>
        <v>218.10000000000002</v>
      </c>
      <c r="S69" s="468">
        <f t="shared" si="115"/>
        <v>545.25</v>
      </c>
      <c r="T69" s="468">
        <f t="shared" si="115"/>
        <v>763.34999999999991</v>
      </c>
      <c r="U69" s="468">
        <f t="shared" si="115"/>
        <v>654.29999999999995</v>
      </c>
      <c r="V69" s="139">
        <f t="shared" si="115"/>
        <v>350175.00000000006</v>
      </c>
      <c r="W69" s="139">
        <f t="shared" si="115"/>
        <v>875437.5</v>
      </c>
      <c r="X69" s="139">
        <f t="shared" si="115"/>
        <v>1225612.4999999998</v>
      </c>
      <c r="Y69" s="139">
        <f t="shared" si="115"/>
        <v>1050525</v>
      </c>
      <c r="Z69" s="139">
        <f>SUM(Z65:Z68)</f>
        <v>120</v>
      </c>
      <c r="AA69" s="139">
        <f t="shared" ref="AA69:BK69" si="116">SUM(AA65:AA68)</f>
        <v>232500</v>
      </c>
      <c r="AB69" s="139">
        <f t="shared" si="116"/>
        <v>62</v>
      </c>
      <c r="AC69" s="139">
        <f t="shared" si="116"/>
        <v>123500</v>
      </c>
      <c r="AD69" s="139">
        <f t="shared" si="116"/>
        <v>121</v>
      </c>
      <c r="AE69" s="139">
        <f t="shared" si="116"/>
        <v>282500</v>
      </c>
      <c r="AF69" s="139">
        <f t="shared" si="116"/>
        <v>130</v>
      </c>
      <c r="AG69" s="139">
        <f t="shared" si="116"/>
        <v>235000</v>
      </c>
      <c r="AH69" s="139">
        <f t="shared" si="116"/>
        <v>73</v>
      </c>
      <c r="AI69" s="139">
        <f t="shared" si="116"/>
        <v>176000</v>
      </c>
      <c r="AJ69" s="139">
        <f t="shared" si="116"/>
        <v>70</v>
      </c>
      <c r="AK69" s="139">
        <f t="shared" si="116"/>
        <v>152500</v>
      </c>
      <c r="AL69" s="139">
        <f t="shared" si="116"/>
        <v>126</v>
      </c>
      <c r="AM69" s="139">
        <f t="shared" si="116"/>
        <v>220500</v>
      </c>
      <c r="AN69" s="139">
        <f t="shared" si="116"/>
        <v>150</v>
      </c>
      <c r="AO69" s="139">
        <f t="shared" si="116"/>
        <v>240000</v>
      </c>
      <c r="AP69" s="139">
        <f t="shared" si="116"/>
        <v>47</v>
      </c>
      <c r="AQ69" s="139">
        <f t="shared" si="116"/>
        <v>115500</v>
      </c>
      <c r="AR69" s="139">
        <f t="shared" si="116"/>
        <v>97</v>
      </c>
      <c r="AS69" s="139">
        <f t="shared" si="116"/>
        <v>195500</v>
      </c>
      <c r="AT69" s="139">
        <f t="shared" si="116"/>
        <v>110</v>
      </c>
      <c r="AU69" s="139">
        <f t="shared" si="116"/>
        <v>162500</v>
      </c>
      <c r="AV69" s="139">
        <f t="shared" si="116"/>
        <v>101</v>
      </c>
      <c r="AW69" s="139">
        <f t="shared" si="116"/>
        <v>210000</v>
      </c>
      <c r="AX69" s="139">
        <f t="shared" si="116"/>
        <v>134</v>
      </c>
      <c r="AY69" s="139">
        <f t="shared" si="116"/>
        <v>249500</v>
      </c>
      <c r="AZ69" s="139">
        <f t="shared" si="116"/>
        <v>120</v>
      </c>
      <c r="BA69" s="139">
        <f t="shared" si="116"/>
        <v>198750</v>
      </c>
      <c r="BB69" s="139">
        <f t="shared" si="116"/>
        <v>76</v>
      </c>
      <c r="BC69" s="139">
        <f t="shared" si="116"/>
        <v>237500</v>
      </c>
      <c r="BD69" s="139">
        <f t="shared" si="116"/>
        <v>380</v>
      </c>
      <c r="BE69" s="139">
        <f t="shared" si="116"/>
        <v>365000</v>
      </c>
      <c r="BF69" s="139">
        <f t="shared" si="116"/>
        <v>270</v>
      </c>
      <c r="BG69" s="139">
        <f t="shared" si="116"/>
        <v>405000</v>
      </c>
      <c r="BH69" s="139">
        <f t="shared" si="116"/>
        <v>0</v>
      </c>
      <c r="BI69" s="139">
        <f t="shared" si="116"/>
        <v>0</v>
      </c>
      <c r="BJ69" s="139">
        <f t="shared" si="116"/>
        <v>2187</v>
      </c>
      <c r="BK69" s="139">
        <f t="shared" si="116"/>
        <v>3801750</v>
      </c>
      <c r="BL69" s="47"/>
      <c r="BN69" s="139">
        <f t="shared" ref="BN69:BU69" si="117">SUM(BN65:BN67)</f>
        <v>0</v>
      </c>
      <c r="BO69" s="139">
        <f t="shared" si="117"/>
        <v>326250</v>
      </c>
      <c r="BP69" s="139">
        <f t="shared" si="117"/>
        <v>3175500</v>
      </c>
      <c r="BQ69" s="139">
        <f t="shared" si="117"/>
        <v>0</v>
      </c>
      <c r="BR69" s="139">
        <f>SUM(BR65:BR68)</f>
        <v>3801750</v>
      </c>
      <c r="BS69" s="139">
        <f t="shared" si="117"/>
        <v>0</v>
      </c>
      <c r="BT69" s="139">
        <f t="shared" si="117"/>
        <v>0</v>
      </c>
      <c r="BU69" s="139">
        <f t="shared" si="117"/>
        <v>0</v>
      </c>
      <c r="BV69" s="474">
        <f t="shared" si="114"/>
        <v>3801750</v>
      </c>
    </row>
    <row r="70" spans="1:979" ht="24" customHeight="1" x14ac:dyDescent="0.25">
      <c r="A70" s="882"/>
      <c r="B70" s="443">
        <v>12420</v>
      </c>
      <c r="C70" s="167" t="s">
        <v>142</v>
      </c>
      <c r="D70" s="167"/>
      <c r="E70" s="167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185"/>
      <c r="S70" s="185"/>
      <c r="T70" s="185"/>
      <c r="U70" s="1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47"/>
      <c r="BN70" s="113"/>
      <c r="BO70" s="113"/>
      <c r="BP70" s="113"/>
      <c r="BQ70" s="113"/>
      <c r="BR70" s="113"/>
      <c r="BS70" s="113"/>
      <c r="BT70" s="113"/>
      <c r="BU70" s="113"/>
      <c r="BV70" s="179">
        <f t="shared" si="114"/>
        <v>0</v>
      </c>
    </row>
    <row r="71" spans="1:979" s="99" customFormat="1" ht="38.25" customHeight="1" x14ac:dyDescent="0.25">
      <c r="A71" s="882"/>
      <c r="B71" s="188"/>
      <c r="C71" s="172" t="s">
        <v>143</v>
      </c>
      <c r="D71" s="172" t="s">
        <v>120</v>
      </c>
      <c r="E71" s="172">
        <f>0.02*100000</f>
        <v>2000</v>
      </c>
      <c r="F71" s="69">
        <f>BJ71</f>
        <v>358</v>
      </c>
      <c r="G71" s="174">
        <f>E71*F71</f>
        <v>716000</v>
      </c>
      <c r="H71" s="174">
        <f>G71*0</f>
        <v>0</v>
      </c>
      <c r="I71" s="174">
        <f>G71*1</f>
        <v>716000</v>
      </c>
      <c r="J71" s="174">
        <f>G71*0</f>
        <v>0</v>
      </c>
      <c r="K71" s="174">
        <f>G71*0</f>
        <v>0</v>
      </c>
      <c r="L71" s="174">
        <f>G71*0</f>
        <v>0</v>
      </c>
      <c r="M71" s="174">
        <f>G71*0</f>
        <v>0</v>
      </c>
      <c r="N71" s="174">
        <f>G71*0</f>
        <v>0</v>
      </c>
      <c r="O71" s="174">
        <f>G71*0</f>
        <v>0</v>
      </c>
      <c r="P71" s="174">
        <f>G71*0</f>
        <v>0</v>
      </c>
      <c r="Q71" s="174">
        <f>G71*0</f>
        <v>0</v>
      </c>
      <c r="R71" s="153">
        <f t="shared" ref="R71" si="118">F71*0.1</f>
        <v>35.800000000000004</v>
      </c>
      <c r="S71" s="153">
        <f t="shared" ref="S71" si="119">F71*0.25</f>
        <v>89.5</v>
      </c>
      <c r="T71" s="153">
        <f t="shared" ref="T71" si="120">F71*0.35</f>
        <v>125.3</v>
      </c>
      <c r="U71" s="153">
        <f t="shared" ref="U71" si="121">F71*0.3</f>
        <v>107.39999999999999</v>
      </c>
      <c r="V71" s="174"/>
      <c r="W71" s="174">
        <f>S71*E71</f>
        <v>179000</v>
      </c>
      <c r="X71" s="174">
        <f>T71*E71</f>
        <v>250600</v>
      </c>
      <c r="Y71" s="174">
        <f>U71*E71</f>
        <v>214799.99999999997</v>
      </c>
      <c r="Z71" s="174">
        <v>21</v>
      </c>
      <c r="AA71" s="174">
        <f>Z71*2000</f>
        <v>42000</v>
      </c>
      <c r="AB71" s="174">
        <v>20</v>
      </c>
      <c r="AC71" s="174">
        <f>AB71*2000</f>
        <v>40000</v>
      </c>
      <c r="AD71" s="174">
        <v>20</v>
      </c>
      <c r="AE71" s="174">
        <f>AD71*2000</f>
        <v>40000</v>
      </c>
      <c r="AF71" s="174">
        <v>10</v>
      </c>
      <c r="AG71" s="174">
        <f>AF71*2000</f>
        <v>20000</v>
      </c>
      <c r="AH71" s="174">
        <v>20</v>
      </c>
      <c r="AI71" s="174">
        <f>AH71*2000</f>
        <v>40000</v>
      </c>
      <c r="AJ71" s="174">
        <v>30</v>
      </c>
      <c r="AK71" s="174">
        <f>AJ71*2000</f>
        <v>60000</v>
      </c>
      <c r="AL71" s="174">
        <v>10</v>
      </c>
      <c r="AM71" s="174">
        <f>AL71*2000</f>
        <v>20000</v>
      </c>
      <c r="AN71" s="174">
        <v>20</v>
      </c>
      <c r="AO71" s="174">
        <f>AN71*2000</f>
        <v>40000</v>
      </c>
      <c r="AP71" s="759">
        <v>10</v>
      </c>
      <c r="AQ71" s="174">
        <f>AP71*2000</f>
        <v>20000</v>
      </c>
      <c r="AR71" s="759">
        <v>15</v>
      </c>
      <c r="AS71" s="174">
        <f>AR71*2000</f>
        <v>30000</v>
      </c>
      <c r="AT71" s="174">
        <v>20</v>
      </c>
      <c r="AU71" s="174">
        <f>AT71*2000</f>
        <v>40000</v>
      </c>
      <c r="AV71" s="759">
        <v>20</v>
      </c>
      <c r="AW71" s="174">
        <f>AV71*2000</f>
        <v>40000</v>
      </c>
      <c r="AX71" s="174">
        <v>32</v>
      </c>
      <c r="AY71" s="174">
        <f>AX71*2000</f>
        <v>64000</v>
      </c>
      <c r="AZ71" s="174">
        <v>10</v>
      </c>
      <c r="BA71" s="174">
        <f>AZ71*2000</f>
        <v>20000</v>
      </c>
      <c r="BB71" s="174">
        <v>40</v>
      </c>
      <c r="BC71" s="174">
        <f>BB71*2000</f>
        <v>80000</v>
      </c>
      <c r="BD71" s="174">
        <v>30</v>
      </c>
      <c r="BE71" s="174">
        <f>BD71*2000</f>
        <v>60000</v>
      </c>
      <c r="BF71" s="174">
        <v>30</v>
      </c>
      <c r="BG71" s="174">
        <f>BF71*2000</f>
        <v>60000</v>
      </c>
      <c r="BH71" s="174">
        <v>0</v>
      </c>
      <c r="BI71" s="174">
        <f>BH71*2000</f>
        <v>0</v>
      </c>
      <c r="BJ71" s="174">
        <f>Z71+AB71+AD71+AF71+AH71+AJ71+AL71+AN71+AP71+AR71+AT71+AV71+AX71+AZ71+BB71+BD71+BF71+BH71</f>
        <v>358</v>
      </c>
      <c r="BK71" s="174">
        <f>AA71+AC71+AE71+AG71+AI71+AK71+AM71+AO71+AQ71+AS71+AU71+AW71+AY71+BA71+BC71+BE71+BG71+BI71</f>
        <v>716000</v>
      </c>
      <c r="BL71" s="326" t="s">
        <v>469</v>
      </c>
      <c r="BM71" s="106"/>
      <c r="BN71" s="112"/>
      <c r="BO71" s="112"/>
      <c r="BP71" s="112"/>
      <c r="BQ71" s="112">
        <f>G71</f>
        <v>716000</v>
      </c>
      <c r="BR71" s="112">
        <f>BN71+BO71+BP71+BQ71</f>
        <v>716000</v>
      </c>
      <c r="BS71" s="112">
        <v>0</v>
      </c>
      <c r="BT71" s="112">
        <v>0</v>
      </c>
      <c r="BU71" s="112">
        <f>BS71+BT71</f>
        <v>0</v>
      </c>
      <c r="BV71" s="218">
        <f t="shared" si="114"/>
        <v>716000</v>
      </c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  <c r="FW71" s="106"/>
      <c r="FX71" s="106"/>
      <c r="FY71" s="106"/>
      <c r="FZ71" s="106"/>
      <c r="GA71" s="106"/>
      <c r="GB71" s="106"/>
      <c r="GC71" s="106"/>
      <c r="GD71" s="106"/>
      <c r="GE71" s="106"/>
      <c r="GF71" s="106"/>
      <c r="GG71" s="106"/>
      <c r="GH71" s="106"/>
      <c r="GI71" s="106"/>
      <c r="GJ71" s="106"/>
      <c r="GK71" s="106"/>
      <c r="GL71" s="106"/>
      <c r="GM71" s="106"/>
      <c r="GN71" s="106"/>
      <c r="GO71" s="106"/>
      <c r="GP71" s="106"/>
      <c r="GQ71" s="106"/>
      <c r="GR71" s="106"/>
      <c r="GS71" s="106"/>
      <c r="GT71" s="106"/>
      <c r="GU71" s="106"/>
      <c r="GV71" s="106"/>
      <c r="GW71" s="106"/>
      <c r="GX71" s="106"/>
      <c r="GY71" s="106"/>
      <c r="GZ71" s="106"/>
      <c r="HA71" s="106"/>
      <c r="HB71" s="106"/>
      <c r="HC71" s="106"/>
      <c r="HD71" s="106"/>
      <c r="HE71" s="106"/>
      <c r="HF71" s="106"/>
      <c r="HG71" s="106"/>
      <c r="HH71" s="106"/>
      <c r="HI71" s="106"/>
      <c r="HJ71" s="106"/>
      <c r="HK71" s="106"/>
      <c r="HL71" s="106"/>
      <c r="HM71" s="106"/>
      <c r="HN71" s="106"/>
      <c r="HO71" s="106"/>
      <c r="HP71" s="106"/>
      <c r="HQ71" s="106"/>
      <c r="HR71" s="106"/>
      <c r="HS71" s="106"/>
      <c r="HT71" s="106"/>
      <c r="HU71" s="106"/>
      <c r="HV71" s="106"/>
      <c r="HW71" s="106"/>
      <c r="HX71" s="106"/>
      <c r="HY71" s="106"/>
      <c r="HZ71" s="106"/>
      <c r="IA71" s="106"/>
      <c r="IB71" s="106"/>
      <c r="IC71" s="106"/>
      <c r="ID71" s="106"/>
      <c r="IE71" s="106"/>
      <c r="IF71" s="106"/>
      <c r="IG71" s="106"/>
      <c r="IH71" s="106"/>
      <c r="II71" s="106"/>
      <c r="IJ71" s="106"/>
      <c r="IK71" s="106"/>
      <c r="IL71" s="106"/>
      <c r="IM71" s="106"/>
      <c r="IN71" s="106"/>
      <c r="IO71" s="106"/>
      <c r="IP71" s="106"/>
      <c r="IQ71" s="106"/>
      <c r="IR71" s="106"/>
      <c r="IS71" s="106"/>
      <c r="IT71" s="106"/>
      <c r="IU71" s="106"/>
      <c r="IV71" s="106"/>
      <c r="IW71" s="106"/>
      <c r="IX71" s="106"/>
      <c r="IY71" s="106"/>
      <c r="IZ71" s="106"/>
      <c r="JA71" s="106"/>
      <c r="JB71" s="106"/>
      <c r="JC71" s="106"/>
      <c r="JD71" s="106"/>
      <c r="JE71" s="106"/>
      <c r="JF71" s="106"/>
      <c r="JG71" s="106"/>
      <c r="JH71" s="106"/>
      <c r="JI71" s="106"/>
      <c r="JJ71" s="106"/>
      <c r="JK71" s="106"/>
      <c r="JL71" s="106"/>
      <c r="JM71" s="106"/>
      <c r="JN71" s="106"/>
      <c r="JO71" s="106"/>
      <c r="JP71" s="106"/>
      <c r="JQ71" s="106"/>
      <c r="JR71" s="106"/>
      <c r="JS71" s="106"/>
      <c r="JT71" s="106"/>
      <c r="JU71" s="106"/>
      <c r="JV71" s="106"/>
      <c r="JW71" s="106"/>
      <c r="JX71" s="106"/>
      <c r="JY71" s="106"/>
      <c r="JZ71" s="106"/>
      <c r="KA71" s="106"/>
      <c r="KB71" s="106"/>
      <c r="KC71" s="106"/>
      <c r="KD71" s="106"/>
      <c r="KE71" s="106"/>
      <c r="KF71" s="106"/>
      <c r="KG71" s="106"/>
      <c r="KH71" s="106"/>
      <c r="KI71" s="106"/>
      <c r="KJ71" s="106"/>
      <c r="KK71" s="106"/>
      <c r="KL71" s="106"/>
      <c r="KM71" s="106"/>
      <c r="KN71" s="106"/>
      <c r="KO71" s="106"/>
      <c r="KP71" s="106"/>
      <c r="KQ71" s="106"/>
      <c r="KR71" s="106"/>
      <c r="KS71" s="106"/>
      <c r="KT71" s="106"/>
      <c r="KU71" s="106"/>
      <c r="KV71" s="106"/>
      <c r="KW71" s="106"/>
      <c r="KX71" s="106"/>
      <c r="KY71" s="106"/>
      <c r="KZ71" s="106"/>
      <c r="LA71" s="106"/>
      <c r="LB71" s="106"/>
      <c r="LC71" s="106"/>
      <c r="LD71" s="106"/>
      <c r="LE71" s="106"/>
      <c r="LF71" s="106"/>
      <c r="LG71" s="106"/>
      <c r="LH71" s="106"/>
      <c r="LI71" s="106"/>
      <c r="LJ71" s="106"/>
      <c r="LK71" s="106"/>
      <c r="LL71" s="106"/>
      <c r="LM71" s="106"/>
      <c r="LN71" s="106"/>
      <c r="LO71" s="106"/>
      <c r="LP71" s="106"/>
      <c r="LQ71" s="106"/>
      <c r="LR71" s="106"/>
      <c r="LS71" s="106"/>
      <c r="LT71" s="106"/>
      <c r="LU71" s="106"/>
      <c r="LV71" s="106"/>
      <c r="LW71" s="106"/>
      <c r="LX71" s="106"/>
      <c r="LY71" s="106"/>
      <c r="LZ71" s="106"/>
      <c r="MA71" s="106"/>
      <c r="MB71" s="106"/>
      <c r="MC71" s="106"/>
      <c r="MD71" s="106"/>
      <c r="ME71" s="106"/>
      <c r="MF71" s="106"/>
      <c r="MG71" s="106"/>
      <c r="MH71" s="106"/>
      <c r="MI71" s="106"/>
      <c r="MJ71" s="106"/>
      <c r="MK71" s="106"/>
      <c r="ML71" s="106"/>
      <c r="MM71" s="106"/>
      <c r="MN71" s="106"/>
      <c r="MO71" s="106"/>
      <c r="MP71" s="106"/>
      <c r="MQ71" s="106"/>
      <c r="MR71" s="106"/>
      <c r="MS71" s="106"/>
      <c r="MT71" s="106"/>
      <c r="MU71" s="106"/>
      <c r="MV71" s="106"/>
      <c r="MW71" s="106"/>
      <c r="MX71" s="106"/>
      <c r="MY71" s="106"/>
      <c r="MZ71" s="106"/>
      <c r="NA71" s="106"/>
      <c r="NB71" s="106"/>
      <c r="NC71" s="106"/>
      <c r="ND71" s="106"/>
      <c r="NE71" s="106"/>
      <c r="NF71" s="106"/>
      <c r="NG71" s="106"/>
      <c r="NH71" s="106"/>
      <c r="NI71" s="106"/>
      <c r="NJ71" s="106"/>
      <c r="NK71" s="106"/>
      <c r="NL71" s="106"/>
      <c r="NM71" s="106"/>
      <c r="NN71" s="106"/>
      <c r="NO71" s="106"/>
      <c r="NP71" s="106"/>
      <c r="NQ71" s="106"/>
      <c r="NR71" s="106"/>
      <c r="NS71" s="106"/>
      <c r="NT71" s="106"/>
      <c r="NU71" s="106"/>
      <c r="NV71" s="106"/>
      <c r="NW71" s="106"/>
      <c r="NX71" s="106"/>
      <c r="NY71" s="106"/>
      <c r="NZ71" s="106"/>
      <c r="OA71" s="106"/>
      <c r="OB71" s="106"/>
      <c r="OC71" s="106"/>
      <c r="OD71" s="106"/>
      <c r="OE71" s="106"/>
      <c r="OF71" s="106"/>
      <c r="OG71" s="106"/>
      <c r="OH71" s="106"/>
      <c r="OI71" s="106"/>
      <c r="OJ71" s="106"/>
      <c r="OK71" s="106"/>
      <c r="OL71" s="106"/>
      <c r="OM71" s="106"/>
      <c r="ON71" s="106"/>
      <c r="OO71" s="106"/>
      <c r="OP71" s="106"/>
      <c r="OQ71" s="106"/>
      <c r="OR71" s="106"/>
      <c r="OS71" s="106"/>
      <c r="OT71" s="106"/>
      <c r="OU71" s="106"/>
      <c r="OV71" s="106"/>
      <c r="OW71" s="106"/>
      <c r="OX71" s="106"/>
      <c r="OY71" s="106"/>
      <c r="OZ71" s="106"/>
      <c r="PA71" s="106"/>
      <c r="PB71" s="106"/>
      <c r="PC71" s="106"/>
      <c r="PD71" s="106"/>
      <c r="PE71" s="106"/>
      <c r="PF71" s="106"/>
      <c r="PG71" s="106"/>
      <c r="PH71" s="106"/>
      <c r="PI71" s="106"/>
      <c r="PJ71" s="106"/>
      <c r="PK71" s="106"/>
      <c r="PL71" s="106"/>
      <c r="PM71" s="106"/>
      <c r="PN71" s="106"/>
      <c r="PO71" s="106"/>
      <c r="PP71" s="106"/>
      <c r="PQ71" s="106"/>
      <c r="PR71" s="106"/>
      <c r="PS71" s="106"/>
      <c r="PT71" s="106"/>
      <c r="PU71" s="106"/>
      <c r="PV71" s="106"/>
      <c r="PW71" s="106"/>
      <c r="PX71" s="106"/>
      <c r="PY71" s="106"/>
      <c r="PZ71" s="106"/>
      <c r="QA71" s="106"/>
      <c r="QB71" s="106"/>
      <c r="QC71" s="106"/>
      <c r="QD71" s="106"/>
      <c r="QE71" s="106"/>
      <c r="QF71" s="106"/>
      <c r="QG71" s="106"/>
      <c r="QH71" s="106"/>
      <c r="QI71" s="106"/>
      <c r="QJ71" s="106"/>
      <c r="QK71" s="106"/>
      <c r="QL71" s="106"/>
      <c r="QM71" s="106"/>
      <c r="QN71" s="106"/>
      <c r="QO71" s="106"/>
      <c r="QP71" s="106"/>
      <c r="QQ71" s="106"/>
      <c r="QR71" s="106"/>
      <c r="QS71" s="106"/>
      <c r="QT71" s="106"/>
      <c r="QU71" s="106"/>
      <c r="QV71" s="106"/>
      <c r="QW71" s="106"/>
      <c r="QX71" s="106"/>
      <c r="QY71" s="106"/>
      <c r="QZ71" s="106"/>
      <c r="RA71" s="106"/>
      <c r="RB71" s="106"/>
      <c r="RC71" s="106"/>
      <c r="RD71" s="106"/>
      <c r="RE71" s="106"/>
      <c r="RF71" s="106"/>
      <c r="RG71" s="106"/>
      <c r="RH71" s="106"/>
      <c r="RI71" s="106"/>
      <c r="RJ71" s="106"/>
      <c r="RK71" s="106"/>
      <c r="RL71" s="106"/>
      <c r="RM71" s="106"/>
      <c r="RN71" s="106"/>
      <c r="RO71" s="106"/>
      <c r="RP71" s="106"/>
      <c r="RQ71" s="106"/>
      <c r="RR71" s="106"/>
      <c r="RS71" s="106"/>
      <c r="RT71" s="106"/>
      <c r="RU71" s="106"/>
      <c r="RV71" s="106"/>
      <c r="RW71" s="106"/>
      <c r="RX71" s="106"/>
      <c r="RY71" s="106"/>
      <c r="RZ71" s="106"/>
      <c r="SA71" s="106"/>
      <c r="SB71" s="106"/>
      <c r="SC71" s="106"/>
      <c r="SD71" s="106"/>
      <c r="SE71" s="106"/>
      <c r="SF71" s="106"/>
      <c r="SG71" s="106"/>
      <c r="SH71" s="106"/>
      <c r="SI71" s="106"/>
      <c r="SJ71" s="106"/>
      <c r="SK71" s="106"/>
      <c r="SL71" s="106"/>
      <c r="SM71" s="106"/>
      <c r="SN71" s="106"/>
      <c r="SO71" s="106"/>
      <c r="SP71" s="106"/>
      <c r="SQ71" s="106"/>
      <c r="SR71" s="106"/>
      <c r="SS71" s="106"/>
      <c r="ST71" s="106"/>
      <c r="SU71" s="106"/>
      <c r="SV71" s="106"/>
      <c r="SW71" s="106"/>
      <c r="SX71" s="106"/>
      <c r="SY71" s="106"/>
      <c r="SZ71" s="106"/>
      <c r="TA71" s="106"/>
      <c r="TB71" s="106"/>
      <c r="TC71" s="106"/>
      <c r="TD71" s="106"/>
      <c r="TE71" s="106"/>
      <c r="TF71" s="106"/>
      <c r="TG71" s="106"/>
      <c r="TH71" s="106"/>
      <c r="TI71" s="106"/>
      <c r="TJ71" s="106"/>
      <c r="TK71" s="106"/>
      <c r="TL71" s="106"/>
      <c r="TM71" s="106"/>
      <c r="TN71" s="106"/>
      <c r="TO71" s="106"/>
      <c r="TP71" s="106"/>
      <c r="TQ71" s="106"/>
      <c r="TR71" s="106"/>
      <c r="TS71" s="106"/>
      <c r="TT71" s="106"/>
      <c r="TU71" s="106"/>
      <c r="TV71" s="106"/>
      <c r="TW71" s="106"/>
      <c r="TX71" s="106"/>
      <c r="TY71" s="106"/>
      <c r="TZ71" s="106"/>
      <c r="UA71" s="106"/>
      <c r="UB71" s="106"/>
      <c r="UC71" s="106"/>
      <c r="UD71" s="106"/>
      <c r="UE71" s="106"/>
      <c r="UF71" s="106"/>
      <c r="UG71" s="106"/>
      <c r="UH71" s="106"/>
      <c r="UI71" s="106"/>
      <c r="UJ71" s="106"/>
      <c r="UK71" s="106"/>
      <c r="UL71" s="106"/>
      <c r="UM71" s="106"/>
      <c r="UN71" s="106"/>
      <c r="UO71" s="106"/>
      <c r="UP71" s="106"/>
      <c r="UQ71" s="106"/>
      <c r="UR71" s="106"/>
      <c r="US71" s="106"/>
      <c r="UT71" s="106"/>
      <c r="UU71" s="106"/>
      <c r="UV71" s="106"/>
      <c r="UW71" s="106"/>
      <c r="UX71" s="106"/>
      <c r="UY71" s="106"/>
      <c r="UZ71" s="106"/>
      <c r="VA71" s="106"/>
      <c r="VB71" s="106"/>
      <c r="VC71" s="106"/>
      <c r="VD71" s="106"/>
      <c r="VE71" s="106"/>
      <c r="VF71" s="106"/>
      <c r="VG71" s="106"/>
      <c r="VH71" s="106"/>
      <c r="VI71" s="106"/>
      <c r="VJ71" s="106"/>
      <c r="VK71" s="106"/>
      <c r="VL71" s="106"/>
      <c r="VM71" s="106"/>
      <c r="VN71" s="106"/>
      <c r="VO71" s="106"/>
      <c r="VP71" s="106"/>
      <c r="VQ71" s="106"/>
      <c r="VR71" s="106"/>
      <c r="VS71" s="106"/>
      <c r="VT71" s="106"/>
      <c r="VU71" s="106"/>
      <c r="VV71" s="106"/>
      <c r="VW71" s="106"/>
      <c r="VX71" s="106"/>
      <c r="VY71" s="106"/>
      <c r="VZ71" s="106"/>
      <c r="WA71" s="106"/>
      <c r="WB71" s="106"/>
      <c r="WC71" s="106"/>
      <c r="WD71" s="106"/>
      <c r="WE71" s="106"/>
      <c r="WF71" s="106"/>
      <c r="WG71" s="106"/>
      <c r="WH71" s="106"/>
      <c r="WI71" s="106"/>
      <c r="WJ71" s="106"/>
      <c r="WK71" s="106"/>
      <c r="WL71" s="106"/>
      <c r="WM71" s="106"/>
      <c r="WN71" s="106"/>
      <c r="WO71" s="106"/>
      <c r="WP71" s="106"/>
      <c r="WQ71" s="106"/>
      <c r="WR71" s="106"/>
      <c r="WS71" s="106"/>
      <c r="WT71" s="106"/>
      <c r="WU71" s="106"/>
      <c r="WV71" s="106"/>
      <c r="WW71" s="106"/>
      <c r="WX71" s="106"/>
      <c r="WY71" s="106"/>
      <c r="WZ71" s="106"/>
      <c r="XA71" s="106"/>
      <c r="XB71" s="106"/>
      <c r="XC71" s="106"/>
      <c r="XD71" s="106"/>
      <c r="XE71" s="106"/>
      <c r="XF71" s="106"/>
      <c r="XG71" s="106"/>
      <c r="XH71" s="106"/>
      <c r="XI71" s="106"/>
      <c r="XJ71" s="106"/>
      <c r="XK71" s="106"/>
      <c r="XL71" s="106"/>
      <c r="XM71" s="106"/>
      <c r="XN71" s="106"/>
      <c r="XO71" s="106"/>
      <c r="XP71" s="106"/>
      <c r="XQ71" s="106"/>
      <c r="XR71" s="106"/>
      <c r="XS71" s="106"/>
      <c r="XT71" s="106"/>
      <c r="XU71" s="106"/>
      <c r="XV71" s="106"/>
      <c r="XW71" s="106"/>
      <c r="XX71" s="106"/>
      <c r="XY71" s="106"/>
      <c r="XZ71" s="106"/>
      <c r="YA71" s="106"/>
      <c r="YB71" s="106"/>
      <c r="YC71" s="106"/>
      <c r="YD71" s="106"/>
      <c r="YE71" s="106"/>
      <c r="YF71" s="106"/>
      <c r="YG71" s="106"/>
      <c r="YH71" s="106"/>
      <c r="YI71" s="106"/>
      <c r="YJ71" s="106"/>
      <c r="YK71" s="106"/>
      <c r="YL71" s="106"/>
      <c r="YM71" s="106"/>
      <c r="YN71" s="106"/>
      <c r="YO71" s="106"/>
      <c r="YP71" s="106"/>
      <c r="YQ71" s="106"/>
      <c r="YR71" s="106"/>
      <c r="YS71" s="106"/>
      <c r="YT71" s="106"/>
      <c r="YU71" s="106"/>
      <c r="YV71" s="106"/>
      <c r="YW71" s="106"/>
      <c r="YX71" s="106"/>
      <c r="YY71" s="106"/>
      <c r="YZ71" s="106"/>
      <c r="ZA71" s="106"/>
      <c r="ZB71" s="106"/>
      <c r="ZC71" s="106"/>
      <c r="ZD71" s="106"/>
      <c r="ZE71" s="106"/>
      <c r="ZF71" s="106"/>
      <c r="ZG71" s="106"/>
      <c r="ZH71" s="106"/>
      <c r="ZI71" s="106"/>
      <c r="ZJ71" s="106"/>
      <c r="ZK71" s="106"/>
      <c r="ZL71" s="106"/>
      <c r="ZM71" s="106"/>
      <c r="ZN71" s="106"/>
      <c r="ZO71" s="106"/>
      <c r="ZP71" s="106"/>
      <c r="ZQ71" s="106"/>
      <c r="ZR71" s="106"/>
      <c r="ZS71" s="106"/>
      <c r="ZT71" s="106"/>
      <c r="ZU71" s="106"/>
      <c r="ZV71" s="106"/>
      <c r="ZW71" s="106"/>
      <c r="ZX71" s="106"/>
      <c r="ZY71" s="106"/>
      <c r="ZZ71" s="106"/>
      <c r="AAA71" s="106"/>
      <c r="AAB71" s="106"/>
      <c r="AAC71" s="106"/>
      <c r="AAD71" s="106"/>
      <c r="AAE71" s="106"/>
      <c r="AAF71" s="106"/>
      <c r="AAG71" s="106"/>
      <c r="AAH71" s="106"/>
      <c r="AAI71" s="106"/>
      <c r="AAJ71" s="106"/>
      <c r="AAK71" s="106"/>
      <c r="AAL71" s="106"/>
      <c r="AAM71" s="106"/>
      <c r="AAN71" s="106"/>
      <c r="AAO71" s="106"/>
      <c r="AAP71" s="106"/>
      <c r="AAQ71" s="106"/>
      <c r="AAR71" s="106"/>
      <c r="AAS71" s="106"/>
      <c r="AAT71" s="106"/>
      <c r="AAU71" s="106"/>
      <c r="AAV71" s="106"/>
      <c r="AAW71" s="106"/>
      <c r="AAX71" s="106"/>
      <c r="AAY71" s="106"/>
      <c r="AAZ71" s="106"/>
      <c r="ABA71" s="106"/>
      <c r="ABB71" s="106"/>
      <c r="ABC71" s="106"/>
      <c r="ABD71" s="106"/>
      <c r="ABE71" s="106"/>
      <c r="ABF71" s="106"/>
      <c r="ABG71" s="106"/>
      <c r="ABH71" s="106"/>
      <c r="ABI71" s="106"/>
      <c r="ABJ71" s="106"/>
      <c r="ABK71" s="106"/>
      <c r="ABL71" s="106"/>
      <c r="ABM71" s="106"/>
      <c r="ABN71" s="106"/>
      <c r="ABO71" s="106"/>
      <c r="ABP71" s="106"/>
      <c r="ABQ71" s="106"/>
      <c r="ABR71" s="106"/>
      <c r="ABS71" s="106"/>
      <c r="ABT71" s="106"/>
      <c r="ABU71" s="106"/>
      <c r="ABV71" s="106"/>
      <c r="ABW71" s="106"/>
      <c r="ABX71" s="106"/>
      <c r="ABY71" s="106"/>
      <c r="ABZ71" s="106"/>
      <c r="ACA71" s="106"/>
      <c r="ACB71" s="106"/>
      <c r="ACC71" s="106"/>
      <c r="ACD71" s="106"/>
      <c r="ACE71" s="106"/>
      <c r="ACF71" s="106"/>
      <c r="ACG71" s="106"/>
      <c r="ACH71" s="106"/>
      <c r="ACI71" s="106"/>
      <c r="ACJ71" s="106"/>
      <c r="ACK71" s="106"/>
      <c r="ACL71" s="106"/>
      <c r="ACM71" s="106"/>
      <c r="ACN71" s="106"/>
      <c r="ACO71" s="106"/>
      <c r="ACP71" s="106"/>
      <c r="ACQ71" s="106"/>
      <c r="ACR71" s="106"/>
      <c r="ACS71" s="106"/>
      <c r="ACT71" s="106"/>
      <c r="ACU71" s="106"/>
      <c r="ACV71" s="106"/>
      <c r="ACW71" s="106"/>
      <c r="ACX71" s="106"/>
      <c r="ACY71" s="106"/>
      <c r="ACZ71" s="106"/>
      <c r="ADA71" s="106"/>
      <c r="ADB71" s="106"/>
      <c r="ADC71" s="106"/>
      <c r="ADD71" s="106"/>
      <c r="ADE71" s="106"/>
      <c r="ADF71" s="106"/>
      <c r="ADG71" s="106"/>
      <c r="ADH71" s="106"/>
      <c r="ADI71" s="106"/>
      <c r="ADJ71" s="106"/>
      <c r="ADK71" s="106"/>
      <c r="ADL71" s="106"/>
      <c r="ADM71" s="106"/>
      <c r="ADN71" s="106"/>
      <c r="ADO71" s="106"/>
      <c r="ADP71" s="106"/>
      <c r="ADQ71" s="106"/>
      <c r="ADR71" s="106"/>
      <c r="ADS71" s="106"/>
      <c r="ADT71" s="106"/>
      <c r="ADU71" s="106"/>
      <c r="ADV71" s="106"/>
      <c r="ADW71" s="106"/>
      <c r="ADX71" s="106"/>
      <c r="ADY71" s="106"/>
      <c r="ADZ71" s="106"/>
      <c r="AEA71" s="106"/>
      <c r="AEB71" s="106"/>
      <c r="AEC71" s="106"/>
      <c r="AED71" s="106"/>
      <c r="AEE71" s="106"/>
      <c r="AEF71" s="106"/>
      <c r="AEG71" s="106"/>
      <c r="AEH71" s="106"/>
      <c r="AEI71" s="106"/>
      <c r="AEJ71" s="106"/>
      <c r="AEK71" s="106"/>
      <c r="AEL71" s="106"/>
      <c r="AEM71" s="106"/>
      <c r="AEN71" s="106"/>
      <c r="AEO71" s="106"/>
      <c r="AEP71" s="106"/>
      <c r="AEQ71" s="106"/>
      <c r="AER71" s="106"/>
      <c r="AES71" s="106"/>
      <c r="AET71" s="106"/>
      <c r="AEU71" s="106"/>
      <c r="AEV71" s="106"/>
      <c r="AEW71" s="106"/>
      <c r="AEX71" s="106"/>
      <c r="AEY71" s="106"/>
      <c r="AEZ71" s="106"/>
      <c r="AFA71" s="106"/>
      <c r="AFB71" s="106"/>
      <c r="AFC71" s="106"/>
      <c r="AFD71" s="106"/>
      <c r="AFE71" s="106"/>
      <c r="AFF71" s="106"/>
      <c r="AFG71" s="106"/>
      <c r="AFH71" s="106"/>
      <c r="AFI71" s="106"/>
      <c r="AFJ71" s="106"/>
      <c r="AFK71" s="106"/>
      <c r="AFL71" s="106"/>
      <c r="AFM71" s="106"/>
      <c r="AFN71" s="106"/>
      <c r="AFO71" s="106"/>
      <c r="AFP71" s="106"/>
      <c r="AFQ71" s="106"/>
      <c r="AFR71" s="106"/>
      <c r="AFS71" s="106"/>
      <c r="AFT71" s="106"/>
      <c r="AFU71" s="106"/>
      <c r="AFV71" s="106"/>
      <c r="AFW71" s="106"/>
      <c r="AFX71" s="106"/>
      <c r="AFY71" s="106"/>
      <c r="AFZ71" s="106"/>
      <c r="AGA71" s="106"/>
      <c r="AGB71" s="106"/>
      <c r="AGC71" s="106"/>
      <c r="AGD71" s="106"/>
      <c r="AGE71" s="106"/>
      <c r="AGF71" s="106"/>
      <c r="AGG71" s="106"/>
      <c r="AGH71" s="106"/>
      <c r="AGI71" s="106"/>
      <c r="AGJ71" s="106"/>
      <c r="AGK71" s="106"/>
      <c r="AGL71" s="106"/>
      <c r="AGM71" s="106"/>
      <c r="AGN71" s="106"/>
      <c r="AGO71" s="106"/>
      <c r="AGP71" s="106"/>
      <c r="AGQ71" s="106"/>
      <c r="AGR71" s="106"/>
      <c r="AGS71" s="106"/>
      <c r="AGT71" s="106"/>
      <c r="AGU71" s="106"/>
      <c r="AGV71" s="106"/>
      <c r="AGW71" s="106"/>
      <c r="AGX71" s="106"/>
      <c r="AGY71" s="106"/>
      <c r="AGZ71" s="106"/>
      <c r="AHA71" s="106"/>
      <c r="AHB71" s="106"/>
      <c r="AHC71" s="106"/>
      <c r="AHD71" s="106"/>
      <c r="AHE71" s="106"/>
      <c r="AHF71" s="106"/>
      <c r="AHG71" s="106"/>
      <c r="AHH71" s="106"/>
      <c r="AHI71" s="106"/>
      <c r="AHJ71" s="106"/>
      <c r="AHK71" s="106"/>
      <c r="AHL71" s="106"/>
      <c r="AHM71" s="106"/>
      <c r="AHN71" s="106"/>
      <c r="AHO71" s="106"/>
      <c r="AHP71" s="106"/>
      <c r="AHQ71" s="106"/>
      <c r="AHR71" s="106"/>
      <c r="AHS71" s="106"/>
      <c r="AHT71" s="106"/>
      <c r="AHU71" s="106"/>
      <c r="AHV71" s="106"/>
      <c r="AHW71" s="106"/>
      <c r="AHX71" s="106"/>
      <c r="AHY71" s="106"/>
      <c r="AHZ71" s="106"/>
      <c r="AIA71" s="106"/>
      <c r="AIB71" s="106"/>
      <c r="AIC71" s="106"/>
      <c r="AID71" s="106"/>
      <c r="AIE71" s="106"/>
      <c r="AIF71" s="106"/>
      <c r="AIG71" s="106"/>
      <c r="AIH71" s="106"/>
      <c r="AII71" s="106"/>
      <c r="AIJ71" s="106"/>
      <c r="AIK71" s="106"/>
      <c r="AIL71" s="106"/>
      <c r="AIM71" s="106"/>
      <c r="AIN71" s="106"/>
      <c r="AIO71" s="106"/>
      <c r="AIP71" s="106"/>
      <c r="AIQ71" s="106"/>
      <c r="AIR71" s="106"/>
      <c r="AIS71" s="106"/>
      <c r="AIT71" s="106"/>
      <c r="AIU71" s="106"/>
      <c r="AIV71" s="106"/>
      <c r="AIW71" s="106"/>
      <c r="AIX71" s="106"/>
      <c r="AIY71" s="106"/>
      <c r="AIZ71" s="106"/>
      <c r="AJA71" s="106"/>
      <c r="AJB71" s="106"/>
      <c r="AJC71" s="106"/>
      <c r="AJD71" s="106"/>
      <c r="AJE71" s="106"/>
      <c r="AJF71" s="106"/>
      <c r="AJG71" s="106"/>
      <c r="AJH71" s="106"/>
      <c r="AJI71" s="106"/>
      <c r="AJJ71" s="106"/>
      <c r="AJK71" s="106"/>
      <c r="AJL71" s="106"/>
      <c r="AJM71" s="106"/>
      <c r="AJN71" s="106"/>
      <c r="AJO71" s="106"/>
      <c r="AJP71" s="106"/>
      <c r="AJQ71" s="106"/>
      <c r="AJR71" s="106"/>
      <c r="AJS71" s="106"/>
      <c r="AJT71" s="106"/>
      <c r="AJU71" s="106"/>
      <c r="AJV71" s="106"/>
      <c r="AJW71" s="106"/>
      <c r="AJX71" s="106"/>
      <c r="AJY71" s="106"/>
      <c r="AJZ71" s="106"/>
      <c r="AKA71" s="106"/>
      <c r="AKB71" s="106"/>
      <c r="AKC71" s="106"/>
      <c r="AKD71" s="106"/>
      <c r="AKE71" s="106"/>
      <c r="AKF71" s="106"/>
      <c r="AKG71" s="106"/>
      <c r="AKH71" s="106"/>
      <c r="AKI71" s="106"/>
      <c r="AKJ71" s="106"/>
      <c r="AKK71" s="106"/>
      <c r="AKL71" s="106"/>
      <c r="AKM71" s="106"/>
      <c r="AKN71" s="106"/>
      <c r="AKO71" s="106"/>
      <c r="AKP71" s="106"/>
      <c r="AKQ71" s="106"/>
    </row>
    <row r="72" spans="1:979" ht="24" customHeight="1" x14ac:dyDescent="0.25">
      <c r="A72" s="882"/>
      <c r="B72" s="563"/>
      <c r="C72" s="566" t="s">
        <v>36</v>
      </c>
      <c r="D72" s="139"/>
      <c r="E72" s="139"/>
      <c r="F72" s="468">
        <f>SUM(F71)</f>
        <v>358</v>
      </c>
      <c r="G72" s="139">
        <f t="shared" ref="G72:BK72" si="122">SUM(G71)</f>
        <v>716000</v>
      </c>
      <c r="H72" s="139">
        <f t="shared" si="122"/>
        <v>0</v>
      </c>
      <c r="I72" s="139">
        <f t="shared" si="122"/>
        <v>716000</v>
      </c>
      <c r="J72" s="139">
        <f t="shared" si="122"/>
        <v>0</v>
      </c>
      <c r="K72" s="139">
        <f t="shared" si="122"/>
        <v>0</v>
      </c>
      <c r="L72" s="139">
        <f t="shared" si="122"/>
        <v>0</v>
      </c>
      <c r="M72" s="139">
        <f t="shared" si="122"/>
        <v>0</v>
      </c>
      <c r="N72" s="139">
        <f t="shared" si="122"/>
        <v>0</v>
      </c>
      <c r="O72" s="139">
        <f t="shared" si="122"/>
        <v>0</v>
      </c>
      <c r="P72" s="139">
        <f t="shared" si="122"/>
        <v>0</v>
      </c>
      <c r="Q72" s="139">
        <f t="shared" si="122"/>
        <v>0</v>
      </c>
      <c r="R72" s="468">
        <f>SUM(R71)</f>
        <v>35.800000000000004</v>
      </c>
      <c r="S72" s="468">
        <f>SUM(S71)</f>
        <v>89.5</v>
      </c>
      <c r="T72" s="468">
        <f>SUM(T71)</f>
        <v>125.3</v>
      </c>
      <c r="U72" s="468">
        <f>SUM(U71)</f>
        <v>107.39999999999999</v>
      </c>
      <c r="V72" s="139">
        <f t="shared" si="122"/>
        <v>0</v>
      </c>
      <c r="W72" s="139">
        <f t="shared" si="122"/>
        <v>179000</v>
      </c>
      <c r="X72" s="139">
        <f t="shared" si="122"/>
        <v>250600</v>
      </c>
      <c r="Y72" s="139">
        <f t="shared" si="122"/>
        <v>214799.99999999997</v>
      </c>
      <c r="Z72" s="139">
        <f t="shared" si="122"/>
        <v>21</v>
      </c>
      <c r="AA72" s="139">
        <f t="shared" si="122"/>
        <v>42000</v>
      </c>
      <c r="AB72" s="139">
        <f t="shared" si="122"/>
        <v>20</v>
      </c>
      <c r="AC72" s="139">
        <f t="shared" si="122"/>
        <v>40000</v>
      </c>
      <c r="AD72" s="139">
        <f t="shared" si="122"/>
        <v>20</v>
      </c>
      <c r="AE72" s="139">
        <f t="shared" si="122"/>
        <v>40000</v>
      </c>
      <c r="AF72" s="139">
        <f t="shared" si="122"/>
        <v>10</v>
      </c>
      <c r="AG72" s="139">
        <f t="shared" si="122"/>
        <v>20000</v>
      </c>
      <c r="AH72" s="139">
        <f t="shared" si="122"/>
        <v>20</v>
      </c>
      <c r="AI72" s="139">
        <f t="shared" si="122"/>
        <v>40000</v>
      </c>
      <c r="AJ72" s="139">
        <f t="shared" si="122"/>
        <v>30</v>
      </c>
      <c r="AK72" s="139">
        <f t="shared" si="122"/>
        <v>60000</v>
      </c>
      <c r="AL72" s="139">
        <f t="shared" si="122"/>
        <v>10</v>
      </c>
      <c r="AM72" s="139">
        <f t="shared" si="122"/>
        <v>20000</v>
      </c>
      <c r="AN72" s="139">
        <f t="shared" si="122"/>
        <v>20</v>
      </c>
      <c r="AO72" s="139">
        <f t="shared" si="122"/>
        <v>40000</v>
      </c>
      <c r="AP72" s="139">
        <f t="shared" si="122"/>
        <v>10</v>
      </c>
      <c r="AQ72" s="139">
        <f t="shared" si="122"/>
        <v>20000</v>
      </c>
      <c r="AR72" s="139">
        <f t="shared" si="122"/>
        <v>15</v>
      </c>
      <c r="AS72" s="139">
        <f t="shared" si="122"/>
        <v>30000</v>
      </c>
      <c r="AT72" s="139">
        <f t="shared" si="122"/>
        <v>20</v>
      </c>
      <c r="AU72" s="139">
        <f t="shared" si="122"/>
        <v>40000</v>
      </c>
      <c r="AV72" s="139">
        <f t="shared" si="122"/>
        <v>20</v>
      </c>
      <c r="AW72" s="139">
        <f t="shared" si="122"/>
        <v>40000</v>
      </c>
      <c r="AX72" s="139">
        <f t="shared" si="122"/>
        <v>32</v>
      </c>
      <c r="AY72" s="139">
        <f t="shared" si="122"/>
        <v>64000</v>
      </c>
      <c r="AZ72" s="139">
        <f t="shared" si="122"/>
        <v>10</v>
      </c>
      <c r="BA72" s="139">
        <f t="shared" si="122"/>
        <v>20000</v>
      </c>
      <c r="BB72" s="139">
        <f t="shared" si="122"/>
        <v>40</v>
      </c>
      <c r="BC72" s="139">
        <f t="shared" si="122"/>
        <v>80000</v>
      </c>
      <c r="BD72" s="139">
        <f t="shared" si="122"/>
        <v>30</v>
      </c>
      <c r="BE72" s="139">
        <f t="shared" si="122"/>
        <v>60000</v>
      </c>
      <c r="BF72" s="139">
        <f t="shared" si="122"/>
        <v>30</v>
      </c>
      <c r="BG72" s="139">
        <f t="shared" si="122"/>
        <v>60000</v>
      </c>
      <c r="BH72" s="139">
        <f t="shared" si="122"/>
        <v>0</v>
      </c>
      <c r="BI72" s="139">
        <f t="shared" si="122"/>
        <v>0</v>
      </c>
      <c r="BJ72" s="139">
        <f t="shared" si="122"/>
        <v>358</v>
      </c>
      <c r="BK72" s="139">
        <f t="shared" si="122"/>
        <v>716000</v>
      </c>
      <c r="BL72" s="47"/>
      <c r="BN72" s="139">
        <f t="shared" ref="BN72:BU72" si="123">SUM(BN71)</f>
        <v>0</v>
      </c>
      <c r="BO72" s="139">
        <f t="shared" si="123"/>
        <v>0</v>
      </c>
      <c r="BP72" s="139">
        <f t="shared" si="123"/>
        <v>0</v>
      </c>
      <c r="BQ72" s="139">
        <f t="shared" si="123"/>
        <v>716000</v>
      </c>
      <c r="BR72" s="139">
        <f t="shared" si="123"/>
        <v>716000</v>
      </c>
      <c r="BS72" s="139">
        <f t="shared" si="123"/>
        <v>0</v>
      </c>
      <c r="BT72" s="139">
        <f t="shared" si="123"/>
        <v>0</v>
      </c>
      <c r="BU72" s="139">
        <f t="shared" si="123"/>
        <v>0</v>
      </c>
      <c r="BV72" s="474">
        <f t="shared" si="114"/>
        <v>716000</v>
      </c>
    </row>
    <row r="73" spans="1:979" ht="24" customHeight="1" x14ac:dyDescent="0.25">
      <c r="A73" s="882"/>
      <c r="B73" s="131"/>
      <c r="C73" s="552" t="s">
        <v>13</v>
      </c>
      <c r="D73" s="129"/>
      <c r="E73" s="71"/>
      <c r="F73" s="155">
        <f>F72+F69</f>
        <v>2545</v>
      </c>
      <c r="G73" s="71">
        <f t="shared" ref="G73:BK73" si="124">G72+G69</f>
        <v>4517750</v>
      </c>
      <c r="H73" s="71">
        <f t="shared" si="124"/>
        <v>700350</v>
      </c>
      <c r="I73" s="71">
        <f t="shared" si="124"/>
        <v>3817400</v>
      </c>
      <c r="J73" s="71">
        <f t="shared" si="124"/>
        <v>0</v>
      </c>
      <c r="K73" s="71">
        <f t="shared" si="124"/>
        <v>0</v>
      </c>
      <c r="L73" s="71">
        <f t="shared" si="124"/>
        <v>0</v>
      </c>
      <c r="M73" s="71">
        <f t="shared" si="124"/>
        <v>0</v>
      </c>
      <c r="N73" s="71">
        <f t="shared" si="124"/>
        <v>0</v>
      </c>
      <c r="O73" s="71">
        <f t="shared" si="124"/>
        <v>0</v>
      </c>
      <c r="P73" s="71">
        <f t="shared" si="124"/>
        <v>0</v>
      </c>
      <c r="Q73" s="71">
        <f t="shared" si="124"/>
        <v>0</v>
      </c>
      <c r="R73" s="155">
        <f t="shared" si="124"/>
        <v>253.90000000000003</v>
      </c>
      <c r="S73" s="155">
        <f t="shared" si="124"/>
        <v>634.75</v>
      </c>
      <c r="T73" s="155">
        <f t="shared" si="124"/>
        <v>888.64999999999986</v>
      </c>
      <c r="U73" s="155">
        <f t="shared" si="124"/>
        <v>761.69999999999993</v>
      </c>
      <c r="V73" s="71">
        <f t="shared" si="124"/>
        <v>350175.00000000006</v>
      </c>
      <c r="W73" s="71">
        <f t="shared" si="124"/>
        <v>1054437.5</v>
      </c>
      <c r="X73" s="71">
        <f t="shared" si="124"/>
        <v>1476212.4999999998</v>
      </c>
      <c r="Y73" s="71">
        <f t="shared" si="124"/>
        <v>1265325</v>
      </c>
      <c r="Z73" s="71">
        <f t="shared" si="124"/>
        <v>141</v>
      </c>
      <c r="AA73" s="71">
        <f t="shared" si="124"/>
        <v>274500</v>
      </c>
      <c r="AB73" s="71">
        <f t="shared" si="124"/>
        <v>82</v>
      </c>
      <c r="AC73" s="71">
        <f t="shared" si="124"/>
        <v>163500</v>
      </c>
      <c r="AD73" s="71">
        <f t="shared" si="124"/>
        <v>141</v>
      </c>
      <c r="AE73" s="71">
        <f t="shared" si="124"/>
        <v>322500</v>
      </c>
      <c r="AF73" s="71">
        <f t="shared" si="124"/>
        <v>140</v>
      </c>
      <c r="AG73" s="71">
        <f t="shared" si="124"/>
        <v>255000</v>
      </c>
      <c r="AH73" s="71">
        <f t="shared" si="124"/>
        <v>93</v>
      </c>
      <c r="AI73" s="71">
        <f t="shared" si="124"/>
        <v>216000</v>
      </c>
      <c r="AJ73" s="71">
        <f t="shared" si="124"/>
        <v>100</v>
      </c>
      <c r="AK73" s="71">
        <f t="shared" si="124"/>
        <v>212500</v>
      </c>
      <c r="AL73" s="71">
        <f t="shared" si="124"/>
        <v>136</v>
      </c>
      <c r="AM73" s="71">
        <f t="shared" si="124"/>
        <v>240500</v>
      </c>
      <c r="AN73" s="71">
        <f t="shared" si="124"/>
        <v>170</v>
      </c>
      <c r="AO73" s="71">
        <f t="shared" si="124"/>
        <v>280000</v>
      </c>
      <c r="AP73" s="71">
        <f t="shared" si="124"/>
        <v>57</v>
      </c>
      <c r="AQ73" s="71">
        <f t="shared" si="124"/>
        <v>135500</v>
      </c>
      <c r="AR73" s="71">
        <f t="shared" si="124"/>
        <v>112</v>
      </c>
      <c r="AS73" s="71">
        <f t="shared" si="124"/>
        <v>225500</v>
      </c>
      <c r="AT73" s="71">
        <f t="shared" si="124"/>
        <v>130</v>
      </c>
      <c r="AU73" s="71">
        <f t="shared" si="124"/>
        <v>202500</v>
      </c>
      <c r="AV73" s="71">
        <f t="shared" si="124"/>
        <v>121</v>
      </c>
      <c r="AW73" s="71">
        <f t="shared" si="124"/>
        <v>250000</v>
      </c>
      <c r="AX73" s="71">
        <f t="shared" si="124"/>
        <v>166</v>
      </c>
      <c r="AY73" s="71">
        <f t="shared" si="124"/>
        <v>313500</v>
      </c>
      <c r="AZ73" s="71">
        <f t="shared" si="124"/>
        <v>130</v>
      </c>
      <c r="BA73" s="71">
        <f t="shared" si="124"/>
        <v>218750</v>
      </c>
      <c r="BB73" s="71">
        <f t="shared" si="124"/>
        <v>116</v>
      </c>
      <c r="BC73" s="71">
        <f t="shared" si="124"/>
        <v>317500</v>
      </c>
      <c r="BD73" s="71">
        <f t="shared" si="124"/>
        <v>410</v>
      </c>
      <c r="BE73" s="71">
        <f t="shared" si="124"/>
        <v>425000</v>
      </c>
      <c r="BF73" s="71">
        <f t="shared" si="124"/>
        <v>300</v>
      </c>
      <c r="BG73" s="71">
        <f t="shared" si="124"/>
        <v>465000</v>
      </c>
      <c r="BH73" s="71">
        <f t="shared" si="124"/>
        <v>0</v>
      </c>
      <c r="BI73" s="71">
        <f t="shared" si="124"/>
        <v>0</v>
      </c>
      <c r="BJ73" s="71">
        <f t="shared" si="124"/>
        <v>2545</v>
      </c>
      <c r="BK73" s="71">
        <f t="shared" si="124"/>
        <v>4517750</v>
      </c>
      <c r="BL73" s="47"/>
      <c r="BN73" s="71">
        <f t="shared" ref="BN73:BU73" si="125">BN72+BN69</f>
        <v>0</v>
      </c>
      <c r="BO73" s="71">
        <f t="shared" si="125"/>
        <v>326250</v>
      </c>
      <c r="BP73" s="71">
        <f t="shared" si="125"/>
        <v>3175500</v>
      </c>
      <c r="BQ73" s="71">
        <f t="shared" si="125"/>
        <v>716000</v>
      </c>
      <c r="BR73" s="71">
        <f t="shared" si="125"/>
        <v>4517750</v>
      </c>
      <c r="BS73" s="71">
        <f t="shared" si="125"/>
        <v>0</v>
      </c>
      <c r="BT73" s="71">
        <f t="shared" si="125"/>
        <v>0</v>
      </c>
      <c r="BU73" s="71">
        <f t="shared" si="125"/>
        <v>0</v>
      </c>
      <c r="BV73" s="436">
        <f t="shared" si="114"/>
        <v>4517750</v>
      </c>
    </row>
    <row r="74" spans="1:979" ht="24" customHeight="1" x14ac:dyDescent="0.25">
      <c r="A74" s="882"/>
      <c r="B74" s="567"/>
      <c r="C74" s="182" t="s">
        <v>42</v>
      </c>
      <c r="D74" s="552"/>
      <c r="E74" s="552"/>
      <c r="F74" s="568">
        <f t="shared" ref="F74:BK74" si="126">F73+F62+F31+F17</f>
        <v>9507</v>
      </c>
      <c r="G74" s="552">
        <f t="shared" si="126"/>
        <v>54033600</v>
      </c>
      <c r="H74" s="552">
        <f t="shared" si="126"/>
        <v>2103520</v>
      </c>
      <c r="I74" s="552">
        <f t="shared" si="126"/>
        <v>51930080</v>
      </c>
      <c r="J74" s="552">
        <f t="shared" si="126"/>
        <v>0</v>
      </c>
      <c r="K74" s="552">
        <f t="shared" si="126"/>
        <v>0</v>
      </c>
      <c r="L74" s="552">
        <f t="shared" si="126"/>
        <v>0</v>
      </c>
      <c r="M74" s="552">
        <f t="shared" si="126"/>
        <v>0</v>
      </c>
      <c r="N74" s="552">
        <f t="shared" si="126"/>
        <v>0</v>
      </c>
      <c r="O74" s="552">
        <f t="shared" si="126"/>
        <v>0</v>
      </c>
      <c r="P74" s="552">
        <f t="shared" si="126"/>
        <v>0</v>
      </c>
      <c r="Q74" s="552">
        <f t="shared" si="126"/>
        <v>0</v>
      </c>
      <c r="R74" s="568">
        <f t="shared" si="126"/>
        <v>950.10000000000014</v>
      </c>
      <c r="S74" s="568">
        <f t="shared" si="126"/>
        <v>2375.25</v>
      </c>
      <c r="T74" s="568">
        <f t="shared" si="126"/>
        <v>3325.3499999999995</v>
      </c>
      <c r="U74" s="568">
        <f t="shared" si="126"/>
        <v>2850.3</v>
      </c>
      <c r="V74" s="552">
        <f t="shared" si="126"/>
        <v>5301760</v>
      </c>
      <c r="W74" s="552">
        <f t="shared" si="126"/>
        <v>13433400</v>
      </c>
      <c r="X74" s="552">
        <f t="shared" si="126"/>
        <v>18806760</v>
      </c>
      <c r="Y74" s="552">
        <f t="shared" si="126"/>
        <v>16120080</v>
      </c>
      <c r="Z74" s="552">
        <f t="shared" si="126"/>
        <v>493</v>
      </c>
      <c r="AA74" s="552">
        <f t="shared" si="126"/>
        <v>2159900</v>
      </c>
      <c r="AB74" s="552">
        <f t="shared" si="126"/>
        <v>311</v>
      </c>
      <c r="AC74" s="552">
        <f t="shared" si="126"/>
        <v>1941050</v>
      </c>
      <c r="AD74" s="552">
        <f t="shared" si="126"/>
        <v>490</v>
      </c>
      <c r="AE74" s="552">
        <f t="shared" si="126"/>
        <v>2205950</v>
      </c>
      <c r="AF74" s="552">
        <f t="shared" si="126"/>
        <v>1791</v>
      </c>
      <c r="AG74" s="552">
        <f t="shared" si="126"/>
        <v>3744550</v>
      </c>
      <c r="AH74" s="552">
        <f t="shared" si="126"/>
        <v>297</v>
      </c>
      <c r="AI74" s="552">
        <f t="shared" si="126"/>
        <v>1476700</v>
      </c>
      <c r="AJ74" s="552">
        <f t="shared" si="126"/>
        <v>383</v>
      </c>
      <c r="AK74" s="552">
        <f t="shared" si="126"/>
        <v>2549400</v>
      </c>
      <c r="AL74" s="552">
        <f t="shared" si="126"/>
        <v>372</v>
      </c>
      <c r="AM74" s="552">
        <f t="shared" si="126"/>
        <v>3027050</v>
      </c>
      <c r="AN74" s="552">
        <f t="shared" si="126"/>
        <v>624</v>
      </c>
      <c r="AO74" s="552">
        <f t="shared" si="126"/>
        <v>3277000</v>
      </c>
      <c r="AP74" s="552">
        <f t="shared" si="126"/>
        <v>170</v>
      </c>
      <c r="AQ74" s="552">
        <f t="shared" si="126"/>
        <v>1293850</v>
      </c>
      <c r="AR74" s="552">
        <f t="shared" si="126"/>
        <v>406</v>
      </c>
      <c r="AS74" s="552">
        <f t="shared" si="126"/>
        <v>2068100</v>
      </c>
      <c r="AT74" s="552">
        <f t="shared" si="126"/>
        <v>492</v>
      </c>
      <c r="AU74" s="552">
        <f t="shared" si="126"/>
        <v>3594000</v>
      </c>
      <c r="AV74" s="552">
        <f t="shared" si="126"/>
        <v>477</v>
      </c>
      <c r="AW74" s="552">
        <f t="shared" si="126"/>
        <v>3136150</v>
      </c>
      <c r="AX74" s="552">
        <f t="shared" si="126"/>
        <v>609</v>
      </c>
      <c r="AY74" s="552">
        <f t="shared" si="126"/>
        <v>5242050</v>
      </c>
      <c r="AZ74" s="552">
        <f t="shared" si="126"/>
        <v>558</v>
      </c>
      <c r="BA74" s="552">
        <f t="shared" si="126"/>
        <v>5155750</v>
      </c>
      <c r="BB74" s="552">
        <f t="shared" si="126"/>
        <v>382</v>
      </c>
      <c r="BC74" s="552">
        <f t="shared" si="126"/>
        <v>2175650</v>
      </c>
      <c r="BD74" s="552">
        <f t="shared" si="126"/>
        <v>932</v>
      </c>
      <c r="BE74" s="552">
        <f t="shared" si="126"/>
        <v>7011250</v>
      </c>
      <c r="BF74" s="552">
        <f t="shared" si="126"/>
        <v>660</v>
      </c>
      <c r="BG74" s="552">
        <f t="shared" si="126"/>
        <v>3855200</v>
      </c>
      <c r="BH74" s="552">
        <f t="shared" si="126"/>
        <v>60</v>
      </c>
      <c r="BI74" s="552">
        <f t="shared" si="126"/>
        <v>120000</v>
      </c>
      <c r="BJ74" s="552">
        <f t="shared" si="126"/>
        <v>9507</v>
      </c>
      <c r="BK74" s="552">
        <f t="shared" si="126"/>
        <v>54033600</v>
      </c>
      <c r="BL74" s="47"/>
      <c r="BN74" s="552">
        <f t="shared" ref="BN74:BU74" si="127">BN73+BN62+BN31+BN17</f>
        <v>0</v>
      </c>
      <c r="BO74" s="552">
        <f t="shared" si="127"/>
        <v>4853250</v>
      </c>
      <c r="BP74" s="552">
        <f t="shared" si="127"/>
        <v>5664350</v>
      </c>
      <c r="BQ74" s="552">
        <f t="shared" si="127"/>
        <v>43216000</v>
      </c>
      <c r="BR74" s="552">
        <f t="shared" si="127"/>
        <v>54033600</v>
      </c>
      <c r="BS74" s="552">
        <f t="shared" si="127"/>
        <v>0</v>
      </c>
      <c r="BT74" s="552">
        <f t="shared" si="127"/>
        <v>0</v>
      </c>
      <c r="BU74" s="552">
        <f t="shared" si="127"/>
        <v>0</v>
      </c>
      <c r="BV74" s="441">
        <f t="shared" si="114"/>
        <v>54033600</v>
      </c>
    </row>
    <row r="75" spans="1:979" ht="33.75" customHeight="1" x14ac:dyDescent="0.25">
      <c r="C75" s="39" t="s">
        <v>505</v>
      </c>
      <c r="G75" s="570"/>
      <c r="H75" s="570"/>
      <c r="I75" s="570"/>
      <c r="J75" s="570"/>
      <c r="K75" s="570"/>
      <c r="L75" s="570"/>
      <c r="M75" s="570"/>
      <c r="N75" s="570"/>
    </row>
    <row r="76" spans="1:979" ht="14.25" customHeight="1" x14ac:dyDescent="0.25">
      <c r="C76" s="39" t="s">
        <v>521</v>
      </c>
    </row>
    <row r="77" spans="1:979" ht="14.25" customHeight="1" x14ac:dyDescent="0.25">
      <c r="C77" s="39" t="s">
        <v>776</v>
      </c>
    </row>
    <row r="78" spans="1:979" ht="14.25" customHeight="1" x14ac:dyDescent="0.25">
      <c r="C78" s="39" t="s">
        <v>522</v>
      </c>
    </row>
    <row r="79" spans="1:979" ht="14.25" customHeight="1" x14ac:dyDescent="0.25">
      <c r="C79" s="39" t="s">
        <v>523</v>
      </c>
    </row>
    <row r="80" spans="1:979" ht="14.25" customHeight="1" x14ac:dyDescent="0.25">
      <c r="C80" s="39" t="s">
        <v>524</v>
      </c>
    </row>
    <row r="81" spans="3:3" ht="14.25" customHeight="1" x14ac:dyDescent="0.25">
      <c r="C81" s="39" t="s">
        <v>525</v>
      </c>
    </row>
    <row r="82" spans="3:3" ht="14.25" customHeight="1" x14ac:dyDescent="0.25">
      <c r="C82" s="39" t="s">
        <v>526</v>
      </c>
    </row>
    <row r="83" spans="3:3" ht="14.25" customHeight="1" x14ac:dyDescent="0.25">
      <c r="C83" s="39" t="s">
        <v>527</v>
      </c>
    </row>
    <row r="84" spans="3:3" ht="14.25" customHeight="1" x14ac:dyDescent="0.25">
      <c r="C84" s="39" t="s">
        <v>528</v>
      </c>
    </row>
    <row r="85" spans="3:3" ht="14.25" customHeight="1" x14ac:dyDescent="0.25">
      <c r="C85" s="39" t="s">
        <v>529</v>
      </c>
    </row>
    <row r="86" spans="3:3" ht="14.25" customHeight="1" x14ac:dyDescent="0.25">
      <c r="C86" s="39" t="s">
        <v>530</v>
      </c>
    </row>
    <row r="87" spans="3:3" ht="14.25" customHeight="1" x14ac:dyDescent="0.25">
      <c r="C87" s="39" t="s">
        <v>531</v>
      </c>
    </row>
    <row r="88" spans="3:3" ht="14.25" customHeight="1" x14ac:dyDescent="0.25">
      <c r="C88" s="39" t="s">
        <v>532</v>
      </c>
    </row>
    <row r="89" spans="3:3" ht="14.25" customHeight="1" x14ac:dyDescent="0.25">
      <c r="C89" s="39" t="s">
        <v>533</v>
      </c>
    </row>
    <row r="90" spans="3:3" ht="14.25" customHeight="1" x14ac:dyDescent="0.25">
      <c r="C90" s="39" t="s">
        <v>534</v>
      </c>
    </row>
  </sheetData>
  <mergeCells count="41">
    <mergeCell ref="BJ6:BK7"/>
    <mergeCell ref="A3:B3"/>
    <mergeCell ref="C3:Q3"/>
    <mergeCell ref="A4:B4"/>
    <mergeCell ref="C4:Q4"/>
    <mergeCell ref="A5:B5"/>
    <mergeCell ref="C5:Q5"/>
    <mergeCell ref="A7:A8"/>
    <mergeCell ref="B7:B8"/>
    <mergeCell ref="C7:C8"/>
    <mergeCell ref="F6:G6"/>
    <mergeCell ref="AH6:AI7"/>
    <mergeCell ref="H6:Q6"/>
    <mergeCell ref="AV6:AW7"/>
    <mergeCell ref="AX6:AY7"/>
    <mergeCell ref="A1:B1"/>
    <mergeCell ref="C1:Q1"/>
    <mergeCell ref="A2:B2"/>
    <mergeCell ref="C2:Q2"/>
    <mergeCell ref="BH6:BI7"/>
    <mergeCell ref="AT6:AU7"/>
    <mergeCell ref="AZ6:BA7"/>
    <mergeCell ref="BB6:BC7"/>
    <mergeCell ref="BD6:BE7"/>
    <mergeCell ref="BF6:BG7"/>
    <mergeCell ref="A9:A74"/>
    <mergeCell ref="BN7:BR7"/>
    <mergeCell ref="BS7:BU7"/>
    <mergeCell ref="BV7:BV8"/>
    <mergeCell ref="R6:U7"/>
    <mergeCell ref="V6:Y7"/>
    <mergeCell ref="Z6:AA7"/>
    <mergeCell ref="AB6:AC7"/>
    <mergeCell ref="AD6:AE7"/>
    <mergeCell ref="AF6:AG7"/>
    <mergeCell ref="AR6:AS7"/>
    <mergeCell ref="AN6:AO7"/>
    <mergeCell ref="AJ6:AK7"/>
    <mergeCell ref="BL7:BL9"/>
    <mergeCell ref="AL6:AM7"/>
    <mergeCell ref="AP6:AQ7"/>
  </mergeCells>
  <pageMargins left="0.31" right="0.17" top="0.56000000000000005" bottom="0.41" header="0.3" footer="0.3"/>
  <pageSetup paperSize="9" scale="1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CE147"/>
  <sheetViews>
    <sheetView zoomScale="55" zoomScaleNormal="55" workbookViewId="0">
      <pane xSplit="8" ySplit="10" topLeftCell="I122" activePane="bottomRight" state="frozen"/>
      <selection pane="topRight" activeCell="I1" sqref="I1"/>
      <selection pane="bottomLeft" activeCell="A11" sqref="A11"/>
      <selection pane="bottomRight" activeCell="BL135" sqref="BL135"/>
    </sheetView>
  </sheetViews>
  <sheetFormatPr defaultColWidth="9.140625" defaultRowHeight="15.75" x14ac:dyDescent="0.25"/>
  <cols>
    <col min="1" max="1" width="7.140625" style="32" hidden="1" customWidth="1"/>
    <col min="2" max="2" width="6.28515625" style="32" hidden="1" customWidth="1"/>
    <col min="3" max="3" width="14.140625" style="32" hidden="1" customWidth="1"/>
    <col min="4" max="4" width="36" style="32" customWidth="1"/>
    <col min="5" max="5" width="11.85546875" style="32" customWidth="1"/>
    <col min="6" max="6" width="17" style="32" customWidth="1"/>
    <col min="7" max="7" width="9.140625" style="95" customWidth="1"/>
    <col min="8" max="8" width="20" style="95" customWidth="1"/>
    <col min="9" max="9" width="17.85546875" style="95" customWidth="1"/>
    <col min="10" max="10" width="18.140625" style="95" customWidth="1"/>
    <col min="11" max="11" width="14.7109375" style="95" bestFit="1" customWidth="1"/>
    <col min="12" max="12" width="13.5703125" style="95" customWidth="1"/>
    <col min="13" max="14" width="17.85546875" style="95" customWidth="1"/>
    <col min="15" max="15" width="5.85546875" style="95" customWidth="1"/>
    <col min="16" max="16" width="4.85546875" style="95" customWidth="1"/>
    <col min="17" max="17" width="16.5703125" style="95" customWidth="1"/>
    <col min="18" max="18" width="19.140625" style="95" customWidth="1"/>
    <col min="19" max="19" width="10.5703125" style="101" hidden="1" customWidth="1"/>
    <col min="20" max="20" width="10.85546875" style="101" hidden="1" customWidth="1"/>
    <col min="21" max="21" width="11.42578125" style="101" hidden="1" customWidth="1"/>
    <col min="22" max="22" width="8.5703125" style="101" hidden="1" customWidth="1"/>
    <col min="23" max="23" width="17.28515625" style="102" hidden="1" customWidth="1"/>
    <col min="24" max="24" width="16.140625" style="102" hidden="1" customWidth="1"/>
    <col min="25" max="25" width="16" style="102" hidden="1" customWidth="1"/>
    <col min="26" max="26" width="18.140625" style="102" hidden="1" customWidth="1"/>
    <col min="27" max="27" width="8.42578125" style="95" hidden="1" customWidth="1"/>
    <col min="28" max="28" width="15.5703125" style="95" hidden="1" customWidth="1"/>
    <col min="29" max="29" width="8.28515625" style="95" hidden="1" customWidth="1"/>
    <col min="30" max="30" width="15.42578125" style="95" hidden="1" customWidth="1"/>
    <col min="31" max="31" width="8.5703125" style="95" hidden="1" customWidth="1"/>
    <col min="32" max="32" width="14.85546875" style="95" hidden="1" customWidth="1"/>
    <col min="33" max="33" width="9.85546875" style="95" hidden="1" customWidth="1"/>
    <col min="34" max="34" width="19.140625" style="95" hidden="1" customWidth="1"/>
    <col min="35" max="35" width="10" style="95" hidden="1" customWidth="1"/>
    <col min="36" max="36" width="17.7109375" style="95" hidden="1" customWidth="1"/>
    <col min="37" max="37" width="9" style="95" hidden="1" customWidth="1"/>
    <col min="38" max="38" width="18" style="95" hidden="1" customWidth="1"/>
    <col min="39" max="39" width="6.28515625" style="95" hidden="1" customWidth="1"/>
    <col min="40" max="40" width="16" style="95" hidden="1" customWidth="1"/>
    <col min="41" max="41" width="6.85546875" style="95" hidden="1" customWidth="1"/>
    <col min="42" max="42" width="16.7109375" style="95" hidden="1" customWidth="1"/>
    <col min="43" max="43" width="7.7109375" style="95" hidden="1" customWidth="1"/>
    <col min="44" max="44" width="13.7109375" style="95" hidden="1" customWidth="1"/>
    <col min="45" max="45" width="7.85546875" style="95" hidden="1" customWidth="1"/>
    <col min="46" max="46" width="18.5703125" style="95" hidden="1" customWidth="1"/>
    <col min="47" max="47" width="9.42578125" style="95" hidden="1" customWidth="1"/>
    <col min="48" max="48" width="14.85546875" style="95" hidden="1" customWidth="1"/>
    <col min="49" max="49" width="11.7109375" style="95" hidden="1" customWidth="1"/>
    <col min="50" max="50" width="16.140625" style="95" hidden="1" customWidth="1"/>
    <col min="51" max="51" width="10.85546875" style="195" hidden="1" customWidth="1"/>
    <col min="52" max="52" width="16.5703125" style="95" hidden="1" customWidth="1"/>
    <col min="53" max="53" width="11.140625" style="95" hidden="1" customWidth="1"/>
    <col min="54" max="54" width="14.7109375" style="95" hidden="1" customWidth="1"/>
    <col min="55" max="55" width="12.7109375" style="95" hidden="1" customWidth="1"/>
    <col min="56" max="56" width="16.5703125" style="95" hidden="1" customWidth="1"/>
    <col min="57" max="57" width="10.42578125" style="195" hidden="1" customWidth="1"/>
    <col min="58" max="58" width="16.5703125" style="95" hidden="1" customWidth="1"/>
    <col min="59" max="59" width="13" style="95" hidden="1" customWidth="1"/>
    <col min="60" max="60" width="17.28515625" style="95" hidden="1" customWidth="1"/>
    <col min="61" max="61" width="7.140625" style="95" hidden="1" customWidth="1"/>
    <col min="62" max="62" width="15.7109375" style="95" hidden="1" customWidth="1"/>
    <col min="63" max="63" width="12" style="95" hidden="1" customWidth="1"/>
    <col min="64" max="64" width="18.140625" style="95" customWidth="1"/>
    <col min="65" max="65" width="35.140625" style="303" customWidth="1"/>
    <col min="66" max="66" width="18.5703125" style="32" customWidth="1"/>
    <col min="67" max="67" width="18.7109375" style="32" customWidth="1"/>
    <col min="68" max="68" width="18.5703125" style="32" customWidth="1"/>
    <col min="69" max="69" width="19.42578125" style="32" customWidth="1"/>
    <col min="70" max="70" width="11.5703125" style="32" customWidth="1"/>
    <col min="71" max="71" width="18.140625" style="32" bestFit="1" customWidth="1"/>
    <col min="72" max="73" width="9.140625" style="32" customWidth="1"/>
    <col min="74" max="74" width="16.7109375" style="32" customWidth="1"/>
    <col min="75" max="75" width="19" style="32" customWidth="1"/>
    <col min="76" max="16384" width="9.140625" style="32"/>
  </cols>
  <sheetData>
    <row r="1" spans="1:75" ht="12.75" hidden="1" customHeight="1" x14ac:dyDescent="0.25">
      <c r="A1" s="904"/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5"/>
      <c r="AY1" s="95"/>
      <c r="BE1" s="95"/>
    </row>
    <row r="2" spans="1:75" ht="13.5" hidden="1" customHeight="1" x14ac:dyDescent="0.25">
      <c r="A2" s="906" t="s">
        <v>407</v>
      </c>
      <c r="B2" s="906"/>
      <c r="C2" s="906"/>
      <c r="D2" s="907" t="s">
        <v>401</v>
      </c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8"/>
      <c r="S2" s="90"/>
      <c r="T2" s="90"/>
      <c r="U2" s="90"/>
      <c r="V2" s="90"/>
      <c r="W2" s="96"/>
      <c r="X2" s="96"/>
      <c r="Y2" s="96"/>
      <c r="Z2" s="96"/>
      <c r="AY2" s="95"/>
      <c r="BE2" s="95"/>
    </row>
    <row r="3" spans="1:75" ht="13.5" hidden="1" customHeight="1" x14ac:dyDescent="0.25">
      <c r="A3" s="906" t="s">
        <v>403</v>
      </c>
      <c r="B3" s="906"/>
      <c r="C3" s="906"/>
      <c r="D3" s="907" t="s">
        <v>402</v>
      </c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907"/>
      <c r="R3" s="908"/>
      <c r="S3" s="90"/>
      <c r="T3" s="90"/>
      <c r="U3" s="90"/>
      <c r="V3" s="90"/>
      <c r="W3" s="96"/>
      <c r="X3" s="96"/>
      <c r="Y3" s="96"/>
      <c r="Z3" s="96"/>
      <c r="AA3" s="95" t="s">
        <v>781</v>
      </c>
      <c r="AB3" s="95">
        <v>8.34</v>
      </c>
      <c r="AD3" s="95">
        <v>2.85</v>
      </c>
      <c r="AF3" s="95">
        <v>8.3800000000000008</v>
      </c>
      <c r="AH3" s="95">
        <v>7.49</v>
      </c>
      <c r="AJ3" s="95">
        <v>3.33</v>
      </c>
      <c r="AL3" s="95">
        <v>6.64</v>
      </c>
      <c r="AN3" s="95">
        <v>3.67</v>
      </c>
      <c r="AP3" s="95">
        <v>5.0599999999999996</v>
      </c>
      <c r="AR3" s="95">
        <v>5.94</v>
      </c>
      <c r="AT3" s="95">
        <v>6.85</v>
      </c>
      <c r="AV3" s="95">
        <v>7.45</v>
      </c>
      <c r="AX3" s="95">
        <v>5.13</v>
      </c>
      <c r="AY3" s="95"/>
      <c r="AZ3" s="95">
        <v>4.8600000000000003</v>
      </c>
      <c r="BB3" s="95">
        <v>5.79</v>
      </c>
      <c r="BD3" s="95">
        <v>5.3</v>
      </c>
      <c r="BE3" s="95"/>
      <c r="BF3" s="95">
        <v>3.47</v>
      </c>
      <c r="BH3" s="95">
        <v>9.42</v>
      </c>
    </row>
    <row r="4" spans="1:75" ht="15" hidden="1" customHeight="1" x14ac:dyDescent="0.25">
      <c r="A4" s="906" t="s">
        <v>404</v>
      </c>
      <c r="B4" s="906"/>
      <c r="C4" s="906"/>
      <c r="D4" s="907" t="s">
        <v>746</v>
      </c>
      <c r="E4" s="907"/>
      <c r="F4" s="907"/>
      <c r="G4" s="907"/>
      <c r="H4" s="907"/>
      <c r="I4" s="907"/>
      <c r="J4" s="907"/>
      <c r="K4" s="907"/>
      <c r="L4" s="907"/>
      <c r="M4" s="907"/>
      <c r="N4" s="907"/>
      <c r="O4" s="907"/>
      <c r="P4" s="907"/>
      <c r="Q4" s="907"/>
      <c r="R4" s="908"/>
      <c r="S4" s="90"/>
      <c r="T4" s="90"/>
      <c r="U4" s="90"/>
      <c r="V4" s="90"/>
      <c r="W4" s="96"/>
      <c r="X4" s="96"/>
      <c r="Y4" s="96"/>
      <c r="Z4" s="96"/>
      <c r="AA4" s="95" t="s">
        <v>779</v>
      </c>
      <c r="AB4" s="95">
        <v>48</v>
      </c>
      <c r="AD4" s="95">
        <v>23</v>
      </c>
      <c r="AF4" s="95">
        <v>80</v>
      </c>
      <c r="AH4" s="95">
        <v>105</v>
      </c>
      <c r="AJ4" s="95">
        <v>43</v>
      </c>
      <c r="AL4" s="95">
        <v>75</v>
      </c>
      <c r="AN4" s="95">
        <v>41</v>
      </c>
      <c r="AP4" s="95">
        <v>101</v>
      </c>
      <c r="AR4" s="95">
        <v>8</v>
      </c>
      <c r="AT4" s="95">
        <v>33</v>
      </c>
      <c r="AV4" s="95">
        <v>53</v>
      </c>
      <c r="AX4" s="95">
        <v>52</v>
      </c>
      <c r="AY4" s="95"/>
      <c r="AZ4" s="95">
        <v>76</v>
      </c>
      <c r="BB4" s="95">
        <v>82</v>
      </c>
      <c r="BD4" s="95">
        <v>104</v>
      </c>
      <c r="BE4" s="95"/>
      <c r="BF4" s="95">
        <v>147</v>
      </c>
      <c r="BH4" s="95">
        <v>54</v>
      </c>
    </row>
    <row r="5" spans="1:75" ht="16.5" hidden="1" customHeight="1" x14ac:dyDescent="0.25">
      <c r="A5" s="906" t="s">
        <v>420</v>
      </c>
      <c r="B5" s="906"/>
      <c r="C5" s="906"/>
      <c r="D5" s="907" t="s">
        <v>200</v>
      </c>
      <c r="E5" s="907"/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8"/>
      <c r="S5" s="90"/>
      <c r="T5" s="90"/>
      <c r="U5" s="90"/>
      <c r="V5" s="90"/>
      <c r="W5" s="96"/>
      <c r="X5" s="96"/>
      <c r="Y5" s="96"/>
      <c r="Z5" s="96"/>
      <c r="AA5" s="95" t="s">
        <v>780</v>
      </c>
      <c r="AB5" s="194">
        <f>AB4/1125*100</f>
        <v>4.2666666666666666</v>
      </c>
      <c r="AC5" s="194">
        <f t="shared" ref="AC5:BH5" si="0">AC4/1125*100</f>
        <v>0</v>
      </c>
      <c r="AD5" s="194">
        <f t="shared" si="0"/>
        <v>2.0444444444444447</v>
      </c>
      <c r="AE5" s="194">
        <f t="shared" si="0"/>
        <v>0</v>
      </c>
      <c r="AF5" s="194">
        <f t="shared" si="0"/>
        <v>7.1111111111111107</v>
      </c>
      <c r="AG5" s="194">
        <f t="shared" si="0"/>
        <v>0</v>
      </c>
      <c r="AH5" s="194">
        <f t="shared" si="0"/>
        <v>9.3333333333333339</v>
      </c>
      <c r="AI5" s="194">
        <f t="shared" si="0"/>
        <v>0</v>
      </c>
      <c r="AJ5" s="194">
        <f t="shared" si="0"/>
        <v>3.822222222222222</v>
      </c>
      <c r="AK5" s="194">
        <f t="shared" si="0"/>
        <v>0</v>
      </c>
      <c r="AL5" s="194">
        <f t="shared" si="0"/>
        <v>6.666666666666667</v>
      </c>
      <c r="AM5" s="194">
        <f t="shared" si="0"/>
        <v>0</v>
      </c>
      <c r="AN5" s="194">
        <f t="shared" si="0"/>
        <v>3.6444444444444448</v>
      </c>
      <c r="AO5" s="194">
        <f t="shared" si="0"/>
        <v>0</v>
      </c>
      <c r="AP5" s="194">
        <f t="shared" si="0"/>
        <v>8.9777777777777779</v>
      </c>
      <c r="AQ5" s="194">
        <f t="shared" si="0"/>
        <v>0</v>
      </c>
      <c r="AR5" s="194">
        <f t="shared" si="0"/>
        <v>0.71111111111111114</v>
      </c>
      <c r="AS5" s="194">
        <f t="shared" si="0"/>
        <v>0</v>
      </c>
      <c r="AT5" s="194">
        <f t="shared" si="0"/>
        <v>2.9333333333333331</v>
      </c>
      <c r="AU5" s="194">
        <f t="shared" si="0"/>
        <v>0</v>
      </c>
      <c r="AV5" s="194">
        <f t="shared" si="0"/>
        <v>4.7111111111111112</v>
      </c>
      <c r="AW5" s="194">
        <f t="shared" si="0"/>
        <v>0</v>
      </c>
      <c r="AX5" s="194">
        <f t="shared" si="0"/>
        <v>4.6222222222222218</v>
      </c>
      <c r="AY5" s="194">
        <f t="shared" si="0"/>
        <v>0</v>
      </c>
      <c r="AZ5" s="194">
        <f t="shared" si="0"/>
        <v>6.7555555555555546</v>
      </c>
      <c r="BA5" s="194">
        <f t="shared" si="0"/>
        <v>0</v>
      </c>
      <c r="BB5" s="194">
        <f t="shared" si="0"/>
        <v>7.2888888888888896</v>
      </c>
      <c r="BC5" s="194">
        <f t="shared" si="0"/>
        <v>0</v>
      </c>
      <c r="BD5" s="194">
        <f t="shared" si="0"/>
        <v>9.2444444444444436</v>
      </c>
      <c r="BE5" s="194">
        <f t="shared" si="0"/>
        <v>0</v>
      </c>
      <c r="BF5" s="194">
        <f t="shared" si="0"/>
        <v>13.066666666666665</v>
      </c>
      <c r="BG5" s="194">
        <f t="shared" si="0"/>
        <v>0</v>
      </c>
      <c r="BH5" s="194">
        <f t="shared" si="0"/>
        <v>4.8</v>
      </c>
    </row>
    <row r="6" spans="1:75" ht="11.25" hidden="1" customHeight="1" x14ac:dyDescent="0.25">
      <c r="A6" s="906" t="s">
        <v>426</v>
      </c>
      <c r="B6" s="906"/>
      <c r="C6" s="906"/>
      <c r="D6" s="907" t="s">
        <v>427</v>
      </c>
      <c r="E6" s="907"/>
      <c r="F6" s="907"/>
      <c r="G6" s="907"/>
      <c r="H6" s="907"/>
      <c r="I6" s="907"/>
      <c r="J6" s="907"/>
      <c r="K6" s="907"/>
      <c r="L6" s="907"/>
      <c r="M6" s="907"/>
      <c r="N6" s="907"/>
      <c r="O6" s="907"/>
      <c r="P6" s="907"/>
      <c r="Q6" s="907"/>
      <c r="R6" s="908"/>
      <c r="S6" s="90"/>
      <c r="T6" s="90"/>
      <c r="U6" s="90"/>
      <c r="V6" s="90"/>
      <c r="W6" s="96"/>
      <c r="X6" s="96"/>
      <c r="Y6" s="96"/>
      <c r="Z6" s="96"/>
      <c r="AY6" s="95"/>
      <c r="BE6" s="95"/>
    </row>
    <row r="7" spans="1:75" ht="15.75" customHeight="1" x14ac:dyDescent="0.25">
      <c r="A7" s="907"/>
      <c r="B7" s="907"/>
      <c r="C7" s="907"/>
      <c r="D7" s="907"/>
      <c r="E7" s="907"/>
      <c r="F7" s="33"/>
      <c r="G7" s="914" t="s">
        <v>22</v>
      </c>
      <c r="H7" s="914"/>
      <c r="I7" s="916" t="s">
        <v>400</v>
      </c>
      <c r="J7" s="917"/>
      <c r="K7" s="917"/>
      <c r="L7" s="917"/>
      <c r="M7" s="917"/>
      <c r="N7" s="917"/>
      <c r="O7" s="917"/>
      <c r="P7" s="917"/>
      <c r="Q7" s="917"/>
      <c r="R7" s="918"/>
      <c r="S7" s="919" t="s">
        <v>67</v>
      </c>
      <c r="T7" s="919"/>
      <c r="U7" s="919"/>
      <c r="V7" s="919"/>
      <c r="W7" s="920" t="s">
        <v>6</v>
      </c>
      <c r="X7" s="920"/>
      <c r="Y7" s="920"/>
      <c r="Z7" s="920"/>
      <c r="AA7" s="912" t="s">
        <v>432</v>
      </c>
      <c r="AB7" s="912"/>
      <c r="AC7" s="912" t="s">
        <v>433</v>
      </c>
      <c r="AD7" s="912"/>
      <c r="AE7" s="912" t="s">
        <v>434</v>
      </c>
      <c r="AF7" s="912"/>
      <c r="AG7" s="912" t="s">
        <v>435</v>
      </c>
      <c r="AH7" s="912"/>
      <c r="AI7" s="912" t="s">
        <v>436</v>
      </c>
      <c r="AJ7" s="912"/>
      <c r="AK7" s="912" t="s">
        <v>437</v>
      </c>
      <c r="AL7" s="912"/>
      <c r="AM7" s="912" t="s">
        <v>438</v>
      </c>
      <c r="AN7" s="912"/>
      <c r="AO7" s="912" t="s">
        <v>439</v>
      </c>
      <c r="AP7" s="912"/>
      <c r="AQ7" s="912" t="s">
        <v>440</v>
      </c>
      <c r="AR7" s="912"/>
      <c r="AS7" s="912" t="s">
        <v>441</v>
      </c>
      <c r="AT7" s="912"/>
      <c r="AU7" s="912" t="s">
        <v>442</v>
      </c>
      <c r="AV7" s="912"/>
      <c r="AW7" s="912" t="s">
        <v>443</v>
      </c>
      <c r="AX7" s="912"/>
      <c r="AY7" s="912" t="s">
        <v>444</v>
      </c>
      <c r="AZ7" s="912"/>
      <c r="BA7" s="912" t="s">
        <v>445</v>
      </c>
      <c r="BB7" s="912"/>
      <c r="BC7" s="912" t="s">
        <v>446</v>
      </c>
      <c r="BD7" s="912"/>
      <c r="BE7" s="915" t="s">
        <v>447</v>
      </c>
      <c r="BF7" s="915"/>
      <c r="BG7" s="912" t="s">
        <v>448</v>
      </c>
      <c r="BH7" s="912"/>
      <c r="BI7" s="913" t="s">
        <v>449</v>
      </c>
      <c r="BJ7" s="913"/>
      <c r="BK7" s="922" t="s">
        <v>18</v>
      </c>
      <c r="BL7" s="922"/>
      <c r="BM7" s="207"/>
      <c r="BN7" s="926"/>
      <c r="BW7" s="114"/>
    </row>
    <row r="8" spans="1:75" s="103" customFormat="1" ht="40.5" customHeight="1" x14ac:dyDescent="0.25">
      <c r="A8" s="208" t="s">
        <v>14</v>
      </c>
      <c r="B8" s="208"/>
      <c r="C8" s="208" t="s">
        <v>1</v>
      </c>
      <c r="D8" s="923" t="s">
        <v>12</v>
      </c>
      <c r="E8" s="923" t="s">
        <v>15</v>
      </c>
      <c r="F8" s="923" t="s">
        <v>430</v>
      </c>
      <c r="G8" s="924" t="s">
        <v>20</v>
      </c>
      <c r="H8" s="924" t="s">
        <v>26</v>
      </c>
      <c r="I8" s="104" t="s">
        <v>455</v>
      </c>
      <c r="J8" s="104" t="s">
        <v>456</v>
      </c>
      <c r="K8" s="104" t="s">
        <v>457</v>
      </c>
      <c r="L8" s="104" t="s">
        <v>458</v>
      </c>
      <c r="M8" s="104" t="s">
        <v>459</v>
      </c>
      <c r="N8" s="104" t="s">
        <v>460</v>
      </c>
      <c r="O8" s="104" t="s">
        <v>461</v>
      </c>
      <c r="P8" s="104" t="s">
        <v>462</v>
      </c>
      <c r="Q8" s="104" t="s">
        <v>463</v>
      </c>
      <c r="R8" s="104" t="s">
        <v>464</v>
      </c>
      <c r="S8" s="919"/>
      <c r="T8" s="919"/>
      <c r="U8" s="919"/>
      <c r="V8" s="919"/>
      <c r="W8" s="920"/>
      <c r="X8" s="920"/>
      <c r="Y8" s="920"/>
      <c r="Z8" s="920"/>
      <c r="AA8" s="912"/>
      <c r="AB8" s="912"/>
      <c r="AC8" s="912" t="s">
        <v>49</v>
      </c>
      <c r="AD8" s="912"/>
      <c r="AE8" s="912" t="s">
        <v>50</v>
      </c>
      <c r="AF8" s="912"/>
      <c r="AG8" s="912" t="s">
        <v>51</v>
      </c>
      <c r="AH8" s="912"/>
      <c r="AI8" s="912" t="s">
        <v>52</v>
      </c>
      <c r="AJ8" s="912"/>
      <c r="AK8" s="912" t="s">
        <v>53</v>
      </c>
      <c r="AL8" s="912"/>
      <c r="AM8" s="912" t="s">
        <v>54</v>
      </c>
      <c r="AN8" s="912"/>
      <c r="AO8" s="912" t="s">
        <v>55</v>
      </c>
      <c r="AP8" s="912"/>
      <c r="AQ8" s="912" t="s">
        <v>56</v>
      </c>
      <c r="AR8" s="912"/>
      <c r="AS8" s="912" t="s">
        <v>57</v>
      </c>
      <c r="AT8" s="912"/>
      <c r="AU8" s="912" t="s">
        <v>58</v>
      </c>
      <c r="AV8" s="912"/>
      <c r="AW8" s="912" t="s">
        <v>59</v>
      </c>
      <c r="AX8" s="912"/>
      <c r="AY8" s="912" t="s">
        <v>60</v>
      </c>
      <c r="AZ8" s="912"/>
      <c r="BA8" s="912" t="s">
        <v>61</v>
      </c>
      <c r="BB8" s="912"/>
      <c r="BC8" s="912" t="s">
        <v>45</v>
      </c>
      <c r="BD8" s="912"/>
      <c r="BE8" s="915" t="s">
        <v>42</v>
      </c>
      <c r="BF8" s="915"/>
      <c r="BG8" s="912"/>
      <c r="BH8" s="912"/>
      <c r="BI8" s="913"/>
      <c r="BJ8" s="913"/>
      <c r="BK8" s="922"/>
      <c r="BL8" s="922"/>
      <c r="BM8" s="305" t="s">
        <v>496</v>
      </c>
      <c r="BN8" s="926"/>
      <c r="BO8" s="925" t="s">
        <v>494</v>
      </c>
      <c r="BP8" s="925"/>
      <c r="BQ8" s="925"/>
      <c r="BR8" s="925"/>
      <c r="BS8" s="925"/>
      <c r="BT8" s="925" t="s">
        <v>495</v>
      </c>
      <c r="BU8" s="925"/>
      <c r="BV8" s="925"/>
      <c r="BW8" s="921" t="s">
        <v>18</v>
      </c>
    </row>
    <row r="9" spans="1:75" s="103" customFormat="1" ht="43.5" customHeight="1" x14ac:dyDescent="0.25">
      <c r="A9" s="208"/>
      <c r="B9" s="208" t="s">
        <v>662</v>
      </c>
      <c r="C9" s="208" t="s">
        <v>2</v>
      </c>
      <c r="D9" s="923"/>
      <c r="E9" s="923"/>
      <c r="F9" s="923" t="s">
        <v>23</v>
      </c>
      <c r="G9" s="924" t="s">
        <v>24</v>
      </c>
      <c r="H9" s="924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91" t="s">
        <v>7</v>
      </c>
      <c r="T9" s="91" t="s">
        <v>8</v>
      </c>
      <c r="U9" s="91" t="s">
        <v>9</v>
      </c>
      <c r="V9" s="91" t="s">
        <v>10</v>
      </c>
      <c r="W9" s="97" t="s">
        <v>7</v>
      </c>
      <c r="X9" s="97" t="s">
        <v>8</v>
      </c>
      <c r="Y9" s="97" t="s">
        <v>9</v>
      </c>
      <c r="Z9" s="97" t="s">
        <v>10</v>
      </c>
      <c r="AA9" s="97" t="s">
        <v>15</v>
      </c>
      <c r="AB9" s="97" t="s">
        <v>16</v>
      </c>
      <c r="AC9" s="97" t="s">
        <v>15</v>
      </c>
      <c r="AD9" s="97" t="s">
        <v>16</v>
      </c>
      <c r="AE9" s="97" t="s">
        <v>15</v>
      </c>
      <c r="AF9" s="97" t="s">
        <v>16</v>
      </c>
      <c r="AG9" s="97" t="s">
        <v>15</v>
      </c>
      <c r="AH9" s="97" t="s">
        <v>16</v>
      </c>
      <c r="AI9" s="97" t="s">
        <v>15</v>
      </c>
      <c r="AJ9" s="97" t="s">
        <v>16</v>
      </c>
      <c r="AK9" s="97" t="s">
        <v>15</v>
      </c>
      <c r="AL9" s="97" t="s">
        <v>16</v>
      </c>
      <c r="AM9" s="97" t="s">
        <v>15</v>
      </c>
      <c r="AN9" s="97" t="s">
        <v>16</v>
      </c>
      <c r="AO9" s="97" t="s">
        <v>15</v>
      </c>
      <c r="AP9" s="97" t="s">
        <v>16</v>
      </c>
      <c r="AQ9" s="97" t="s">
        <v>15</v>
      </c>
      <c r="AR9" s="97" t="s">
        <v>16</v>
      </c>
      <c r="AS9" s="97" t="s">
        <v>15</v>
      </c>
      <c r="AT9" s="97" t="s">
        <v>16</v>
      </c>
      <c r="AU9" s="97" t="s">
        <v>15</v>
      </c>
      <c r="AV9" s="97" t="s">
        <v>16</v>
      </c>
      <c r="AW9" s="97" t="s">
        <v>15</v>
      </c>
      <c r="AX9" s="97" t="s">
        <v>16</v>
      </c>
      <c r="AY9" s="97" t="s">
        <v>15</v>
      </c>
      <c r="AZ9" s="97" t="s">
        <v>16</v>
      </c>
      <c r="BA9" s="97" t="s">
        <v>15</v>
      </c>
      <c r="BB9" s="97" t="s">
        <v>16</v>
      </c>
      <c r="BC9" s="97" t="s">
        <v>15</v>
      </c>
      <c r="BD9" s="97" t="s">
        <v>16</v>
      </c>
      <c r="BE9" s="97" t="s">
        <v>15</v>
      </c>
      <c r="BF9" s="97" t="s">
        <v>16</v>
      </c>
      <c r="BG9" s="97" t="s">
        <v>15</v>
      </c>
      <c r="BH9" s="97" t="s">
        <v>16</v>
      </c>
      <c r="BI9" s="97" t="s">
        <v>15</v>
      </c>
      <c r="BJ9" s="97" t="s">
        <v>16</v>
      </c>
      <c r="BK9" s="97" t="s">
        <v>15</v>
      </c>
      <c r="BL9" s="97" t="s">
        <v>16</v>
      </c>
      <c r="BM9" s="305"/>
      <c r="BN9" s="926"/>
      <c r="BO9" s="33" t="s">
        <v>485</v>
      </c>
      <c r="BP9" s="30" t="s">
        <v>486</v>
      </c>
      <c r="BQ9" s="30" t="s">
        <v>487</v>
      </c>
      <c r="BR9" s="301" t="s">
        <v>488</v>
      </c>
      <c r="BS9" s="30" t="s">
        <v>489</v>
      </c>
      <c r="BT9" s="30" t="s">
        <v>490</v>
      </c>
      <c r="BU9" s="30" t="s">
        <v>491</v>
      </c>
      <c r="BV9" s="30" t="s">
        <v>492</v>
      </c>
      <c r="BW9" s="921"/>
    </row>
    <row r="10" spans="1:75" ht="21" customHeight="1" x14ac:dyDescent="0.25">
      <c r="A10" s="909" t="s">
        <v>200</v>
      </c>
      <c r="B10" s="126"/>
      <c r="C10" s="31">
        <v>21000</v>
      </c>
      <c r="D10" s="34" t="s">
        <v>145</v>
      </c>
      <c r="E10" s="35"/>
      <c r="F10" s="72"/>
      <c r="G10" s="72"/>
      <c r="H10" s="73"/>
      <c r="I10" s="73"/>
      <c r="J10" s="73"/>
      <c r="K10" s="73"/>
      <c r="L10" s="73"/>
      <c r="M10" s="73"/>
      <c r="N10" s="73"/>
      <c r="O10" s="73"/>
      <c r="P10" s="68"/>
      <c r="Q10" s="68"/>
      <c r="R10" s="68"/>
      <c r="S10" s="92"/>
      <c r="T10" s="92"/>
      <c r="U10" s="98"/>
      <c r="V10" s="98"/>
      <c r="W10" s="209"/>
      <c r="X10" s="209"/>
      <c r="Y10" s="209"/>
      <c r="Z10" s="209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3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207"/>
      <c r="BO10" s="111"/>
      <c r="BP10" s="111"/>
      <c r="BQ10" s="111"/>
      <c r="BR10" s="111"/>
      <c r="BS10" s="111"/>
      <c r="BT10" s="111"/>
      <c r="BU10" s="111"/>
      <c r="BV10" s="111"/>
      <c r="BW10" s="115">
        <f t="shared" ref="BW10:BW25" si="1">BS10+BV10</f>
        <v>0</v>
      </c>
    </row>
    <row r="11" spans="1:75" ht="18" customHeight="1" x14ac:dyDescent="0.25">
      <c r="A11" s="910"/>
      <c r="B11" s="126"/>
      <c r="C11" s="31">
        <v>21100</v>
      </c>
      <c r="D11" s="31" t="s">
        <v>147</v>
      </c>
      <c r="E11" s="35"/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68"/>
      <c r="Q11" s="68"/>
      <c r="R11" s="68"/>
      <c r="S11" s="92"/>
      <c r="T11" s="92"/>
      <c r="U11" s="98"/>
      <c r="V11" s="98"/>
      <c r="W11" s="209"/>
      <c r="X11" s="209"/>
      <c r="Y11" s="209"/>
      <c r="Z11" s="209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3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207"/>
      <c r="BO11" s="111"/>
      <c r="BP11" s="111"/>
      <c r="BQ11" s="111"/>
      <c r="BR11" s="111"/>
      <c r="BS11" s="111"/>
      <c r="BT11" s="111"/>
      <c r="BU11" s="111"/>
      <c r="BV11" s="111"/>
      <c r="BW11" s="115">
        <f t="shared" si="1"/>
        <v>0</v>
      </c>
    </row>
    <row r="12" spans="1:75" ht="31.5" x14ac:dyDescent="0.25">
      <c r="A12" s="910"/>
      <c r="B12" s="126"/>
      <c r="C12" s="31"/>
      <c r="D12" s="31" t="s">
        <v>782</v>
      </c>
      <c r="E12" s="31" t="s">
        <v>120</v>
      </c>
      <c r="F12" s="160">
        <f>0.0015*100000</f>
        <v>150</v>
      </c>
      <c r="G12" s="210">
        <f>BK12</f>
        <v>3435</v>
      </c>
      <c r="H12" s="74">
        <f>G12*F12</f>
        <v>515250</v>
      </c>
      <c r="I12" s="74">
        <f>H12*0.2</f>
        <v>103050</v>
      </c>
      <c r="J12" s="74">
        <f>H12*0.8</f>
        <v>412200</v>
      </c>
      <c r="K12" s="74">
        <f>H12*0</f>
        <v>0</v>
      </c>
      <c r="L12" s="74">
        <f>H12*0</f>
        <v>0</v>
      </c>
      <c r="M12" s="74">
        <f>H12*0</f>
        <v>0</v>
      </c>
      <c r="N12" s="74">
        <f>H12*0</f>
        <v>0</v>
      </c>
      <c r="O12" s="74">
        <f>H12*0</f>
        <v>0</v>
      </c>
      <c r="P12" s="74">
        <f t="shared" ref="P12:Q14" si="2">J12*0</f>
        <v>0</v>
      </c>
      <c r="Q12" s="74">
        <f t="shared" si="2"/>
        <v>0</v>
      </c>
      <c r="R12" s="74">
        <f>H12*0</f>
        <v>0</v>
      </c>
      <c r="S12" s="93">
        <f>G12*0.25</f>
        <v>858.75</v>
      </c>
      <c r="T12" s="93">
        <f>G12*0.6</f>
        <v>2061</v>
      </c>
      <c r="U12" s="93">
        <f>G12*0.1</f>
        <v>343.5</v>
      </c>
      <c r="V12" s="93">
        <f>G12*0.05</f>
        <v>171.75</v>
      </c>
      <c r="W12" s="94">
        <f>S12*F12</f>
        <v>128812.5</v>
      </c>
      <c r="X12" s="94">
        <f>T12*F12</f>
        <v>309150</v>
      </c>
      <c r="Y12" s="94">
        <f>U12*F12</f>
        <v>51525</v>
      </c>
      <c r="Z12" s="94">
        <f>V12*F12</f>
        <v>25762.5</v>
      </c>
      <c r="AA12" s="93">
        <v>480</v>
      </c>
      <c r="AB12" s="94">
        <f>AA12*F12</f>
        <v>72000</v>
      </c>
      <c r="AC12" s="93">
        <v>140</v>
      </c>
      <c r="AD12" s="94">
        <f>AC12*F12</f>
        <v>21000</v>
      </c>
      <c r="AE12" s="93">
        <v>150</v>
      </c>
      <c r="AF12" s="94">
        <f>AE12*F12</f>
        <v>22500</v>
      </c>
      <c r="AG12" s="93">
        <v>350</v>
      </c>
      <c r="AH12" s="94">
        <f>AG12*F12</f>
        <v>52500</v>
      </c>
      <c r="AI12" s="93">
        <v>300</v>
      </c>
      <c r="AJ12" s="94">
        <f>AI12*F12</f>
        <v>45000</v>
      </c>
      <c r="AK12" s="93">
        <v>220</v>
      </c>
      <c r="AL12" s="94">
        <f>AK12*F12</f>
        <v>33000</v>
      </c>
      <c r="AM12" s="93">
        <v>120</v>
      </c>
      <c r="AN12" s="94">
        <f>AM12*F12</f>
        <v>18000</v>
      </c>
      <c r="AO12" s="93">
        <v>150</v>
      </c>
      <c r="AP12" s="94">
        <f>AO12*F12</f>
        <v>22500</v>
      </c>
      <c r="AQ12" s="93">
        <v>250</v>
      </c>
      <c r="AR12" s="94">
        <f>AQ12*F12</f>
        <v>37500</v>
      </c>
      <c r="AS12" s="93">
        <v>150</v>
      </c>
      <c r="AT12" s="94">
        <f>AS12*F12</f>
        <v>22500</v>
      </c>
      <c r="AU12" s="93">
        <v>70</v>
      </c>
      <c r="AV12" s="94">
        <f>AU12*F12</f>
        <v>10500</v>
      </c>
      <c r="AW12" s="93">
        <v>95</v>
      </c>
      <c r="AX12" s="94">
        <f>AW12*F12</f>
        <v>14250</v>
      </c>
      <c r="AY12" s="94">
        <v>120</v>
      </c>
      <c r="AZ12" s="94">
        <f>AY12*F12</f>
        <v>18000</v>
      </c>
      <c r="BA12" s="93">
        <v>200</v>
      </c>
      <c r="BB12" s="94">
        <f>BA12*F12</f>
        <v>30000</v>
      </c>
      <c r="BC12" s="93">
        <v>220</v>
      </c>
      <c r="BD12" s="94">
        <f>BC12*F12</f>
        <v>33000</v>
      </c>
      <c r="BE12" s="93">
        <v>120</v>
      </c>
      <c r="BF12" s="94">
        <f>BE12*F12</f>
        <v>18000</v>
      </c>
      <c r="BG12" s="93">
        <v>300</v>
      </c>
      <c r="BH12" s="94">
        <f>BG12*F12</f>
        <v>45000</v>
      </c>
      <c r="BI12" s="93">
        <v>0</v>
      </c>
      <c r="BJ12" s="94">
        <f>BI12*F12</f>
        <v>0</v>
      </c>
      <c r="BK12" s="93">
        <f t="shared" ref="BK12:BL28" si="3">AA12+AC12+AE12+AG12+AI12+AK12+AM12+AO12+AQ12+AS12+AU12+AW12+AY12+BA12+BC12+BE12+BG12+BI12</f>
        <v>3435</v>
      </c>
      <c r="BL12" s="94">
        <f t="shared" si="3"/>
        <v>515250</v>
      </c>
      <c r="BM12" s="306" t="s">
        <v>467</v>
      </c>
      <c r="BN12" s="681">
        <f>BJ12+BH12+BF12+BD12+BB12+AZ12+AX12+AV12+AT12+AR12+AP12+AN12+AL12+AJ12+AH12+AF12+AD12+AB12</f>
        <v>515250</v>
      </c>
      <c r="BO12" s="111"/>
      <c r="BP12" s="111">
        <f>H12</f>
        <v>515250</v>
      </c>
      <c r="BQ12" s="111"/>
      <c r="BR12" s="111"/>
      <c r="BS12" s="111">
        <f>BO12+BP12+BQ12+BR12</f>
        <v>515250</v>
      </c>
      <c r="BT12" s="111"/>
      <c r="BU12" s="111"/>
      <c r="BV12" s="111">
        <f>BT12+BU12</f>
        <v>0</v>
      </c>
      <c r="BW12" s="115">
        <f t="shared" si="1"/>
        <v>515250</v>
      </c>
    </row>
    <row r="13" spans="1:75" x14ac:dyDescent="0.25">
      <c r="A13" s="910"/>
      <c r="B13" s="126"/>
      <c r="C13" s="36"/>
      <c r="D13" s="31" t="s">
        <v>783</v>
      </c>
      <c r="E13" s="31" t="s">
        <v>120</v>
      </c>
      <c r="F13" s="160">
        <f>0.0015*100000</f>
        <v>150</v>
      </c>
      <c r="G13" s="210">
        <f t="shared" ref="G13:G76" si="4">BK13</f>
        <v>3080</v>
      </c>
      <c r="H13" s="74">
        <f>G13*F13</f>
        <v>462000</v>
      </c>
      <c r="I13" s="74">
        <f>H13*0.2</f>
        <v>92400</v>
      </c>
      <c r="J13" s="74">
        <f>H13*0.8</f>
        <v>369600</v>
      </c>
      <c r="K13" s="74">
        <f>H13*0</f>
        <v>0</v>
      </c>
      <c r="L13" s="74">
        <f>H13*0</f>
        <v>0</v>
      </c>
      <c r="M13" s="74">
        <f>H13*0</f>
        <v>0</v>
      </c>
      <c r="N13" s="74">
        <f>H13*0</f>
        <v>0</v>
      </c>
      <c r="O13" s="74">
        <f>H13*0</f>
        <v>0</v>
      </c>
      <c r="P13" s="74">
        <f t="shared" si="2"/>
        <v>0</v>
      </c>
      <c r="Q13" s="74">
        <f t="shared" si="2"/>
        <v>0</v>
      </c>
      <c r="R13" s="74">
        <f>H13*0</f>
        <v>0</v>
      </c>
      <c r="S13" s="93">
        <f>G13*0.25</f>
        <v>770</v>
      </c>
      <c r="T13" s="93">
        <f>G13*0.6</f>
        <v>1848</v>
      </c>
      <c r="U13" s="93">
        <f>G13*0.1</f>
        <v>308</v>
      </c>
      <c r="V13" s="93">
        <f>G13*0.05</f>
        <v>154</v>
      </c>
      <c r="W13" s="94">
        <f>S13*F13</f>
        <v>115500</v>
      </c>
      <c r="X13" s="94">
        <f>T13*F13</f>
        <v>277200</v>
      </c>
      <c r="Y13" s="94">
        <f>U13*F13</f>
        <v>46200</v>
      </c>
      <c r="Z13" s="94">
        <f>V13*F13</f>
        <v>23100</v>
      </c>
      <c r="AA13" s="93">
        <v>480</v>
      </c>
      <c r="AB13" s="94">
        <f t="shared" ref="AB13:AB25" si="5">AA13*F13</f>
        <v>72000</v>
      </c>
      <c r="AC13" s="93">
        <v>150</v>
      </c>
      <c r="AD13" s="94">
        <f t="shared" ref="AD13:AD27" si="6">AC13*F13</f>
        <v>22500</v>
      </c>
      <c r="AE13" s="93">
        <v>130</v>
      </c>
      <c r="AF13" s="94">
        <f t="shared" ref="AF13:AF76" si="7">AE13*F13</f>
        <v>19500</v>
      </c>
      <c r="AG13" s="93">
        <v>300</v>
      </c>
      <c r="AH13" s="94">
        <f t="shared" ref="AH13:AH76" si="8">AG13*F13</f>
        <v>45000</v>
      </c>
      <c r="AI13" s="93">
        <v>250</v>
      </c>
      <c r="AJ13" s="94">
        <f t="shared" ref="AJ13:AJ76" si="9">AI13*F13</f>
        <v>37500</v>
      </c>
      <c r="AK13" s="93">
        <v>115</v>
      </c>
      <c r="AL13" s="94">
        <f t="shared" ref="AL13:AL76" si="10">AK13*F13</f>
        <v>17250</v>
      </c>
      <c r="AM13" s="93">
        <v>120</v>
      </c>
      <c r="AN13" s="94">
        <f t="shared" ref="AN13:AN76" si="11">AM13*F13</f>
        <v>18000</v>
      </c>
      <c r="AO13" s="93">
        <v>150</v>
      </c>
      <c r="AP13" s="94">
        <f t="shared" ref="AP13:AP76" si="12">AO13*F13</f>
        <v>22500</v>
      </c>
      <c r="AQ13" s="93">
        <v>150</v>
      </c>
      <c r="AR13" s="94">
        <f t="shared" ref="AR13:AR76" si="13">AQ13*F13</f>
        <v>22500</v>
      </c>
      <c r="AS13" s="93">
        <v>150</v>
      </c>
      <c r="AT13" s="94">
        <f t="shared" ref="AT13:AT76" si="14">AS13*F13</f>
        <v>22500</v>
      </c>
      <c r="AU13" s="93">
        <v>80</v>
      </c>
      <c r="AV13" s="94">
        <f t="shared" ref="AV13:AV76" si="15">AU13*F13</f>
        <v>12000</v>
      </c>
      <c r="AW13" s="93">
        <v>110</v>
      </c>
      <c r="AX13" s="94">
        <f t="shared" ref="AX13:AX76" si="16">AW13*F13</f>
        <v>16500</v>
      </c>
      <c r="AY13" s="94">
        <v>125</v>
      </c>
      <c r="AZ13" s="94">
        <f t="shared" ref="AZ13:AZ76" si="17">AY13*F13</f>
        <v>18750</v>
      </c>
      <c r="BA13" s="93">
        <v>150</v>
      </c>
      <c r="BB13" s="94">
        <f t="shared" ref="BB13:BB76" si="18">BA13*F13</f>
        <v>22500</v>
      </c>
      <c r="BC13" s="93">
        <v>220</v>
      </c>
      <c r="BD13" s="94">
        <f t="shared" ref="BD13:BD76" si="19">BC13*F13</f>
        <v>33000</v>
      </c>
      <c r="BE13" s="93">
        <v>100</v>
      </c>
      <c r="BF13" s="94">
        <f t="shared" ref="BF13:BF76" si="20">BE13*F13</f>
        <v>15000</v>
      </c>
      <c r="BG13" s="93">
        <v>300</v>
      </c>
      <c r="BH13" s="94">
        <f t="shared" ref="BH13:BH76" si="21">BG13*F13</f>
        <v>45000</v>
      </c>
      <c r="BI13" s="93">
        <v>0</v>
      </c>
      <c r="BJ13" s="94">
        <f t="shared" ref="BJ13:BJ76" si="22">BI13*F13</f>
        <v>0</v>
      </c>
      <c r="BK13" s="93">
        <f t="shared" si="3"/>
        <v>3080</v>
      </c>
      <c r="BL13" s="94">
        <f t="shared" si="3"/>
        <v>462000</v>
      </c>
      <c r="BM13" s="306" t="s">
        <v>467</v>
      </c>
      <c r="BN13" s="681">
        <f>BJ13+BH13+BF13+BD13+BB13+AZ13+AX13+AV13+AT13+AR13+AP13+AN13+AL13+AJ13+AH13+AF13+AD13+AB13</f>
        <v>462000</v>
      </c>
      <c r="BO13" s="111"/>
      <c r="BP13" s="111">
        <f>H13</f>
        <v>462000</v>
      </c>
      <c r="BQ13" s="111"/>
      <c r="BR13" s="111"/>
      <c r="BS13" s="111">
        <f>BO13+BP13+BQ13+BR13</f>
        <v>462000</v>
      </c>
      <c r="BT13" s="111"/>
      <c r="BU13" s="111"/>
      <c r="BV13" s="111">
        <f>BT13+BU13</f>
        <v>0</v>
      </c>
      <c r="BW13" s="115">
        <f t="shared" si="1"/>
        <v>462000</v>
      </c>
    </row>
    <row r="14" spans="1:75" x14ac:dyDescent="0.25">
      <c r="A14" s="910"/>
      <c r="B14" s="126"/>
      <c r="C14" s="36"/>
      <c r="D14" s="31" t="s">
        <v>146</v>
      </c>
      <c r="E14" s="31" t="s">
        <v>120</v>
      </c>
      <c r="F14" s="160">
        <f>0.0045*100000</f>
        <v>449.99999999999994</v>
      </c>
      <c r="G14" s="210">
        <f t="shared" si="4"/>
        <v>2265</v>
      </c>
      <c r="H14" s="74">
        <f>G14*F14</f>
        <v>1019249.9999999999</v>
      </c>
      <c r="I14" s="74">
        <f>H14*0.2</f>
        <v>203850</v>
      </c>
      <c r="J14" s="74">
        <f>H14*0.8</f>
        <v>815400</v>
      </c>
      <c r="K14" s="74">
        <f>H14*0</f>
        <v>0</v>
      </c>
      <c r="L14" s="74">
        <f>H14*0</f>
        <v>0</v>
      </c>
      <c r="M14" s="74">
        <f>H14*0</f>
        <v>0</v>
      </c>
      <c r="N14" s="74">
        <f>H14*0</f>
        <v>0</v>
      </c>
      <c r="O14" s="74">
        <f>H14*0</f>
        <v>0</v>
      </c>
      <c r="P14" s="74">
        <f t="shared" si="2"/>
        <v>0</v>
      </c>
      <c r="Q14" s="74">
        <f t="shared" si="2"/>
        <v>0</v>
      </c>
      <c r="R14" s="74">
        <f>H14*0</f>
        <v>0</v>
      </c>
      <c r="S14" s="93">
        <f>G14*0.25</f>
        <v>566.25</v>
      </c>
      <c r="T14" s="93">
        <f>G14*0.6</f>
        <v>1359</v>
      </c>
      <c r="U14" s="93">
        <f>G14*0.1</f>
        <v>226.5</v>
      </c>
      <c r="V14" s="93">
        <f>G14*0.05</f>
        <v>113.25</v>
      </c>
      <c r="W14" s="94">
        <f>S14*F14</f>
        <v>254812.49999999997</v>
      </c>
      <c r="X14" s="94">
        <f>T14*F14</f>
        <v>611549.99999999988</v>
      </c>
      <c r="Y14" s="94">
        <f>U14*F14</f>
        <v>101924.99999999999</v>
      </c>
      <c r="Z14" s="94">
        <f>V14*F14</f>
        <v>50962.499999999993</v>
      </c>
      <c r="AA14" s="89">
        <v>500</v>
      </c>
      <c r="AB14" s="94">
        <f t="shared" si="5"/>
        <v>224999.99999999997</v>
      </c>
      <c r="AC14" s="89">
        <v>80</v>
      </c>
      <c r="AD14" s="94">
        <f t="shared" si="6"/>
        <v>35999.999999999993</v>
      </c>
      <c r="AE14" s="89">
        <v>55</v>
      </c>
      <c r="AF14" s="94">
        <f t="shared" si="7"/>
        <v>24749.999999999996</v>
      </c>
      <c r="AG14" s="89">
        <v>250</v>
      </c>
      <c r="AH14" s="94">
        <f t="shared" si="8"/>
        <v>112499.99999999999</v>
      </c>
      <c r="AI14" s="89">
        <v>100</v>
      </c>
      <c r="AJ14" s="94">
        <f t="shared" si="9"/>
        <v>44999.999999999993</v>
      </c>
      <c r="AK14" s="89">
        <v>120</v>
      </c>
      <c r="AL14" s="94">
        <f t="shared" si="10"/>
        <v>53999.999999999993</v>
      </c>
      <c r="AM14" s="89">
        <v>90</v>
      </c>
      <c r="AN14" s="94">
        <f t="shared" si="11"/>
        <v>40499.999999999993</v>
      </c>
      <c r="AO14" s="89">
        <v>60</v>
      </c>
      <c r="AP14" s="94">
        <f t="shared" si="12"/>
        <v>26999.999999999996</v>
      </c>
      <c r="AQ14" s="89">
        <v>150</v>
      </c>
      <c r="AR14" s="94">
        <f t="shared" si="13"/>
        <v>67499.999999999985</v>
      </c>
      <c r="AS14" s="89">
        <v>150</v>
      </c>
      <c r="AT14" s="94">
        <f t="shared" si="14"/>
        <v>67499.999999999985</v>
      </c>
      <c r="AU14" s="89">
        <v>40</v>
      </c>
      <c r="AV14" s="94">
        <f t="shared" si="15"/>
        <v>17999.999999999996</v>
      </c>
      <c r="AW14" s="89">
        <v>50</v>
      </c>
      <c r="AX14" s="94">
        <f t="shared" si="16"/>
        <v>22499.999999999996</v>
      </c>
      <c r="AY14" s="37">
        <v>70</v>
      </c>
      <c r="AZ14" s="94">
        <f t="shared" si="17"/>
        <v>31499.999999999996</v>
      </c>
      <c r="BA14" s="89">
        <v>140</v>
      </c>
      <c r="BB14" s="94">
        <f t="shared" si="18"/>
        <v>62999.999999999993</v>
      </c>
      <c r="BC14" s="89">
        <v>200</v>
      </c>
      <c r="BD14" s="94">
        <f t="shared" si="19"/>
        <v>89999.999999999985</v>
      </c>
      <c r="BE14" s="89">
        <v>10</v>
      </c>
      <c r="BF14" s="94">
        <f t="shared" si="20"/>
        <v>4499.9999999999991</v>
      </c>
      <c r="BG14" s="89">
        <v>200</v>
      </c>
      <c r="BH14" s="94">
        <f t="shared" si="21"/>
        <v>89999.999999999985</v>
      </c>
      <c r="BI14" s="89">
        <v>0</v>
      </c>
      <c r="BJ14" s="94">
        <f t="shared" si="22"/>
        <v>0</v>
      </c>
      <c r="BK14" s="93">
        <f t="shared" si="3"/>
        <v>2265</v>
      </c>
      <c r="BL14" s="94">
        <f t="shared" si="3"/>
        <v>1019249.9999999999</v>
      </c>
      <c r="BM14" s="306" t="s">
        <v>467</v>
      </c>
      <c r="BN14" s="681">
        <f>BJ14+BH14+BF14+BD14+BB14+AZ14+AX14+AV14+AT14+AR14+AP14+AN14+AL14+AJ14+AH14+AF14+AD14+AB14</f>
        <v>1019249.9999999999</v>
      </c>
      <c r="BO14" s="111"/>
      <c r="BP14" s="111">
        <f>H14</f>
        <v>1019249.9999999999</v>
      </c>
      <c r="BQ14" s="111"/>
      <c r="BR14" s="111"/>
      <c r="BS14" s="111">
        <f>BO14+BP14+BQ14+BR14</f>
        <v>1019249.9999999999</v>
      </c>
      <c r="BT14" s="111"/>
      <c r="BU14" s="111"/>
      <c r="BV14" s="111">
        <f>BT14+BU14</f>
        <v>0</v>
      </c>
      <c r="BW14" s="115">
        <f t="shared" si="1"/>
        <v>1019249.9999999999</v>
      </c>
    </row>
    <row r="15" spans="1:75" s="104" customFormat="1" x14ac:dyDescent="0.25">
      <c r="A15" s="910"/>
      <c r="B15" s="196"/>
      <c r="C15" s="197"/>
      <c r="D15" s="198" t="s">
        <v>3</v>
      </c>
      <c r="E15" s="198"/>
      <c r="F15" s="199"/>
      <c r="G15" s="536">
        <f>SUM(G12:G14)</f>
        <v>8780</v>
      </c>
      <c r="H15" s="199">
        <f>SUM(H12:H14)</f>
        <v>1996500</v>
      </c>
      <c r="I15" s="199">
        <f>SUM(I12:I14)</f>
        <v>399300</v>
      </c>
      <c r="J15" s="199">
        <f t="shared" ref="J15:R15" si="23">SUM(J12:J14)</f>
        <v>1597200</v>
      </c>
      <c r="K15" s="199">
        <f t="shared" si="23"/>
        <v>0</v>
      </c>
      <c r="L15" s="199">
        <f t="shared" si="23"/>
        <v>0</v>
      </c>
      <c r="M15" s="199">
        <f t="shared" si="23"/>
        <v>0</v>
      </c>
      <c r="N15" s="199">
        <f t="shared" si="23"/>
        <v>0</v>
      </c>
      <c r="O15" s="199">
        <f t="shared" si="23"/>
        <v>0</v>
      </c>
      <c r="P15" s="199">
        <f t="shared" si="23"/>
        <v>0</v>
      </c>
      <c r="Q15" s="199">
        <f t="shared" si="23"/>
        <v>0</v>
      </c>
      <c r="R15" s="199">
        <f t="shared" si="23"/>
        <v>0</v>
      </c>
      <c r="S15" s="199">
        <f t="shared" ref="S15:Z15" si="24">SUM(S12:S14)</f>
        <v>2195</v>
      </c>
      <c r="T15" s="199">
        <f t="shared" si="24"/>
        <v>5268</v>
      </c>
      <c r="U15" s="199">
        <f t="shared" si="24"/>
        <v>878</v>
      </c>
      <c r="V15" s="199">
        <f t="shared" si="24"/>
        <v>439</v>
      </c>
      <c r="W15" s="199">
        <f t="shared" si="24"/>
        <v>499125</v>
      </c>
      <c r="X15" s="199">
        <f t="shared" si="24"/>
        <v>1197900</v>
      </c>
      <c r="Y15" s="199">
        <f t="shared" si="24"/>
        <v>199650</v>
      </c>
      <c r="Z15" s="199">
        <f t="shared" si="24"/>
        <v>99825</v>
      </c>
      <c r="AA15" s="200">
        <f>SUM(AA12:AA14)</f>
        <v>1460</v>
      </c>
      <c r="AB15" s="537">
        <f>SUM(AB12:AB14)</f>
        <v>369000</v>
      </c>
      <c r="AC15" s="537">
        <f t="shared" ref="AC15:BJ15" si="25">SUM(AC12:AC14)</f>
        <v>370</v>
      </c>
      <c r="AD15" s="537">
        <f t="shared" si="25"/>
        <v>79500</v>
      </c>
      <c r="AE15" s="537">
        <f t="shared" si="25"/>
        <v>335</v>
      </c>
      <c r="AF15" s="537">
        <f t="shared" si="25"/>
        <v>66750</v>
      </c>
      <c r="AG15" s="537">
        <f t="shared" si="25"/>
        <v>900</v>
      </c>
      <c r="AH15" s="537">
        <f t="shared" si="25"/>
        <v>210000</v>
      </c>
      <c r="AI15" s="537">
        <f t="shared" si="25"/>
        <v>650</v>
      </c>
      <c r="AJ15" s="537">
        <f t="shared" si="25"/>
        <v>127500</v>
      </c>
      <c r="AK15" s="537">
        <f t="shared" si="25"/>
        <v>455</v>
      </c>
      <c r="AL15" s="537">
        <f t="shared" si="25"/>
        <v>104250</v>
      </c>
      <c r="AM15" s="537">
        <f t="shared" si="25"/>
        <v>330</v>
      </c>
      <c r="AN15" s="537">
        <f t="shared" si="25"/>
        <v>76500</v>
      </c>
      <c r="AO15" s="537">
        <f t="shared" si="25"/>
        <v>360</v>
      </c>
      <c r="AP15" s="537">
        <f t="shared" si="25"/>
        <v>72000</v>
      </c>
      <c r="AQ15" s="537">
        <f t="shared" si="25"/>
        <v>550</v>
      </c>
      <c r="AR15" s="537">
        <f t="shared" si="25"/>
        <v>127499.99999999999</v>
      </c>
      <c r="AS15" s="537">
        <f t="shared" si="25"/>
        <v>450</v>
      </c>
      <c r="AT15" s="537">
        <f t="shared" si="25"/>
        <v>112499.99999999999</v>
      </c>
      <c r="AU15" s="537">
        <f t="shared" si="25"/>
        <v>190</v>
      </c>
      <c r="AV15" s="537">
        <f t="shared" si="25"/>
        <v>40500</v>
      </c>
      <c r="AW15" s="537">
        <f t="shared" si="25"/>
        <v>255</v>
      </c>
      <c r="AX15" s="537">
        <f t="shared" si="25"/>
        <v>53250</v>
      </c>
      <c r="AY15" s="537">
        <f t="shared" si="25"/>
        <v>315</v>
      </c>
      <c r="AZ15" s="537">
        <f t="shared" si="25"/>
        <v>68250</v>
      </c>
      <c r="BA15" s="537">
        <f t="shared" si="25"/>
        <v>490</v>
      </c>
      <c r="BB15" s="537">
        <f t="shared" si="25"/>
        <v>115500</v>
      </c>
      <c r="BC15" s="537">
        <f t="shared" si="25"/>
        <v>640</v>
      </c>
      <c r="BD15" s="537">
        <f t="shared" si="25"/>
        <v>156000</v>
      </c>
      <c r="BE15" s="537">
        <f t="shared" si="25"/>
        <v>230</v>
      </c>
      <c r="BF15" s="537">
        <f t="shared" si="25"/>
        <v>37500</v>
      </c>
      <c r="BG15" s="537">
        <f t="shared" si="25"/>
        <v>800</v>
      </c>
      <c r="BH15" s="537">
        <f t="shared" si="25"/>
        <v>180000</v>
      </c>
      <c r="BI15" s="537">
        <f t="shared" si="25"/>
        <v>0</v>
      </c>
      <c r="BJ15" s="537">
        <f t="shared" si="25"/>
        <v>0</v>
      </c>
      <c r="BK15" s="537">
        <f t="shared" si="3"/>
        <v>8780</v>
      </c>
      <c r="BL15" s="537">
        <f t="shared" si="3"/>
        <v>1996500</v>
      </c>
      <c r="BM15" s="345" t="s">
        <v>898</v>
      </c>
      <c r="BN15" s="680">
        <f>BJ15+BH15+BF15+BD15+BB15+AZ15+AX15+AV15+AT15+AR15+AP15+AN15+AL15+AJ15+AH15+AF15+AD15+AB15</f>
        <v>1996500</v>
      </c>
      <c r="BO15" s="199">
        <f t="shared" ref="BO15:BV15" si="26">SUM(BO12:BO14)</f>
        <v>0</v>
      </c>
      <c r="BP15" s="199">
        <f t="shared" si="26"/>
        <v>1996500</v>
      </c>
      <c r="BQ15" s="199">
        <f t="shared" si="26"/>
        <v>0</v>
      </c>
      <c r="BR15" s="199">
        <f t="shared" si="26"/>
        <v>0</v>
      </c>
      <c r="BS15" s="199">
        <f t="shared" si="26"/>
        <v>1996500</v>
      </c>
      <c r="BT15" s="199">
        <f t="shared" si="26"/>
        <v>0</v>
      </c>
      <c r="BU15" s="199">
        <f t="shared" si="26"/>
        <v>0</v>
      </c>
      <c r="BV15" s="199">
        <f t="shared" si="26"/>
        <v>0</v>
      </c>
      <c r="BW15" s="538">
        <f t="shared" si="1"/>
        <v>1996500</v>
      </c>
    </row>
    <row r="16" spans="1:75" s="39" customFormat="1" x14ac:dyDescent="0.25">
      <c r="A16" s="910"/>
      <c r="B16" s="219"/>
      <c r="C16" s="38">
        <v>21200</v>
      </c>
      <c r="D16" s="38" t="s">
        <v>148</v>
      </c>
      <c r="E16" s="220"/>
      <c r="F16" s="221"/>
      <c r="G16" s="222">
        <f t="shared" si="4"/>
        <v>0</v>
      </c>
      <c r="H16" s="223"/>
      <c r="I16" s="223"/>
      <c r="J16" s="223"/>
      <c r="K16" s="223"/>
      <c r="L16" s="223"/>
      <c r="M16" s="223"/>
      <c r="N16" s="223"/>
      <c r="O16" s="223"/>
      <c r="P16" s="221"/>
      <c r="Q16" s="221"/>
      <c r="R16" s="221"/>
      <c r="S16" s="224"/>
      <c r="T16" s="224"/>
      <c r="U16" s="224"/>
      <c r="V16" s="224"/>
      <c r="W16" s="221"/>
      <c r="X16" s="221"/>
      <c r="Y16" s="221"/>
      <c r="Z16" s="221"/>
      <c r="AA16" s="225"/>
      <c r="AB16" s="53">
        <f t="shared" si="5"/>
        <v>0</v>
      </c>
      <c r="AC16" s="225"/>
      <c r="AD16" s="53">
        <f t="shared" si="6"/>
        <v>0</v>
      </c>
      <c r="AE16" s="225"/>
      <c r="AF16" s="53">
        <f t="shared" si="7"/>
        <v>0</v>
      </c>
      <c r="AG16" s="225"/>
      <c r="AH16" s="53">
        <f t="shared" si="8"/>
        <v>0</v>
      </c>
      <c r="AI16" s="225"/>
      <c r="AJ16" s="53">
        <f t="shared" si="9"/>
        <v>0</v>
      </c>
      <c r="AK16" s="225"/>
      <c r="AL16" s="53">
        <f t="shared" si="10"/>
        <v>0</v>
      </c>
      <c r="AM16" s="225"/>
      <c r="AN16" s="53">
        <f t="shared" si="11"/>
        <v>0</v>
      </c>
      <c r="AO16" s="225"/>
      <c r="AP16" s="53">
        <f t="shared" si="12"/>
        <v>0</v>
      </c>
      <c r="AQ16" s="225"/>
      <c r="AR16" s="53">
        <f t="shared" si="13"/>
        <v>0</v>
      </c>
      <c r="AS16" s="225"/>
      <c r="AT16" s="53">
        <f t="shared" si="14"/>
        <v>0</v>
      </c>
      <c r="AU16" s="225"/>
      <c r="AV16" s="53">
        <f t="shared" si="15"/>
        <v>0</v>
      </c>
      <c r="AW16" s="225"/>
      <c r="AX16" s="53">
        <f t="shared" si="16"/>
        <v>0</v>
      </c>
      <c r="AY16" s="221"/>
      <c r="AZ16" s="53">
        <f t="shared" si="17"/>
        <v>0</v>
      </c>
      <c r="BA16" s="225"/>
      <c r="BB16" s="53">
        <f t="shared" si="18"/>
        <v>0</v>
      </c>
      <c r="BC16" s="225"/>
      <c r="BD16" s="53">
        <f t="shared" si="19"/>
        <v>0</v>
      </c>
      <c r="BE16" s="225"/>
      <c r="BF16" s="53">
        <f t="shared" si="20"/>
        <v>0</v>
      </c>
      <c r="BG16" s="225"/>
      <c r="BH16" s="53">
        <f t="shared" si="21"/>
        <v>0</v>
      </c>
      <c r="BI16" s="225"/>
      <c r="BJ16" s="53">
        <f t="shared" si="22"/>
        <v>0</v>
      </c>
      <c r="BK16" s="224">
        <f t="shared" si="3"/>
        <v>0</v>
      </c>
      <c r="BL16" s="53">
        <f t="shared" si="3"/>
        <v>0</v>
      </c>
      <c r="BM16" s="307"/>
      <c r="BO16" s="113"/>
      <c r="BP16" s="113"/>
      <c r="BQ16" s="113"/>
      <c r="BR16" s="113"/>
      <c r="BS16" s="113"/>
      <c r="BT16" s="113"/>
      <c r="BU16" s="113"/>
      <c r="BV16" s="113"/>
      <c r="BW16" s="217">
        <f t="shared" si="1"/>
        <v>0</v>
      </c>
    </row>
    <row r="17" spans="1:75" s="39" customFormat="1" ht="21.75" customHeight="1" x14ac:dyDescent="0.25">
      <c r="A17" s="910"/>
      <c r="B17" s="219"/>
      <c r="C17" s="228"/>
      <c r="D17" s="38" t="s">
        <v>484</v>
      </c>
      <c r="E17" s="38" t="s">
        <v>150</v>
      </c>
      <c r="F17" s="229">
        <v>500000</v>
      </c>
      <c r="G17" s="222">
        <f t="shared" si="4"/>
        <v>1</v>
      </c>
      <c r="H17" s="230">
        <f>G17*F17</f>
        <v>500000</v>
      </c>
      <c r="I17" s="230">
        <f>H17*0.2</f>
        <v>100000</v>
      </c>
      <c r="J17" s="230">
        <f>H17*0.8</f>
        <v>400000</v>
      </c>
      <c r="K17" s="221"/>
      <c r="L17" s="221"/>
      <c r="M17" s="221"/>
      <c r="N17" s="221"/>
      <c r="O17" s="221"/>
      <c r="P17" s="221"/>
      <c r="Q17" s="221"/>
      <c r="R17" s="221"/>
      <c r="S17" s="225">
        <v>1</v>
      </c>
      <c r="T17" s="225">
        <v>0</v>
      </c>
      <c r="U17" s="225">
        <v>0</v>
      </c>
      <c r="V17" s="225">
        <v>0</v>
      </c>
      <c r="W17" s="94">
        <f>S17*F17</f>
        <v>500000</v>
      </c>
      <c r="X17" s="94">
        <f>T17*F17</f>
        <v>0</v>
      </c>
      <c r="Y17" s="94">
        <f>U17*F17</f>
        <v>0</v>
      </c>
      <c r="Z17" s="94">
        <f>V17*F17</f>
        <v>0</v>
      </c>
      <c r="AA17" s="225"/>
      <c r="AB17" s="53">
        <f t="shared" si="5"/>
        <v>0</v>
      </c>
      <c r="AC17" s="225"/>
      <c r="AD17" s="53">
        <f t="shared" si="6"/>
        <v>0</v>
      </c>
      <c r="AE17" s="225"/>
      <c r="AF17" s="53">
        <f t="shared" si="7"/>
        <v>0</v>
      </c>
      <c r="AG17" s="225"/>
      <c r="AH17" s="53">
        <f t="shared" si="8"/>
        <v>0</v>
      </c>
      <c r="AI17" s="225"/>
      <c r="AJ17" s="53">
        <f t="shared" si="9"/>
        <v>0</v>
      </c>
      <c r="AK17" s="225"/>
      <c r="AL17" s="53">
        <f t="shared" si="10"/>
        <v>0</v>
      </c>
      <c r="AM17" s="225"/>
      <c r="AN17" s="53">
        <f t="shared" si="11"/>
        <v>0</v>
      </c>
      <c r="AO17" s="225"/>
      <c r="AP17" s="53">
        <f t="shared" si="12"/>
        <v>0</v>
      </c>
      <c r="AQ17" s="225"/>
      <c r="AR17" s="53">
        <f t="shared" si="13"/>
        <v>0</v>
      </c>
      <c r="AS17" s="225"/>
      <c r="AT17" s="53">
        <f t="shared" si="14"/>
        <v>0</v>
      </c>
      <c r="AU17" s="225"/>
      <c r="AV17" s="53">
        <f t="shared" si="15"/>
        <v>0</v>
      </c>
      <c r="AW17" s="225"/>
      <c r="AX17" s="53">
        <f t="shared" si="16"/>
        <v>0</v>
      </c>
      <c r="AY17" s="221"/>
      <c r="AZ17" s="53">
        <f t="shared" si="17"/>
        <v>0</v>
      </c>
      <c r="BA17" s="225"/>
      <c r="BB17" s="53">
        <f t="shared" si="18"/>
        <v>0</v>
      </c>
      <c r="BC17" s="225"/>
      <c r="BD17" s="53">
        <f t="shared" si="19"/>
        <v>0</v>
      </c>
      <c r="BE17" s="225"/>
      <c r="BF17" s="53">
        <f t="shared" si="20"/>
        <v>0</v>
      </c>
      <c r="BG17" s="225"/>
      <c r="BH17" s="53">
        <f t="shared" si="21"/>
        <v>0</v>
      </c>
      <c r="BI17" s="225">
        <v>1</v>
      </c>
      <c r="BJ17" s="53">
        <f t="shared" si="22"/>
        <v>500000</v>
      </c>
      <c r="BK17" s="224">
        <f t="shared" si="3"/>
        <v>1</v>
      </c>
      <c r="BL17" s="53">
        <f t="shared" si="3"/>
        <v>500000</v>
      </c>
      <c r="BM17" s="306" t="s">
        <v>467</v>
      </c>
      <c r="BN17" s="82">
        <f>BJ17+BH17+BF17+BD17+BB17+AZ17+AX17+AV17+AT17+AR17+AP17+AN17+AL17+AJ17+AH17+AF17+AD17+AB17</f>
        <v>500000</v>
      </c>
      <c r="BO17" s="113"/>
      <c r="BP17" s="113">
        <f>H17</f>
        <v>500000</v>
      </c>
      <c r="BQ17" s="113"/>
      <c r="BR17" s="113"/>
      <c r="BS17" s="113">
        <f>BO17+BP17+BQ17+BR17</f>
        <v>500000</v>
      </c>
      <c r="BT17" s="113"/>
      <c r="BU17" s="113"/>
      <c r="BV17" s="113"/>
      <c r="BW17" s="217">
        <f t="shared" si="1"/>
        <v>500000</v>
      </c>
    </row>
    <row r="18" spans="1:75" s="39" customFormat="1" ht="31.5" x14ac:dyDescent="0.25">
      <c r="A18" s="910"/>
      <c r="B18" s="219"/>
      <c r="C18" s="228"/>
      <c r="D18" s="38" t="s">
        <v>740</v>
      </c>
      <c r="E18" s="38" t="s">
        <v>150</v>
      </c>
      <c r="F18" s="229">
        <f>15*100000</f>
        <v>1500000</v>
      </c>
      <c r="G18" s="222">
        <f t="shared" si="4"/>
        <v>1</v>
      </c>
      <c r="H18" s="230">
        <f>G18*F18</f>
        <v>1500000</v>
      </c>
      <c r="I18" s="230">
        <f>H18*0.2</f>
        <v>300000</v>
      </c>
      <c r="J18" s="230">
        <f>H18*0.8</f>
        <v>1200000</v>
      </c>
      <c r="K18" s="230">
        <f>H18*0</f>
        <v>0</v>
      </c>
      <c r="L18" s="230">
        <f>H18*0</f>
        <v>0</v>
      </c>
      <c r="M18" s="230">
        <f>H18*0</f>
        <v>0</v>
      </c>
      <c r="N18" s="230">
        <f>I18*0</f>
        <v>0</v>
      </c>
      <c r="O18" s="230">
        <f>H18*0</f>
        <v>0</v>
      </c>
      <c r="P18" s="230">
        <f>J18*0</f>
        <v>0</v>
      </c>
      <c r="Q18" s="230">
        <f>K18*0</f>
        <v>0</v>
      </c>
      <c r="R18" s="230">
        <f>H18*0</f>
        <v>0</v>
      </c>
      <c r="S18" s="225">
        <v>1</v>
      </c>
      <c r="T18" s="225">
        <v>0</v>
      </c>
      <c r="U18" s="225">
        <v>0</v>
      </c>
      <c r="V18" s="225">
        <v>0</v>
      </c>
      <c r="W18" s="94">
        <f t="shared" ref="W18:W21" si="27">S18*F18</f>
        <v>1500000</v>
      </c>
      <c r="X18" s="94">
        <f t="shared" ref="X18:X21" si="28">T18*F18</f>
        <v>0</v>
      </c>
      <c r="Y18" s="94">
        <f t="shared" ref="Y18:Y21" si="29">U18*F18</f>
        <v>0</v>
      </c>
      <c r="Z18" s="94">
        <f t="shared" ref="Z18:Z21" si="30">V18*F18</f>
        <v>0</v>
      </c>
      <c r="AA18" s="225"/>
      <c r="AB18" s="53">
        <f t="shared" si="5"/>
        <v>0</v>
      </c>
      <c r="AC18" s="225"/>
      <c r="AD18" s="53">
        <f t="shared" si="6"/>
        <v>0</v>
      </c>
      <c r="AE18" s="225"/>
      <c r="AF18" s="53">
        <f t="shared" si="7"/>
        <v>0</v>
      </c>
      <c r="AG18" s="225"/>
      <c r="AH18" s="53">
        <f t="shared" si="8"/>
        <v>0</v>
      </c>
      <c r="AI18" s="225"/>
      <c r="AJ18" s="53">
        <f t="shared" si="9"/>
        <v>0</v>
      </c>
      <c r="AK18" s="225"/>
      <c r="AL18" s="53">
        <f t="shared" si="10"/>
        <v>0</v>
      </c>
      <c r="AM18" s="225"/>
      <c r="AN18" s="53">
        <f t="shared" si="11"/>
        <v>0</v>
      </c>
      <c r="AO18" s="225"/>
      <c r="AP18" s="53">
        <f t="shared" si="12"/>
        <v>0</v>
      </c>
      <c r="AQ18" s="225"/>
      <c r="AR18" s="53">
        <f t="shared" si="13"/>
        <v>0</v>
      </c>
      <c r="AS18" s="225"/>
      <c r="AT18" s="53">
        <f t="shared" si="14"/>
        <v>0</v>
      </c>
      <c r="AU18" s="225"/>
      <c r="AV18" s="53">
        <f t="shared" si="15"/>
        <v>0</v>
      </c>
      <c r="AW18" s="225"/>
      <c r="AX18" s="53">
        <f t="shared" si="16"/>
        <v>0</v>
      </c>
      <c r="AY18" s="221"/>
      <c r="AZ18" s="53">
        <f t="shared" si="17"/>
        <v>0</v>
      </c>
      <c r="BA18" s="225"/>
      <c r="BB18" s="53">
        <f t="shared" si="18"/>
        <v>0</v>
      </c>
      <c r="BC18" s="225"/>
      <c r="BD18" s="53">
        <f t="shared" si="19"/>
        <v>0</v>
      </c>
      <c r="BE18" s="225"/>
      <c r="BF18" s="53">
        <f t="shared" si="20"/>
        <v>0</v>
      </c>
      <c r="BG18" s="225"/>
      <c r="BH18" s="53">
        <f t="shared" si="21"/>
        <v>0</v>
      </c>
      <c r="BI18" s="225">
        <v>1</v>
      </c>
      <c r="BJ18" s="53">
        <f t="shared" si="22"/>
        <v>1500000</v>
      </c>
      <c r="BK18" s="224">
        <f t="shared" si="3"/>
        <v>1</v>
      </c>
      <c r="BL18" s="53">
        <f t="shared" si="3"/>
        <v>1500000</v>
      </c>
      <c r="BM18" s="306" t="s">
        <v>467</v>
      </c>
      <c r="BN18" s="82">
        <f>BJ18+BH18+BF18+BD18+BB18+AZ18+AX18+AV18+AT18+AR18+AP18+AN18+AL18+AJ18+AH18+AF18+AD18+AB18</f>
        <v>1500000</v>
      </c>
      <c r="BO18" s="113"/>
      <c r="BP18" s="113">
        <f>H18</f>
        <v>1500000</v>
      </c>
      <c r="BQ18" s="113"/>
      <c r="BR18" s="113"/>
      <c r="BS18" s="113">
        <f>BO18+BP18+BQ18+BR18</f>
        <v>1500000</v>
      </c>
      <c r="BT18" s="113"/>
      <c r="BU18" s="113"/>
      <c r="BV18" s="113">
        <f>BT18+BU18</f>
        <v>0</v>
      </c>
      <c r="BW18" s="217">
        <f t="shared" si="1"/>
        <v>1500000</v>
      </c>
    </row>
    <row r="19" spans="1:75" s="662" customFormat="1" ht="32.25" customHeight="1" x14ac:dyDescent="0.25">
      <c r="A19" s="910"/>
      <c r="B19" s="658"/>
      <c r="C19" s="228"/>
      <c r="D19" s="205" t="s">
        <v>801</v>
      </c>
      <c r="E19" s="205" t="s">
        <v>818</v>
      </c>
      <c r="F19" s="659">
        <v>50000</v>
      </c>
      <c r="G19" s="660">
        <v>17</v>
      </c>
      <c r="H19" s="661">
        <f>BL19</f>
        <v>7950000</v>
      </c>
      <c r="I19" s="661">
        <f>H19*0.2</f>
        <v>1590000</v>
      </c>
      <c r="J19" s="661">
        <f>H19*0.8</f>
        <v>6360000</v>
      </c>
      <c r="K19" s="661"/>
      <c r="L19" s="661"/>
      <c r="M19" s="661"/>
      <c r="N19" s="661"/>
      <c r="O19" s="661"/>
      <c r="P19" s="661"/>
      <c r="Q19" s="661"/>
      <c r="R19" s="661"/>
      <c r="S19" s="224"/>
      <c r="T19" s="224">
        <f>G19*0.3</f>
        <v>5.0999999999999996</v>
      </c>
      <c r="U19" s="224">
        <f>G19*0.5</f>
        <v>8.5</v>
      </c>
      <c r="V19" s="224">
        <f>G19*0.2</f>
        <v>3.4000000000000004</v>
      </c>
      <c r="W19" s="94">
        <f t="shared" si="27"/>
        <v>0</v>
      </c>
      <c r="X19" s="94">
        <f>H19/3</f>
        <v>2650000</v>
      </c>
      <c r="Y19" s="94">
        <f>H19/3</f>
        <v>2650000</v>
      </c>
      <c r="Z19" s="94">
        <f>H19/3</f>
        <v>2650000</v>
      </c>
      <c r="AA19" s="255">
        <v>12</v>
      </c>
      <c r="AB19" s="53">
        <v>500000</v>
      </c>
      <c r="AC19" s="224">
        <v>12</v>
      </c>
      <c r="AD19" s="53">
        <v>500000</v>
      </c>
      <c r="AE19" s="224">
        <v>12</v>
      </c>
      <c r="AF19" s="53">
        <v>200000</v>
      </c>
      <c r="AG19" s="224">
        <v>12</v>
      </c>
      <c r="AH19" s="53">
        <v>500000</v>
      </c>
      <c r="AI19" s="224">
        <v>12</v>
      </c>
      <c r="AJ19" s="53">
        <v>400000</v>
      </c>
      <c r="AK19" s="224">
        <v>12</v>
      </c>
      <c r="AL19" s="53">
        <v>400000</v>
      </c>
      <c r="AM19" s="224">
        <v>12</v>
      </c>
      <c r="AN19" s="53">
        <v>500000</v>
      </c>
      <c r="AO19" s="224">
        <v>12</v>
      </c>
      <c r="AP19" s="53">
        <v>500000</v>
      </c>
      <c r="AQ19" s="224">
        <v>12</v>
      </c>
      <c r="AR19" s="53">
        <v>500000</v>
      </c>
      <c r="AS19" s="224">
        <v>12</v>
      </c>
      <c r="AT19" s="53">
        <v>300000</v>
      </c>
      <c r="AU19" s="224">
        <v>12</v>
      </c>
      <c r="AV19" s="53">
        <v>250000</v>
      </c>
      <c r="AW19" s="224">
        <v>12</v>
      </c>
      <c r="AX19" s="53">
        <v>500000</v>
      </c>
      <c r="AY19" s="53">
        <v>12</v>
      </c>
      <c r="AZ19" s="53">
        <v>400000</v>
      </c>
      <c r="BA19" s="224">
        <v>12</v>
      </c>
      <c r="BB19" s="53">
        <v>300000</v>
      </c>
      <c r="BC19" s="224">
        <v>12</v>
      </c>
      <c r="BD19" s="53">
        <f t="shared" si="19"/>
        <v>600000</v>
      </c>
      <c r="BE19" s="224">
        <v>12</v>
      </c>
      <c r="BF19" s="53">
        <v>500000</v>
      </c>
      <c r="BG19" s="224">
        <v>12</v>
      </c>
      <c r="BH19" s="688">
        <v>1100000</v>
      </c>
      <c r="BI19" s="224">
        <v>0</v>
      </c>
      <c r="BJ19" s="53">
        <v>0</v>
      </c>
      <c r="BK19" s="224">
        <f>AA19+AC19+AE19+AG19+AI19+AK19+AM19+AO19+AQ19+AS19+AU19+AW19+AY19+BA19+BC19+BE19+BG19+BI19</f>
        <v>204</v>
      </c>
      <c r="BL19" s="53">
        <f t="shared" si="3"/>
        <v>7950000</v>
      </c>
      <c r="BM19" s="306" t="s">
        <v>467</v>
      </c>
      <c r="BN19" s="682">
        <f>BJ19+BH19+BF19+BD19+BB19+AZ19+AX19+AV19+AT19+AR19+AP19+AN19+AL19+AJ19+AH19+AF19+AD19+AB19</f>
        <v>7950000</v>
      </c>
      <c r="BO19" s="663"/>
      <c r="BP19" s="663">
        <v>0</v>
      </c>
      <c r="BQ19" s="663">
        <f>H19</f>
        <v>7950000</v>
      </c>
      <c r="BR19" s="663"/>
      <c r="BS19" s="663">
        <f>BO19+BP19+BQ19+BR19</f>
        <v>7950000</v>
      </c>
      <c r="BT19" s="663"/>
      <c r="BU19" s="663"/>
      <c r="BV19" s="663"/>
      <c r="BW19" s="664">
        <f t="shared" si="1"/>
        <v>7950000</v>
      </c>
    </row>
    <row r="20" spans="1:75" s="39" customFormat="1" ht="31.5" x14ac:dyDescent="0.25">
      <c r="A20" s="910"/>
      <c r="B20" s="219"/>
      <c r="C20" s="228"/>
      <c r="D20" s="38" t="s">
        <v>149</v>
      </c>
      <c r="E20" s="38" t="s">
        <v>150</v>
      </c>
      <c r="F20" s="229">
        <f>54.5*100000+10000</f>
        <v>5460000</v>
      </c>
      <c r="G20" s="222">
        <f t="shared" si="4"/>
        <v>0</v>
      </c>
      <c r="H20" s="230">
        <f>G20*F20</f>
        <v>0</v>
      </c>
      <c r="I20" s="230">
        <f>H20*0.2</f>
        <v>0</v>
      </c>
      <c r="J20" s="230">
        <f>H20*0.8</f>
        <v>0</v>
      </c>
      <c r="K20" s="230">
        <f>H20*0</f>
        <v>0</v>
      </c>
      <c r="L20" s="230">
        <f>H20*0</f>
        <v>0</v>
      </c>
      <c r="M20" s="230">
        <f>H20*0</f>
        <v>0</v>
      </c>
      <c r="N20" s="230">
        <f>I20*0</f>
        <v>0</v>
      </c>
      <c r="O20" s="230">
        <f>H20*0</f>
        <v>0</v>
      </c>
      <c r="P20" s="230">
        <f>J20*0</f>
        <v>0</v>
      </c>
      <c r="Q20" s="230">
        <f>K20*0</f>
        <v>0</v>
      </c>
      <c r="R20" s="230">
        <f>H20*0</f>
        <v>0</v>
      </c>
      <c r="S20" s="225">
        <v>0</v>
      </c>
      <c r="T20" s="225">
        <v>0</v>
      </c>
      <c r="U20" s="225">
        <v>0</v>
      </c>
      <c r="V20" s="225">
        <v>0</v>
      </c>
      <c r="W20" s="94">
        <f t="shared" si="27"/>
        <v>0</v>
      </c>
      <c r="X20" s="94">
        <f t="shared" si="28"/>
        <v>0</v>
      </c>
      <c r="Y20" s="94">
        <f t="shared" si="29"/>
        <v>0</v>
      </c>
      <c r="Z20" s="94">
        <f t="shared" si="30"/>
        <v>0</v>
      </c>
      <c r="AA20" s="225"/>
      <c r="AB20" s="53">
        <f t="shared" si="5"/>
        <v>0</v>
      </c>
      <c r="AC20" s="225"/>
      <c r="AD20" s="53">
        <f t="shared" si="6"/>
        <v>0</v>
      </c>
      <c r="AE20" s="225"/>
      <c r="AF20" s="53">
        <f t="shared" si="7"/>
        <v>0</v>
      </c>
      <c r="AG20" s="225"/>
      <c r="AH20" s="53">
        <f t="shared" si="8"/>
        <v>0</v>
      </c>
      <c r="AI20" s="225"/>
      <c r="AJ20" s="53">
        <f t="shared" si="9"/>
        <v>0</v>
      </c>
      <c r="AK20" s="225"/>
      <c r="AL20" s="53">
        <f t="shared" si="10"/>
        <v>0</v>
      </c>
      <c r="AM20" s="225"/>
      <c r="AN20" s="53">
        <f t="shared" si="11"/>
        <v>0</v>
      </c>
      <c r="AO20" s="225"/>
      <c r="AP20" s="53">
        <f t="shared" si="12"/>
        <v>0</v>
      </c>
      <c r="AQ20" s="225"/>
      <c r="AR20" s="53">
        <f t="shared" si="13"/>
        <v>0</v>
      </c>
      <c r="AS20" s="225"/>
      <c r="AT20" s="53">
        <f t="shared" si="14"/>
        <v>0</v>
      </c>
      <c r="AU20" s="225"/>
      <c r="AV20" s="53">
        <f t="shared" si="15"/>
        <v>0</v>
      </c>
      <c r="AW20" s="225"/>
      <c r="AX20" s="53">
        <f t="shared" si="16"/>
        <v>0</v>
      </c>
      <c r="AY20" s="221"/>
      <c r="AZ20" s="53">
        <f t="shared" si="17"/>
        <v>0</v>
      </c>
      <c r="BA20" s="225"/>
      <c r="BB20" s="53">
        <f t="shared" si="18"/>
        <v>0</v>
      </c>
      <c r="BC20" s="225"/>
      <c r="BD20" s="53">
        <f t="shared" si="19"/>
        <v>0</v>
      </c>
      <c r="BE20" s="225"/>
      <c r="BF20" s="53">
        <f t="shared" si="20"/>
        <v>0</v>
      </c>
      <c r="BG20" s="225"/>
      <c r="BH20" s="53">
        <f t="shared" si="21"/>
        <v>0</v>
      </c>
      <c r="BI20" s="225">
        <v>0</v>
      </c>
      <c r="BJ20" s="53">
        <f t="shared" si="22"/>
        <v>0</v>
      </c>
      <c r="BK20" s="224">
        <f t="shared" si="3"/>
        <v>0</v>
      </c>
      <c r="BL20" s="53">
        <f t="shared" si="3"/>
        <v>0</v>
      </c>
      <c r="BM20" s="306" t="s">
        <v>467</v>
      </c>
      <c r="BN20" s="682">
        <f t="shared" ref="BN20:BN83" si="31">BJ20+BH20+BF20+BD20+BB20+AZ20+AX20+AV20+AT20+AR20+AP20+AN20+AL20+AJ20+AH20+AF20+AD20+AB20</f>
        <v>0</v>
      </c>
      <c r="BO20" s="113"/>
      <c r="BP20" s="113">
        <f>H20</f>
        <v>0</v>
      </c>
      <c r="BQ20" s="113"/>
      <c r="BR20" s="113"/>
      <c r="BS20" s="113">
        <f>BO20+BP20+BQ20+BR20</f>
        <v>0</v>
      </c>
      <c r="BT20" s="113"/>
      <c r="BU20" s="113"/>
      <c r="BV20" s="113">
        <f>BT20+BU20</f>
        <v>0</v>
      </c>
      <c r="BW20" s="217">
        <f t="shared" si="1"/>
        <v>0</v>
      </c>
    </row>
    <row r="21" spans="1:75" s="39" customFormat="1" ht="47.25" x14ac:dyDescent="0.25">
      <c r="A21" s="910"/>
      <c r="B21" s="219"/>
      <c r="C21" s="228"/>
      <c r="D21" s="38" t="s">
        <v>802</v>
      </c>
      <c r="E21" s="38" t="s">
        <v>150</v>
      </c>
      <c r="F21" s="229">
        <f>20*100000</f>
        <v>2000000</v>
      </c>
      <c r="G21" s="222">
        <f t="shared" si="4"/>
        <v>1</v>
      </c>
      <c r="H21" s="230">
        <f>G21*F21</f>
        <v>2000000</v>
      </c>
      <c r="I21" s="230">
        <f>H21*0.2</f>
        <v>400000</v>
      </c>
      <c r="J21" s="230">
        <f>H21*0.8</f>
        <v>1600000</v>
      </c>
      <c r="K21" s="230">
        <f>H21*0</f>
        <v>0</v>
      </c>
      <c r="L21" s="230">
        <f>H21*0</f>
        <v>0</v>
      </c>
      <c r="M21" s="230">
        <f>H21*0</f>
        <v>0</v>
      </c>
      <c r="N21" s="230">
        <f>I21*0</f>
        <v>0</v>
      </c>
      <c r="O21" s="230">
        <f>H21*0</f>
        <v>0</v>
      </c>
      <c r="P21" s="230">
        <f>J21*0</f>
        <v>0</v>
      </c>
      <c r="Q21" s="230">
        <f>K21*0</f>
        <v>0</v>
      </c>
      <c r="R21" s="230">
        <f>H21*0</f>
        <v>0</v>
      </c>
      <c r="S21" s="225">
        <v>1</v>
      </c>
      <c r="T21" s="225">
        <v>0</v>
      </c>
      <c r="U21" s="225"/>
      <c r="V21" s="225"/>
      <c r="W21" s="94">
        <f t="shared" si="27"/>
        <v>2000000</v>
      </c>
      <c r="X21" s="94">
        <f t="shared" si="28"/>
        <v>0</v>
      </c>
      <c r="Y21" s="94">
        <f t="shared" si="29"/>
        <v>0</v>
      </c>
      <c r="Z21" s="94">
        <f t="shared" si="30"/>
        <v>0</v>
      </c>
      <c r="AA21" s="225"/>
      <c r="AB21" s="53">
        <f t="shared" si="5"/>
        <v>0</v>
      </c>
      <c r="AC21" s="225"/>
      <c r="AD21" s="53">
        <f t="shared" si="6"/>
        <v>0</v>
      </c>
      <c r="AE21" s="225"/>
      <c r="AF21" s="53">
        <f t="shared" si="7"/>
        <v>0</v>
      </c>
      <c r="AG21" s="225"/>
      <c r="AH21" s="53">
        <f t="shared" si="8"/>
        <v>0</v>
      </c>
      <c r="AI21" s="225"/>
      <c r="AJ21" s="53">
        <f t="shared" si="9"/>
        <v>0</v>
      </c>
      <c r="AK21" s="225"/>
      <c r="AL21" s="53">
        <f t="shared" si="10"/>
        <v>0</v>
      </c>
      <c r="AM21" s="225"/>
      <c r="AN21" s="53">
        <f t="shared" si="11"/>
        <v>0</v>
      </c>
      <c r="AO21" s="225"/>
      <c r="AP21" s="53">
        <f t="shared" si="12"/>
        <v>0</v>
      </c>
      <c r="AQ21" s="225"/>
      <c r="AR21" s="53">
        <f t="shared" si="13"/>
        <v>0</v>
      </c>
      <c r="AS21" s="225"/>
      <c r="AT21" s="53">
        <f t="shared" si="14"/>
        <v>0</v>
      </c>
      <c r="AU21" s="225"/>
      <c r="AV21" s="53">
        <f t="shared" si="15"/>
        <v>0</v>
      </c>
      <c r="AW21" s="225"/>
      <c r="AX21" s="53">
        <f t="shared" si="16"/>
        <v>0</v>
      </c>
      <c r="AY21" s="221"/>
      <c r="AZ21" s="53">
        <f t="shared" si="17"/>
        <v>0</v>
      </c>
      <c r="BA21" s="225"/>
      <c r="BB21" s="53">
        <f t="shared" si="18"/>
        <v>0</v>
      </c>
      <c r="BC21" s="225"/>
      <c r="BD21" s="53">
        <f t="shared" si="19"/>
        <v>0</v>
      </c>
      <c r="BE21" s="225"/>
      <c r="BF21" s="53">
        <f t="shared" si="20"/>
        <v>0</v>
      </c>
      <c r="BG21" s="225"/>
      <c r="BH21" s="53">
        <f t="shared" si="21"/>
        <v>0</v>
      </c>
      <c r="BI21" s="225">
        <v>1</v>
      </c>
      <c r="BJ21" s="53">
        <f t="shared" si="22"/>
        <v>2000000</v>
      </c>
      <c r="BK21" s="224">
        <f t="shared" si="3"/>
        <v>1</v>
      </c>
      <c r="BL21" s="53">
        <f t="shared" si="3"/>
        <v>2000000</v>
      </c>
      <c r="BM21" s="306" t="s">
        <v>467</v>
      </c>
      <c r="BN21" s="682">
        <f t="shared" si="31"/>
        <v>2000000</v>
      </c>
      <c r="BO21" s="113"/>
      <c r="BP21" s="113">
        <f>H21</f>
        <v>2000000</v>
      </c>
      <c r="BQ21" s="113"/>
      <c r="BR21" s="113"/>
      <c r="BS21" s="113">
        <f>BO21+BP21+BQ21+BR21</f>
        <v>2000000</v>
      </c>
      <c r="BT21" s="113"/>
      <c r="BU21" s="113"/>
      <c r="BV21" s="113">
        <f>BT21+BU21</f>
        <v>0</v>
      </c>
      <c r="BW21" s="217">
        <f t="shared" si="1"/>
        <v>2000000</v>
      </c>
    </row>
    <row r="22" spans="1:75" s="67" customFormat="1" x14ac:dyDescent="0.25">
      <c r="A22" s="910"/>
      <c r="B22" s="240"/>
      <c r="C22" s="539"/>
      <c r="D22" s="233" t="s">
        <v>3</v>
      </c>
      <c r="E22" s="233"/>
      <c r="F22" s="234"/>
      <c r="G22" s="245">
        <f t="shared" si="4"/>
        <v>207</v>
      </c>
      <c r="H22" s="234">
        <f>SUM(H17:H21)</f>
        <v>11950000</v>
      </c>
      <c r="I22" s="234">
        <f>SUM(I17:I21)</f>
        <v>2390000</v>
      </c>
      <c r="J22" s="234">
        <f t="shared" ref="J22:Z22" si="32">SUM(J17:J21)</f>
        <v>9560000</v>
      </c>
      <c r="K22" s="234">
        <f t="shared" si="32"/>
        <v>0</v>
      </c>
      <c r="L22" s="234">
        <f t="shared" si="32"/>
        <v>0</v>
      </c>
      <c r="M22" s="234">
        <f t="shared" si="32"/>
        <v>0</v>
      </c>
      <c r="N22" s="234">
        <f t="shared" si="32"/>
        <v>0</v>
      </c>
      <c r="O22" s="234">
        <f t="shared" si="32"/>
        <v>0</v>
      </c>
      <c r="P22" s="234">
        <f t="shared" si="32"/>
        <v>0</v>
      </c>
      <c r="Q22" s="234">
        <f t="shared" si="32"/>
        <v>0</v>
      </c>
      <c r="R22" s="234">
        <f t="shared" si="32"/>
        <v>0</v>
      </c>
      <c r="S22" s="234">
        <f t="shared" si="32"/>
        <v>3</v>
      </c>
      <c r="T22" s="234">
        <f t="shared" si="32"/>
        <v>5.0999999999999996</v>
      </c>
      <c r="U22" s="234">
        <f t="shared" si="32"/>
        <v>8.5</v>
      </c>
      <c r="V22" s="234">
        <f t="shared" si="32"/>
        <v>3.4000000000000004</v>
      </c>
      <c r="W22" s="234">
        <f t="shared" si="32"/>
        <v>4000000</v>
      </c>
      <c r="X22" s="234">
        <f t="shared" si="32"/>
        <v>2650000</v>
      </c>
      <c r="Y22" s="234">
        <f t="shared" si="32"/>
        <v>2650000</v>
      </c>
      <c r="Z22" s="234">
        <f t="shared" si="32"/>
        <v>2650000</v>
      </c>
      <c r="AA22" s="236">
        <f>AA17+AA18+AA19+AA20+AA21</f>
        <v>12</v>
      </c>
      <c r="AB22" s="236">
        <f t="shared" ref="AB22:BJ22" si="33">AB17+AB18+AB19+AB20+AB21</f>
        <v>500000</v>
      </c>
      <c r="AC22" s="236">
        <f t="shared" si="33"/>
        <v>12</v>
      </c>
      <c r="AD22" s="236">
        <f t="shared" si="33"/>
        <v>500000</v>
      </c>
      <c r="AE22" s="236">
        <f t="shared" si="33"/>
        <v>12</v>
      </c>
      <c r="AF22" s="236">
        <f t="shared" si="33"/>
        <v>200000</v>
      </c>
      <c r="AG22" s="236">
        <f t="shared" si="33"/>
        <v>12</v>
      </c>
      <c r="AH22" s="236">
        <f t="shared" si="33"/>
        <v>500000</v>
      </c>
      <c r="AI22" s="236">
        <f t="shared" si="33"/>
        <v>12</v>
      </c>
      <c r="AJ22" s="236">
        <f t="shared" si="33"/>
        <v>400000</v>
      </c>
      <c r="AK22" s="236">
        <f t="shared" si="33"/>
        <v>12</v>
      </c>
      <c r="AL22" s="236">
        <f t="shared" si="33"/>
        <v>400000</v>
      </c>
      <c r="AM22" s="236">
        <f t="shared" si="33"/>
        <v>12</v>
      </c>
      <c r="AN22" s="236">
        <f t="shared" si="33"/>
        <v>500000</v>
      </c>
      <c r="AO22" s="236">
        <f t="shared" si="33"/>
        <v>12</v>
      </c>
      <c r="AP22" s="236">
        <f t="shared" si="33"/>
        <v>500000</v>
      </c>
      <c r="AQ22" s="236">
        <f t="shared" si="33"/>
        <v>12</v>
      </c>
      <c r="AR22" s="236">
        <f t="shared" si="33"/>
        <v>500000</v>
      </c>
      <c r="AS22" s="236">
        <f t="shared" si="33"/>
        <v>12</v>
      </c>
      <c r="AT22" s="236">
        <f t="shared" si="33"/>
        <v>300000</v>
      </c>
      <c r="AU22" s="236">
        <f t="shared" si="33"/>
        <v>12</v>
      </c>
      <c r="AV22" s="236">
        <f t="shared" si="33"/>
        <v>250000</v>
      </c>
      <c r="AW22" s="236">
        <f t="shared" si="33"/>
        <v>12</v>
      </c>
      <c r="AX22" s="236">
        <f t="shared" si="33"/>
        <v>500000</v>
      </c>
      <c r="AY22" s="236">
        <f t="shared" si="33"/>
        <v>12</v>
      </c>
      <c r="AZ22" s="236">
        <f t="shared" si="33"/>
        <v>400000</v>
      </c>
      <c r="BA22" s="236">
        <f t="shared" si="33"/>
        <v>12</v>
      </c>
      <c r="BB22" s="236">
        <f t="shared" si="33"/>
        <v>300000</v>
      </c>
      <c r="BC22" s="236">
        <f t="shared" si="33"/>
        <v>12</v>
      </c>
      <c r="BD22" s="236">
        <f t="shared" si="33"/>
        <v>600000</v>
      </c>
      <c r="BE22" s="236">
        <f t="shared" si="33"/>
        <v>12</v>
      </c>
      <c r="BF22" s="236">
        <f t="shared" si="33"/>
        <v>500000</v>
      </c>
      <c r="BG22" s="236">
        <f t="shared" si="33"/>
        <v>12</v>
      </c>
      <c r="BH22" s="236">
        <f t="shared" si="33"/>
        <v>1100000</v>
      </c>
      <c r="BI22" s="236">
        <f t="shared" si="33"/>
        <v>3</v>
      </c>
      <c r="BJ22" s="236">
        <f t="shared" si="33"/>
        <v>4000000</v>
      </c>
      <c r="BK22" s="236">
        <f t="shared" si="3"/>
        <v>207</v>
      </c>
      <c r="BL22" s="236">
        <f t="shared" si="3"/>
        <v>11950000</v>
      </c>
      <c r="BM22" s="310"/>
      <c r="BN22" s="682">
        <f t="shared" si="31"/>
        <v>11950000</v>
      </c>
      <c r="BO22" s="234">
        <f t="shared" ref="BO22:BV22" si="34">SUM(BO18:BO21)</f>
        <v>0</v>
      </c>
      <c r="BP22" s="234">
        <f>SUM(BP17:BP21)</f>
        <v>4000000</v>
      </c>
      <c r="BQ22" s="234">
        <f t="shared" si="34"/>
        <v>7950000</v>
      </c>
      <c r="BR22" s="234">
        <f t="shared" si="34"/>
        <v>0</v>
      </c>
      <c r="BS22" s="234">
        <f>SUM(BS17:BS21)</f>
        <v>11950000</v>
      </c>
      <c r="BT22" s="234">
        <f t="shared" si="34"/>
        <v>0</v>
      </c>
      <c r="BU22" s="234">
        <f t="shared" si="34"/>
        <v>0</v>
      </c>
      <c r="BV22" s="234">
        <f t="shared" si="34"/>
        <v>0</v>
      </c>
      <c r="BW22" s="540">
        <f t="shared" si="1"/>
        <v>11950000</v>
      </c>
    </row>
    <row r="23" spans="1:75" s="39" customFormat="1" x14ac:dyDescent="0.25">
      <c r="A23" s="910"/>
      <c r="B23" s="219"/>
      <c r="C23" s="38">
        <v>21300</v>
      </c>
      <c r="D23" s="38" t="s">
        <v>707</v>
      </c>
      <c r="E23" s="220"/>
      <c r="F23" s="221"/>
      <c r="G23" s="222">
        <f t="shared" si="4"/>
        <v>0</v>
      </c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5"/>
      <c r="T23" s="225"/>
      <c r="U23" s="225"/>
      <c r="V23" s="225"/>
      <c r="W23" s="221"/>
      <c r="X23" s="221"/>
      <c r="Y23" s="221"/>
      <c r="Z23" s="221"/>
      <c r="AA23" s="225"/>
      <c r="AB23" s="53">
        <f t="shared" si="5"/>
        <v>0</v>
      </c>
      <c r="AC23" s="225"/>
      <c r="AD23" s="53">
        <f t="shared" si="6"/>
        <v>0</v>
      </c>
      <c r="AE23" s="225"/>
      <c r="AF23" s="53">
        <f t="shared" si="7"/>
        <v>0</v>
      </c>
      <c r="AG23" s="225"/>
      <c r="AH23" s="53">
        <f t="shared" si="8"/>
        <v>0</v>
      </c>
      <c r="AI23" s="225"/>
      <c r="AJ23" s="53">
        <f t="shared" si="9"/>
        <v>0</v>
      </c>
      <c r="AK23" s="225"/>
      <c r="AL23" s="53">
        <f t="shared" si="10"/>
        <v>0</v>
      </c>
      <c r="AM23" s="225"/>
      <c r="AN23" s="53">
        <f t="shared" si="11"/>
        <v>0</v>
      </c>
      <c r="AO23" s="225"/>
      <c r="AP23" s="53">
        <f t="shared" si="12"/>
        <v>0</v>
      </c>
      <c r="AQ23" s="225"/>
      <c r="AR23" s="53">
        <f t="shared" si="13"/>
        <v>0</v>
      </c>
      <c r="AS23" s="225"/>
      <c r="AT23" s="53">
        <f t="shared" si="14"/>
        <v>0</v>
      </c>
      <c r="AU23" s="225"/>
      <c r="AV23" s="53">
        <f t="shared" si="15"/>
        <v>0</v>
      </c>
      <c r="AW23" s="225"/>
      <c r="AX23" s="53">
        <f t="shared" si="16"/>
        <v>0</v>
      </c>
      <c r="AY23" s="221"/>
      <c r="AZ23" s="53">
        <f t="shared" si="17"/>
        <v>0</v>
      </c>
      <c r="BA23" s="225"/>
      <c r="BB23" s="53">
        <f t="shared" si="18"/>
        <v>0</v>
      </c>
      <c r="BC23" s="225"/>
      <c r="BD23" s="53">
        <f t="shared" si="19"/>
        <v>0</v>
      </c>
      <c r="BE23" s="225"/>
      <c r="BF23" s="53">
        <f t="shared" si="20"/>
        <v>0</v>
      </c>
      <c r="BG23" s="225"/>
      <c r="BH23" s="53">
        <f t="shared" si="21"/>
        <v>0</v>
      </c>
      <c r="BI23" s="225"/>
      <c r="BJ23" s="53">
        <f t="shared" si="22"/>
        <v>0</v>
      </c>
      <c r="BK23" s="224">
        <f t="shared" si="3"/>
        <v>0</v>
      </c>
      <c r="BL23" s="53">
        <f t="shared" si="3"/>
        <v>0</v>
      </c>
      <c r="BM23" s="307"/>
      <c r="BN23" s="682">
        <f t="shared" si="31"/>
        <v>0</v>
      </c>
      <c r="BO23" s="113"/>
      <c r="BP23" s="113"/>
      <c r="BQ23" s="113"/>
      <c r="BR23" s="113"/>
      <c r="BS23" s="113"/>
      <c r="BT23" s="113"/>
      <c r="BU23" s="113"/>
      <c r="BV23" s="113"/>
      <c r="BW23" s="217">
        <f t="shared" si="1"/>
        <v>0</v>
      </c>
    </row>
    <row r="24" spans="1:75" s="39" customFormat="1" x14ac:dyDescent="0.25">
      <c r="A24" s="910"/>
      <c r="B24" s="219"/>
      <c r="C24" s="38">
        <v>21310</v>
      </c>
      <c r="D24" s="211" t="s">
        <v>151</v>
      </c>
      <c r="E24" s="38"/>
      <c r="F24" s="229"/>
      <c r="G24" s="222">
        <f t="shared" si="4"/>
        <v>0</v>
      </c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25"/>
      <c r="T24" s="225"/>
      <c r="U24" s="225"/>
      <c r="V24" s="225"/>
      <c r="W24" s="221"/>
      <c r="X24" s="221"/>
      <c r="Y24" s="221"/>
      <c r="Z24" s="221"/>
      <c r="AA24" s="225"/>
      <c r="AB24" s="53">
        <f t="shared" si="5"/>
        <v>0</v>
      </c>
      <c r="AC24" s="225"/>
      <c r="AD24" s="53">
        <f t="shared" si="6"/>
        <v>0</v>
      </c>
      <c r="AE24" s="225"/>
      <c r="AF24" s="53">
        <f t="shared" si="7"/>
        <v>0</v>
      </c>
      <c r="AG24" s="225"/>
      <c r="AH24" s="53">
        <f t="shared" si="8"/>
        <v>0</v>
      </c>
      <c r="AI24" s="225"/>
      <c r="AJ24" s="53">
        <f t="shared" si="9"/>
        <v>0</v>
      </c>
      <c r="AK24" s="225"/>
      <c r="AL24" s="53">
        <f t="shared" si="10"/>
        <v>0</v>
      </c>
      <c r="AM24" s="225"/>
      <c r="AN24" s="53">
        <f t="shared" si="11"/>
        <v>0</v>
      </c>
      <c r="AO24" s="225"/>
      <c r="AP24" s="53">
        <f t="shared" si="12"/>
        <v>0</v>
      </c>
      <c r="AQ24" s="225"/>
      <c r="AR24" s="53">
        <f t="shared" si="13"/>
        <v>0</v>
      </c>
      <c r="AS24" s="225"/>
      <c r="AT24" s="53">
        <f t="shared" si="14"/>
        <v>0</v>
      </c>
      <c r="AU24" s="225"/>
      <c r="AV24" s="53">
        <f t="shared" si="15"/>
        <v>0</v>
      </c>
      <c r="AW24" s="225"/>
      <c r="AX24" s="53">
        <f t="shared" si="16"/>
        <v>0</v>
      </c>
      <c r="AY24" s="221"/>
      <c r="AZ24" s="53">
        <f t="shared" si="17"/>
        <v>0</v>
      </c>
      <c r="BA24" s="225"/>
      <c r="BB24" s="53">
        <f t="shared" si="18"/>
        <v>0</v>
      </c>
      <c r="BC24" s="225"/>
      <c r="BD24" s="53">
        <f t="shared" si="19"/>
        <v>0</v>
      </c>
      <c r="BE24" s="225"/>
      <c r="BF24" s="53">
        <f t="shared" si="20"/>
        <v>0</v>
      </c>
      <c r="BG24" s="225"/>
      <c r="BH24" s="53">
        <f t="shared" si="21"/>
        <v>0</v>
      </c>
      <c r="BI24" s="225"/>
      <c r="BJ24" s="53">
        <f t="shared" si="22"/>
        <v>0</v>
      </c>
      <c r="BK24" s="224">
        <f t="shared" si="3"/>
        <v>0</v>
      </c>
      <c r="BL24" s="53">
        <f t="shared" si="3"/>
        <v>0</v>
      </c>
      <c r="BM24" s="307"/>
      <c r="BN24" s="682">
        <f t="shared" si="31"/>
        <v>0</v>
      </c>
      <c r="BO24" s="230">
        <f>H24</f>
        <v>0</v>
      </c>
      <c r="BP24" s="113"/>
      <c r="BQ24" s="113"/>
      <c r="BR24" s="113"/>
      <c r="BS24" s="113">
        <f>BO24+BP24+BQ24+BR24</f>
        <v>0</v>
      </c>
      <c r="BT24" s="113"/>
      <c r="BU24" s="113"/>
      <c r="BV24" s="113">
        <f>BT24+BU24</f>
        <v>0</v>
      </c>
      <c r="BW24" s="217">
        <f t="shared" si="1"/>
        <v>0</v>
      </c>
    </row>
    <row r="25" spans="1:75" s="39" customFormat="1" x14ac:dyDescent="0.25">
      <c r="A25" s="910"/>
      <c r="B25" s="219"/>
      <c r="C25" s="38"/>
      <c r="D25" s="38" t="s">
        <v>595</v>
      </c>
      <c r="E25" s="47" t="s">
        <v>603</v>
      </c>
      <c r="F25" s="314">
        <v>100000</v>
      </c>
      <c r="G25" s="222">
        <f t="shared" si="4"/>
        <v>81</v>
      </c>
      <c r="H25" s="230">
        <f t="shared" ref="H25:H32" si="35">G25*F25</f>
        <v>8100000</v>
      </c>
      <c r="I25" s="230"/>
      <c r="J25" s="230"/>
      <c r="K25" s="230"/>
      <c r="L25" s="230"/>
      <c r="M25" s="230"/>
      <c r="N25" s="230">
        <f t="shared" ref="N25:N31" si="36">H25</f>
        <v>8100000</v>
      </c>
      <c r="O25" s="230"/>
      <c r="P25" s="230"/>
      <c r="Q25" s="230"/>
      <c r="R25" s="230"/>
      <c r="S25" s="225">
        <f>G25*0.35</f>
        <v>28.349999999999998</v>
      </c>
      <c r="T25" s="225">
        <f>G25*0.1</f>
        <v>8.1</v>
      </c>
      <c r="U25" s="225">
        <f>G25:G25*0.15</f>
        <v>12.15</v>
      </c>
      <c r="V25" s="225">
        <f>G25*0.4</f>
        <v>32.4</v>
      </c>
      <c r="W25" s="221">
        <f>S25*F25</f>
        <v>2835000</v>
      </c>
      <c r="X25" s="221">
        <f>T25*F25</f>
        <v>810000</v>
      </c>
      <c r="Y25" s="221">
        <f>U25*F25</f>
        <v>1215000</v>
      </c>
      <c r="Z25" s="221">
        <f>V25*F25</f>
        <v>3240000</v>
      </c>
      <c r="AA25" s="225"/>
      <c r="AB25" s="53">
        <f t="shared" si="5"/>
        <v>0</v>
      </c>
      <c r="AC25" s="225"/>
      <c r="AD25" s="53">
        <f t="shared" si="6"/>
        <v>0</v>
      </c>
      <c r="AE25" s="221">
        <f>AD25*I25</f>
        <v>0</v>
      </c>
      <c r="AF25" s="53">
        <f t="shared" si="7"/>
        <v>0</v>
      </c>
      <c r="AG25" s="225">
        <v>64</v>
      </c>
      <c r="AH25" s="53">
        <f t="shared" si="8"/>
        <v>6400000</v>
      </c>
      <c r="AI25" s="225"/>
      <c r="AJ25" s="53">
        <f t="shared" si="9"/>
        <v>0</v>
      </c>
      <c r="AK25" s="225"/>
      <c r="AL25" s="53">
        <f t="shared" si="10"/>
        <v>0</v>
      </c>
      <c r="AM25" s="225"/>
      <c r="AN25" s="53">
        <f t="shared" si="11"/>
        <v>0</v>
      </c>
      <c r="AO25" s="225"/>
      <c r="AP25" s="53">
        <f t="shared" si="12"/>
        <v>0</v>
      </c>
      <c r="AQ25" s="225"/>
      <c r="AR25" s="53">
        <f t="shared" si="13"/>
        <v>0</v>
      </c>
      <c r="AS25" s="225">
        <v>16</v>
      </c>
      <c r="AT25" s="53">
        <f t="shared" si="14"/>
        <v>1600000</v>
      </c>
      <c r="AU25" s="225"/>
      <c r="AV25" s="53">
        <f t="shared" si="15"/>
        <v>0</v>
      </c>
      <c r="AW25" s="225">
        <v>0</v>
      </c>
      <c r="AX25" s="53">
        <f t="shared" si="16"/>
        <v>0</v>
      </c>
      <c r="AY25" s="221"/>
      <c r="AZ25" s="53">
        <f t="shared" si="17"/>
        <v>0</v>
      </c>
      <c r="BA25" s="225"/>
      <c r="BB25" s="53">
        <f t="shared" si="18"/>
        <v>0</v>
      </c>
      <c r="BC25" s="225"/>
      <c r="BD25" s="53">
        <f t="shared" si="19"/>
        <v>0</v>
      </c>
      <c r="BE25" s="225">
        <v>1</v>
      </c>
      <c r="BF25" s="53">
        <f t="shared" si="20"/>
        <v>100000</v>
      </c>
      <c r="BG25" s="225"/>
      <c r="BH25" s="53">
        <f t="shared" si="21"/>
        <v>0</v>
      </c>
      <c r="BI25" s="225"/>
      <c r="BJ25" s="53">
        <f t="shared" si="22"/>
        <v>0</v>
      </c>
      <c r="BK25" s="224">
        <f t="shared" si="3"/>
        <v>81</v>
      </c>
      <c r="BL25" s="53">
        <f t="shared" si="3"/>
        <v>8100000</v>
      </c>
      <c r="BM25" s="307" t="s">
        <v>721</v>
      </c>
      <c r="BN25" s="682">
        <f t="shared" si="31"/>
        <v>8100000</v>
      </c>
      <c r="BO25" s="230">
        <f>H25</f>
        <v>8100000</v>
      </c>
      <c r="BP25" s="113"/>
      <c r="BQ25" s="113"/>
      <c r="BR25" s="113"/>
      <c r="BS25" s="113">
        <f>BO25+BP25+BQ25+BR25</f>
        <v>8100000</v>
      </c>
      <c r="BT25" s="113"/>
      <c r="BU25" s="113"/>
      <c r="BV25" s="113"/>
      <c r="BW25" s="217">
        <f t="shared" si="1"/>
        <v>8100000</v>
      </c>
    </row>
    <row r="26" spans="1:75" s="39" customFormat="1" x14ac:dyDescent="0.25">
      <c r="A26" s="910"/>
      <c r="B26" s="219"/>
      <c r="C26" s="38"/>
      <c r="D26" s="38" t="s">
        <v>596</v>
      </c>
      <c r="E26" s="47" t="s">
        <v>603</v>
      </c>
      <c r="F26" s="229">
        <v>40000</v>
      </c>
      <c r="G26" s="222">
        <f t="shared" si="4"/>
        <v>179.8</v>
      </c>
      <c r="H26" s="230">
        <f t="shared" si="35"/>
        <v>7192000</v>
      </c>
      <c r="I26" s="230"/>
      <c r="J26" s="230"/>
      <c r="K26" s="230"/>
      <c r="L26" s="230"/>
      <c r="M26" s="230"/>
      <c r="N26" s="230">
        <f t="shared" si="36"/>
        <v>7192000</v>
      </c>
      <c r="O26" s="230"/>
      <c r="P26" s="230"/>
      <c r="Q26" s="230"/>
      <c r="R26" s="230"/>
      <c r="S26" s="225">
        <f t="shared" ref="S26:S32" si="37">G26*0.35</f>
        <v>62.93</v>
      </c>
      <c r="T26" s="225">
        <f t="shared" ref="T26:T31" si="38">G26*0.1</f>
        <v>17.98</v>
      </c>
      <c r="U26" s="225">
        <f t="shared" ref="U26:U31" si="39">G26:G26*0.15</f>
        <v>26.970000000000002</v>
      </c>
      <c r="V26" s="225">
        <f t="shared" ref="V26:V31" si="40">G26*0.4</f>
        <v>71.92</v>
      </c>
      <c r="W26" s="221">
        <f t="shared" ref="W26:W32" si="41">S26*F26</f>
        <v>2517200</v>
      </c>
      <c r="X26" s="221">
        <f t="shared" ref="X26:X32" si="42">T26*F26</f>
        <v>719200</v>
      </c>
      <c r="Y26" s="221">
        <f t="shared" ref="Y26:Y32" si="43">U26*F26</f>
        <v>1078800</v>
      </c>
      <c r="Z26" s="221">
        <f t="shared" ref="Z26:Z32" si="44">V26*F26</f>
        <v>2876800</v>
      </c>
      <c r="AA26" s="225">
        <v>10</v>
      </c>
      <c r="AB26" s="221">
        <f t="shared" ref="AB26:AB92" si="45">AA26*F26</f>
        <v>400000</v>
      </c>
      <c r="AC26" s="225">
        <v>10</v>
      </c>
      <c r="AD26" s="53">
        <f t="shared" si="6"/>
        <v>400000</v>
      </c>
      <c r="AE26" s="225">
        <v>10</v>
      </c>
      <c r="AF26" s="53">
        <f t="shared" si="7"/>
        <v>400000</v>
      </c>
      <c r="AG26" s="225">
        <v>10</v>
      </c>
      <c r="AH26" s="53">
        <f t="shared" si="8"/>
        <v>400000</v>
      </c>
      <c r="AI26" s="225">
        <v>10</v>
      </c>
      <c r="AJ26" s="53">
        <f t="shared" si="9"/>
        <v>400000</v>
      </c>
      <c r="AK26" s="225">
        <v>10</v>
      </c>
      <c r="AL26" s="53">
        <f t="shared" si="10"/>
        <v>400000</v>
      </c>
      <c r="AM26" s="225"/>
      <c r="AN26" s="53">
        <f t="shared" si="11"/>
        <v>0</v>
      </c>
      <c r="AO26" s="225">
        <v>10</v>
      </c>
      <c r="AP26" s="53">
        <f t="shared" si="12"/>
        <v>400000</v>
      </c>
      <c r="AQ26" s="225">
        <v>4.8</v>
      </c>
      <c r="AR26" s="53">
        <f t="shared" si="13"/>
        <v>192000</v>
      </c>
      <c r="AS26" s="225">
        <v>10</v>
      </c>
      <c r="AT26" s="53">
        <f t="shared" si="14"/>
        <v>400000</v>
      </c>
      <c r="AU26" s="632">
        <v>20</v>
      </c>
      <c r="AV26" s="53">
        <f t="shared" si="15"/>
        <v>800000</v>
      </c>
      <c r="AW26" s="225">
        <v>10</v>
      </c>
      <c r="AX26" s="53">
        <f t="shared" si="16"/>
        <v>400000</v>
      </c>
      <c r="AY26" s="221"/>
      <c r="AZ26" s="53">
        <f t="shared" si="17"/>
        <v>0</v>
      </c>
      <c r="BA26" s="225">
        <v>15</v>
      </c>
      <c r="BB26" s="53">
        <f t="shared" si="18"/>
        <v>600000</v>
      </c>
      <c r="BC26" s="225">
        <v>25</v>
      </c>
      <c r="BD26" s="53">
        <f t="shared" si="19"/>
        <v>1000000</v>
      </c>
      <c r="BE26" s="225">
        <v>10</v>
      </c>
      <c r="BF26" s="53">
        <f t="shared" si="20"/>
        <v>400000</v>
      </c>
      <c r="BG26" s="225">
        <v>15</v>
      </c>
      <c r="BH26" s="53">
        <f t="shared" si="21"/>
        <v>600000</v>
      </c>
      <c r="BI26" s="225"/>
      <c r="BJ26" s="53">
        <f t="shared" si="22"/>
        <v>0</v>
      </c>
      <c r="BK26" s="224">
        <f t="shared" si="3"/>
        <v>179.8</v>
      </c>
      <c r="BL26" s="53">
        <f t="shared" si="3"/>
        <v>7192000</v>
      </c>
      <c r="BM26" s="307" t="s">
        <v>721</v>
      </c>
      <c r="BN26" s="682">
        <f t="shared" si="31"/>
        <v>7192000</v>
      </c>
      <c r="BO26" s="230">
        <f t="shared" ref="BO26:BO31" si="46">H26</f>
        <v>7192000</v>
      </c>
      <c r="BP26" s="113"/>
      <c r="BQ26" s="113"/>
      <c r="BR26" s="113"/>
      <c r="BS26" s="113">
        <f t="shared" ref="BS26:BS32" si="47">BO26+BP26+BQ26+BR26</f>
        <v>7192000</v>
      </c>
      <c r="BT26" s="113"/>
      <c r="BU26" s="113"/>
      <c r="BV26" s="113"/>
      <c r="BW26" s="217">
        <f t="shared" ref="BW26:BW32" si="48">BS26+BV26</f>
        <v>7192000</v>
      </c>
    </row>
    <row r="27" spans="1:75" s="39" customFormat="1" x14ac:dyDescent="0.25">
      <c r="A27" s="910"/>
      <c r="B27" s="219"/>
      <c r="C27" s="38"/>
      <c r="D27" s="38" t="s">
        <v>606</v>
      </c>
      <c r="E27" s="47" t="s">
        <v>603</v>
      </c>
      <c r="F27" s="229">
        <v>20000</v>
      </c>
      <c r="G27" s="222">
        <f t="shared" si="4"/>
        <v>5300</v>
      </c>
      <c r="H27" s="230">
        <f t="shared" si="35"/>
        <v>106000000</v>
      </c>
      <c r="I27" s="230">
        <f>H27*0.15</f>
        <v>15900000</v>
      </c>
      <c r="J27" s="230">
        <f>H27*0.75</f>
        <v>79500000</v>
      </c>
      <c r="K27" s="230"/>
      <c r="L27" s="230"/>
      <c r="M27" s="230"/>
      <c r="N27" s="230">
        <f>H27*0</f>
        <v>0</v>
      </c>
      <c r="O27" s="230"/>
      <c r="P27" s="230"/>
      <c r="Q27" s="230">
        <f>H27*0.1</f>
        <v>10600000</v>
      </c>
      <c r="R27" s="230"/>
      <c r="S27" s="225">
        <f t="shared" si="37"/>
        <v>1854.9999999999998</v>
      </c>
      <c r="T27" s="225">
        <f t="shared" si="38"/>
        <v>530</v>
      </c>
      <c r="U27" s="225">
        <f t="shared" si="39"/>
        <v>795</v>
      </c>
      <c r="V27" s="225">
        <f t="shared" si="40"/>
        <v>2120</v>
      </c>
      <c r="W27" s="221">
        <f t="shared" si="41"/>
        <v>37099999.999999993</v>
      </c>
      <c r="X27" s="221">
        <f t="shared" si="42"/>
        <v>10600000</v>
      </c>
      <c r="Y27" s="221">
        <f t="shared" si="43"/>
        <v>15900000</v>
      </c>
      <c r="Z27" s="221">
        <f t="shared" si="44"/>
        <v>42400000</v>
      </c>
      <c r="AA27" s="632">
        <v>500</v>
      </c>
      <c r="AB27" s="221">
        <f t="shared" si="45"/>
        <v>10000000</v>
      </c>
      <c r="AC27" s="225">
        <v>100</v>
      </c>
      <c r="AD27" s="53">
        <f t="shared" si="6"/>
        <v>2000000</v>
      </c>
      <c r="AE27" s="225">
        <v>400</v>
      </c>
      <c r="AF27" s="53">
        <f t="shared" si="7"/>
        <v>8000000</v>
      </c>
      <c r="AG27" s="225">
        <v>500</v>
      </c>
      <c r="AH27" s="53">
        <f t="shared" si="8"/>
        <v>10000000</v>
      </c>
      <c r="AI27" s="632">
        <v>150</v>
      </c>
      <c r="AJ27" s="53">
        <f t="shared" si="9"/>
        <v>3000000</v>
      </c>
      <c r="AK27" s="225">
        <v>400</v>
      </c>
      <c r="AL27" s="53">
        <f t="shared" si="10"/>
        <v>8000000</v>
      </c>
      <c r="AM27" s="225">
        <v>200</v>
      </c>
      <c r="AN27" s="53">
        <f t="shared" si="11"/>
        <v>4000000</v>
      </c>
      <c r="AO27" s="225">
        <v>250</v>
      </c>
      <c r="AP27" s="53">
        <f t="shared" si="12"/>
        <v>5000000</v>
      </c>
      <c r="AQ27" s="225">
        <v>50</v>
      </c>
      <c r="AR27" s="53">
        <f t="shared" si="13"/>
        <v>1000000</v>
      </c>
      <c r="AS27" s="225">
        <v>150</v>
      </c>
      <c r="AT27" s="53">
        <f t="shared" si="14"/>
        <v>3000000</v>
      </c>
      <c r="AU27" s="225">
        <v>250</v>
      </c>
      <c r="AV27" s="53">
        <f t="shared" si="15"/>
        <v>5000000</v>
      </c>
      <c r="AW27" s="225">
        <v>250</v>
      </c>
      <c r="AX27" s="53">
        <f t="shared" si="16"/>
        <v>5000000</v>
      </c>
      <c r="AY27" s="221">
        <v>350</v>
      </c>
      <c r="AZ27" s="53">
        <f t="shared" si="17"/>
        <v>7000000</v>
      </c>
      <c r="BA27" s="225">
        <v>400</v>
      </c>
      <c r="BB27" s="53">
        <f t="shared" si="18"/>
        <v>8000000</v>
      </c>
      <c r="BC27" s="632">
        <v>400</v>
      </c>
      <c r="BD27" s="53">
        <f t="shared" si="19"/>
        <v>8000000</v>
      </c>
      <c r="BE27" s="225">
        <v>400</v>
      </c>
      <c r="BF27" s="53">
        <f t="shared" si="20"/>
        <v>8000000</v>
      </c>
      <c r="BG27" s="225">
        <v>550</v>
      </c>
      <c r="BH27" s="53">
        <f t="shared" si="21"/>
        <v>11000000</v>
      </c>
      <c r="BI27" s="225"/>
      <c r="BJ27" s="53">
        <f t="shared" si="22"/>
        <v>0</v>
      </c>
      <c r="BK27" s="224">
        <f t="shared" si="3"/>
        <v>5300</v>
      </c>
      <c r="BL27" s="53">
        <f t="shared" si="3"/>
        <v>106000000</v>
      </c>
      <c r="BM27" s="307" t="s">
        <v>832</v>
      </c>
      <c r="BN27" s="682">
        <f t="shared" si="31"/>
        <v>106000000</v>
      </c>
      <c r="BO27" s="230">
        <f t="shared" si="46"/>
        <v>106000000</v>
      </c>
      <c r="BP27" s="113"/>
      <c r="BQ27" s="113"/>
      <c r="BR27" s="113"/>
      <c r="BS27" s="113">
        <f t="shared" si="47"/>
        <v>106000000</v>
      </c>
      <c r="BT27" s="113"/>
      <c r="BU27" s="113"/>
      <c r="BV27" s="113"/>
      <c r="BW27" s="217">
        <f t="shared" si="48"/>
        <v>106000000</v>
      </c>
    </row>
    <row r="28" spans="1:75" s="39" customFormat="1" x14ac:dyDescent="0.25">
      <c r="A28" s="910"/>
      <c r="B28" s="219"/>
      <c r="C28" s="38"/>
      <c r="D28" s="38" t="s">
        <v>601</v>
      </c>
      <c r="E28" s="47" t="s">
        <v>709</v>
      </c>
      <c r="F28" s="229">
        <v>1000</v>
      </c>
      <c r="G28" s="222">
        <f t="shared" si="4"/>
        <v>2700</v>
      </c>
      <c r="H28" s="230">
        <f t="shared" si="35"/>
        <v>2700000</v>
      </c>
      <c r="I28" s="230"/>
      <c r="J28" s="230"/>
      <c r="K28" s="230"/>
      <c r="L28" s="230"/>
      <c r="M28" s="230"/>
      <c r="N28" s="230">
        <f t="shared" si="36"/>
        <v>2700000</v>
      </c>
      <c r="O28" s="230"/>
      <c r="P28" s="230"/>
      <c r="Q28" s="230"/>
      <c r="R28" s="230"/>
      <c r="S28" s="225">
        <f t="shared" si="37"/>
        <v>944.99999999999989</v>
      </c>
      <c r="T28" s="225">
        <f t="shared" si="38"/>
        <v>270</v>
      </c>
      <c r="U28" s="225">
        <f t="shared" si="39"/>
        <v>405</v>
      </c>
      <c r="V28" s="225">
        <f t="shared" si="40"/>
        <v>1080</v>
      </c>
      <c r="W28" s="221">
        <f t="shared" si="41"/>
        <v>944999.99999999988</v>
      </c>
      <c r="X28" s="221">
        <f t="shared" si="42"/>
        <v>270000</v>
      </c>
      <c r="Y28" s="221">
        <f t="shared" si="43"/>
        <v>405000</v>
      </c>
      <c r="Z28" s="221">
        <f t="shared" si="44"/>
        <v>1080000</v>
      </c>
      <c r="AA28" s="225"/>
      <c r="AB28" s="221">
        <f t="shared" si="45"/>
        <v>0</v>
      </c>
      <c r="AC28" s="225"/>
      <c r="AD28" s="225">
        <f t="shared" ref="AD28:AD92" si="49">AC28*F28</f>
        <v>0</v>
      </c>
      <c r="AE28" s="225"/>
      <c r="AF28" s="53">
        <f t="shared" si="7"/>
        <v>0</v>
      </c>
      <c r="AG28" s="225">
        <v>1000</v>
      </c>
      <c r="AH28" s="53">
        <f t="shared" si="8"/>
        <v>1000000</v>
      </c>
      <c r="AI28" s="225"/>
      <c r="AJ28" s="53">
        <f t="shared" si="9"/>
        <v>0</v>
      </c>
      <c r="AK28" s="225">
        <v>500</v>
      </c>
      <c r="AL28" s="53">
        <f t="shared" si="10"/>
        <v>500000</v>
      </c>
      <c r="AM28" s="225">
        <v>300</v>
      </c>
      <c r="AN28" s="53">
        <f t="shared" si="11"/>
        <v>300000</v>
      </c>
      <c r="AO28" s="225"/>
      <c r="AP28" s="53">
        <f t="shared" si="12"/>
        <v>0</v>
      </c>
      <c r="AQ28" s="225"/>
      <c r="AR28" s="53">
        <f t="shared" si="13"/>
        <v>0</v>
      </c>
      <c r="AS28" s="225"/>
      <c r="AT28" s="53">
        <f t="shared" si="14"/>
        <v>0</v>
      </c>
      <c r="AU28" s="225">
        <v>200</v>
      </c>
      <c r="AV28" s="53">
        <f t="shared" si="15"/>
        <v>200000</v>
      </c>
      <c r="AW28" s="225"/>
      <c r="AX28" s="53">
        <f t="shared" si="16"/>
        <v>0</v>
      </c>
      <c r="AY28" s="221"/>
      <c r="AZ28" s="53">
        <f t="shared" si="17"/>
        <v>0</v>
      </c>
      <c r="BA28" s="225"/>
      <c r="BB28" s="53">
        <f t="shared" si="18"/>
        <v>0</v>
      </c>
      <c r="BC28" s="225"/>
      <c r="BD28" s="53">
        <f t="shared" si="19"/>
        <v>0</v>
      </c>
      <c r="BE28" s="225">
        <v>500</v>
      </c>
      <c r="BF28" s="53">
        <f t="shared" si="20"/>
        <v>500000</v>
      </c>
      <c r="BG28" s="225">
        <v>200</v>
      </c>
      <c r="BH28" s="53">
        <f t="shared" si="21"/>
        <v>200000</v>
      </c>
      <c r="BI28" s="225"/>
      <c r="BJ28" s="53">
        <f t="shared" si="22"/>
        <v>0</v>
      </c>
      <c r="BK28" s="224">
        <f t="shared" si="3"/>
        <v>2700</v>
      </c>
      <c r="BL28" s="53">
        <f t="shared" si="3"/>
        <v>2700000</v>
      </c>
      <c r="BM28" s="307" t="s">
        <v>721</v>
      </c>
      <c r="BN28" s="682">
        <f t="shared" si="31"/>
        <v>2700000</v>
      </c>
      <c r="BO28" s="230">
        <f t="shared" si="46"/>
        <v>2700000</v>
      </c>
      <c r="BP28" s="113"/>
      <c r="BQ28" s="113"/>
      <c r="BR28" s="113"/>
      <c r="BS28" s="113">
        <f t="shared" si="47"/>
        <v>2700000</v>
      </c>
      <c r="BT28" s="113"/>
      <c r="BU28" s="113"/>
      <c r="BV28" s="113"/>
      <c r="BW28" s="217">
        <f t="shared" si="48"/>
        <v>2700000</v>
      </c>
    </row>
    <row r="29" spans="1:75" s="39" customFormat="1" x14ac:dyDescent="0.25">
      <c r="A29" s="910"/>
      <c r="B29" s="219"/>
      <c r="C29" s="38"/>
      <c r="D29" s="38" t="s">
        <v>599</v>
      </c>
      <c r="E29" s="47" t="s">
        <v>603</v>
      </c>
      <c r="F29" s="229">
        <v>50000</v>
      </c>
      <c r="G29" s="222">
        <f t="shared" si="4"/>
        <v>39</v>
      </c>
      <c r="H29" s="230">
        <f t="shared" si="35"/>
        <v>1950000</v>
      </c>
      <c r="I29" s="230"/>
      <c r="J29" s="230"/>
      <c r="K29" s="230"/>
      <c r="L29" s="230"/>
      <c r="M29" s="230"/>
      <c r="N29" s="230">
        <f t="shared" si="36"/>
        <v>1950000</v>
      </c>
      <c r="O29" s="230"/>
      <c r="P29" s="230"/>
      <c r="Q29" s="230"/>
      <c r="R29" s="230"/>
      <c r="S29" s="225">
        <f t="shared" si="37"/>
        <v>13.649999999999999</v>
      </c>
      <c r="T29" s="225">
        <f t="shared" si="38"/>
        <v>3.9000000000000004</v>
      </c>
      <c r="U29" s="225">
        <f t="shared" si="39"/>
        <v>5.85</v>
      </c>
      <c r="V29" s="225">
        <f t="shared" si="40"/>
        <v>15.600000000000001</v>
      </c>
      <c r="W29" s="221">
        <f t="shared" si="41"/>
        <v>682499.99999999988</v>
      </c>
      <c r="X29" s="221">
        <f t="shared" si="42"/>
        <v>195000.00000000003</v>
      </c>
      <c r="Y29" s="221">
        <f t="shared" si="43"/>
        <v>292500</v>
      </c>
      <c r="Z29" s="221">
        <f t="shared" si="44"/>
        <v>780000.00000000012</v>
      </c>
      <c r="AA29" s="225"/>
      <c r="AB29" s="221">
        <f t="shared" si="45"/>
        <v>0</v>
      </c>
      <c r="AC29" s="225">
        <v>4</v>
      </c>
      <c r="AD29" s="225">
        <f t="shared" si="49"/>
        <v>200000</v>
      </c>
      <c r="AE29" s="225"/>
      <c r="AF29" s="53">
        <f t="shared" si="7"/>
        <v>0</v>
      </c>
      <c r="AG29" s="225"/>
      <c r="AH29" s="53">
        <f t="shared" si="8"/>
        <v>0</v>
      </c>
      <c r="AI29" s="225">
        <v>10</v>
      </c>
      <c r="AJ29" s="53">
        <f t="shared" si="9"/>
        <v>500000</v>
      </c>
      <c r="AK29" s="225">
        <v>5</v>
      </c>
      <c r="AL29" s="53">
        <f t="shared" si="10"/>
        <v>250000</v>
      </c>
      <c r="AM29" s="225">
        <v>5</v>
      </c>
      <c r="AN29" s="53">
        <f t="shared" si="11"/>
        <v>250000</v>
      </c>
      <c r="AO29" s="225"/>
      <c r="AP29" s="53">
        <f t="shared" si="12"/>
        <v>0</v>
      </c>
      <c r="AQ29" s="225"/>
      <c r="AR29" s="53">
        <f t="shared" si="13"/>
        <v>0</v>
      </c>
      <c r="AS29" s="225">
        <v>5</v>
      </c>
      <c r="AT29" s="53">
        <f t="shared" si="14"/>
        <v>250000</v>
      </c>
      <c r="AU29" s="225">
        <v>0</v>
      </c>
      <c r="AV29" s="53">
        <f t="shared" si="15"/>
        <v>0</v>
      </c>
      <c r="AW29" s="225">
        <v>5</v>
      </c>
      <c r="AX29" s="53">
        <f t="shared" si="16"/>
        <v>250000</v>
      </c>
      <c r="AY29" s="221"/>
      <c r="AZ29" s="53">
        <f t="shared" si="17"/>
        <v>0</v>
      </c>
      <c r="BA29" s="225"/>
      <c r="BB29" s="53">
        <f t="shared" si="18"/>
        <v>0</v>
      </c>
      <c r="BC29" s="225"/>
      <c r="BD29" s="53">
        <f t="shared" si="19"/>
        <v>0</v>
      </c>
      <c r="BE29" s="225">
        <v>0</v>
      </c>
      <c r="BF29" s="53">
        <f t="shared" si="20"/>
        <v>0</v>
      </c>
      <c r="BG29" s="225">
        <v>5</v>
      </c>
      <c r="BH29" s="53">
        <f t="shared" si="21"/>
        <v>250000</v>
      </c>
      <c r="BI29" s="225"/>
      <c r="BJ29" s="53">
        <f t="shared" si="22"/>
        <v>0</v>
      </c>
      <c r="BK29" s="224">
        <f t="shared" ref="BK29:BL95" si="50">AA29+AC29+AE29+AG29+AI29+AK29+AM29+AO29+AQ29+AS29+AU29+AW29+AY29+BA29+BC29+BE29+BG29+BI29</f>
        <v>39</v>
      </c>
      <c r="BL29" s="53">
        <f t="shared" si="50"/>
        <v>1950000</v>
      </c>
      <c r="BM29" s="307" t="s">
        <v>721</v>
      </c>
      <c r="BN29" s="682">
        <f t="shared" si="31"/>
        <v>1950000</v>
      </c>
      <c r="BO29" s="230">
        <f t="shared" si="46"/>
        <v>1950000</v>
      </c>
      <c r="BP29" s="113"/>
      <c r="BQ29" s="113"/>
      <c r="BR29" s="113"/>
      <c r="BS29" s="113">
        <f t="shared" si="47"/>
        <v>1950000</v>
      </c>
      <c r="BT29" s="113"/>
      <c r="BU29" s="113"/>
      <c r="BV29" s="113"/>
      <c r="BW29" s="217">
        <f t="shared" si="48"/>
        <v>1950000</v>
      </c>
    </row>
    <row r="30" spans="1:75" s="39" customFormat="1" x14ac:dyDescent="0.25">
      <c r="A30" s="910"/>
      <c r="B30" s="219"/>
      <c r="C30" s="38"/>
      <c r="D30" s="38" t="s">
        <v>597</v>
      </c>
      <c r="E30" s="47" t="s">
        <v>709</v>
      </c>
      <c r="F30" s="229">
        <v>200</v>
      </c>
      <c r="G30" s="222">
        <f t="shared" si="4"/>
        <v>11700</v>
      </c>
      <c r="H30" s="230">
        <f t="shared" si="35"/>
        <v>2340000</v>
      </c>
      <c r="I30" s="230"/>
      <c r="J30" s="230"/>
      <c r="K30" s="230"/>
      <c r="L30" s="230"/>
      <c r="M30" s="230"/>
      <c r="N30" s="230">
        <f t="shared" si="36"/>
        <v>2340000</v>
      </c>
      <c r="O30" s="230"/>
      <c r="P30" s="230"/>
      <c r="Q30" s="230"/>
      <c r="R30" s="230"/>
      <c r="S30" s="225">
        <f t="shared" si="37"/>
        <v>4094.9999999999995</v>
      </c>
      <c r="T30" s="225">
        <f t="shared" si="38"/>
        <v>1170</v>
      </c>
      <c r="U30" s="225">
        <f t="shared" si="39"/>
        <v>1755</v>
      </c>
      <c r="V30" s="225">
        <f t="shared" si="40"/>
        <v>4680</v>
      </c>
      <c r="W30" s="221">
        <f t="shared" si="41"/>
        <v>818999.99999999988</v>
      </c>
      <c r="X30" s="221">
        <f t="shared" si="42"/>
        <v>234000</v>
      </c>
      <c r="Y30" s="221">
        <f t="shared" si="43"/>
        <v>351000</v>
      </c>
      <c r="Z30" s="221">
        <f t="shared" si="44"/>
        <v>936000</v>
      </c>
      <c r="AA30" s="225"/>
      <c r="AB30" s="221">
        <f t="shared" si="45"/>
        <v>0</v>
      </c>
      <c r="AC30" s="225"/>
      <c r="AD30" s="225">
        <f t="shared" si="49"/>
        <v>0</v>
      </c>
      <c r="AE30" s="225"/>
      <c r="AF30" s="53">
        <f t="shared" si="7"/>
        <v>0</v>
      </c>
      <c r="AG30" s="225">
        <v>3000</v>
      </c>
      <c r="AH30" s="53">
        <f t="shared" si="8"/>
        <v>600000</v>
      </c>
      <c r="AI30" s="225">
        <v>1000</v>
      </c>
      <c r="AJ30" s="53">
        <f t="shared" si="9"/>
        <v>200000</v>
      </c>
      <c r="AK30" s="225">
        <v>2000</v>
      </c>
      <c r="AL30" s="53">
        <f t="shared" si="10"/>
        <v>400000</v>
      </c>
      <c r="AM30" s="225"/>
      <c r="AN30" s="53">
        <f t="shared" si="11"/>
        <v>0</v>
      </c>
      <c r="AO30" s="225"/>
      <c r="AP30" s="53">
        <f t="shared" si="12"/>
        <v>0</v>
      </c>
      <c r="AQ30" s="225"/>
      <c r="AR30" s="53">
        <f t="shared" si="13"/>
        <v>0</v>
      </c>
      <c r="AS30" s="225">
        <v>3200</v>
      </c>
      <c r="AT30" s="53">
        <f t="shared" si="14"/>
        <v>640000</v>
      </c>
      <c r="AU30" s="225">
        <v>0</v>
      </c>
      <c r="AV30" s="53">
        <f t="shared" si="15"/>
        <v>0</v>
      </c>
      <c r="AW30" s="225"/>
      <c r="AX30" s="53">
        <f t="shared" si="16"/>
        <v>0</v>
      </c>
      <c r="AY30" s="221"/>
      <c r="AZ30" s="53">
        <f t="shared" si="17"/>
        <v>0</v>
      </c>
      <c r="BA30" s="225"/>
      <c r="BB30" s="53">
        <f t="shared" si="18"/>
        <v>0</v>
      </c>
      <c r="BC30" s="225">
        <v>2000</v>
      </c>
      <c r="BD30" s="53">
        <f t="shared" si="19"/>
        <v>400000</v>
      </c>
      <c r="BE30" s="225">
        <v>0</v>
      </c>
      <c r="BF30" s="53">
        <f t="shared" si="20"/>
        <v>0</v>
      </c>
      <c r="BG30" s="225">
        <v>500</v>
      </c>
      <c r="BH30" s="53">
        <f t="shared" si="21"/>
        <v>100000</v>
      </c>
      <c r="BI30" s="225"/>
      <c r="BJ30" s="53">
        <f t="shared" si="22"/>
        <v>0</v>
      </c>
      <c r="BK30" s="224">
        <f t="shared" si="50"/>
        <v>11700</v>
      </c>
      <c r="BL30" s="53">
        <f t="shared" si="50"/>
        <v>2340000</v>
      </c>
      <c r="BM30" s="307" t="s">
        <v>721</v>
      </c>
      <c r="BN30" s="682">
        <f t="shared" si="31"/>
        <v>2340000</v>
      </c>
      <c r="BO30" s="230">
        <f t="shared" si="46"/>
        <v>2340000</v>
      </c>
      <c r="BP30" s="113"/>
      <c r="BQ30" s="113"/>
      <c r="BR30" s="113"/>
      <c r="BS30" s="113">
        <f t="shared" si="47"/>
        <v>2340000</v>
      </c>
      <c r="BT30" s="113"/>
      <c r="BU30" s="113"/>
      <c r="BV30" s="113"/>
      <c r="BW30" s="217">
        <f t="shared" si="48"/>
        <v>2340000</v>
      </c>
    </row>
    <row r="31" spans="1:75" s="39" customFormat="1" x14ac:dyDescent="0.25">
      <c r="A31" s="910"/>
      <c r="B31" s="219"/>
      <c r="C31" s="38"/>
      <c r="D31" s="38" t="s">
        <v>598</v>
      </c>
      <c r="E31" s="47" t="s">
        <v>605</v>
      </c>
      <c r="F31" s="229">
        <v>800</v>
      </c>
      <c r="G31" s="222">
        <f t="shared" si="4"/>
        <v>1022</v>
      </c>
      <c r="H31" s="230">
        <f t="shared" si="35"/>
        <v>817600</v>
      </c>
      <c r="I31" s="230"/>
      <c r="J31" s="230"/>
      <c r="K31" s="230"/>
      <c r="L31" s="230"/>
      <c r="M31" s="230"/>
      <c r="N31" s="230">
        <f t="shared" si="36"/>
        <v>817600</v>
      </c>
      <c r="O31" s="230"/>
      <c r="P31" s="230"/>
      <c r="Q31" s="230"/>
      <c r="R31" s="230"/>
      <c r="S31" s="225">
        <f t="shared" si="37"/>
        <v>357.7</v>
      </c>
      <c r="T31" s="225">
        <f t="shared" si="38"/>
        <v>102.2</v>
      </c>
      <c r="U31" s="225">
        <f t="shared" si="39"/>
        <v>153.29999999999998</v>
      </c>
      <c r="V31" s="225">
        <f t="shared" si="40"/>
        <v>408.8</v>
      </c>
      <c r="W31" s="221">
        <f t="shared" si="41"/>
        <v>286160</v>
      </c>
      <c r="X31" s="221">
        <f t="shared" si="42"/>
        <v>81760</v>
      </c>
      <c r="Y31" s="221">
        <f t="shared" si="43"/>
        <v>122639.99999999999</v>
      </c>
      <c r="Z31" s="221">
        <f t="shared" si="44"/>
        <v>327040</v>
      </c>
      <c r="AA31" s="225"/>
      <c r="AB31" s="221">
        <f t="shared" si="45"/>
        <v>0</v>
      </c>
      <c r="AC31" s="225"/>
      <c r="AD31" s="225">
        <f t="shared" si="49"/>
        <v>0</v>
      </c>
      <c r="AE31" s="225">
        <v>200</v>
      </c>
      <c r="AF31" s="53">
        <f t="shared" si="7"/>
        <v>160000</v>
      </c>
      <c r="AG31" s="225">
        <v>100</v>
      </c>
      <c r="AH31" s="53">
        <f t="shared" si="8"/>
        <v>80000</v>
      </c>
      <c r="AI31" s="225">
        <v>150</v>
      </c>
      <c r="AJ31" s="53">
        <f t="shared" si="9"/>
        <v>120000</v>
      </c>
      <c r="AK31" s="225">
        <v>120</v>
      </c>
      <c r="AL31" s="53">
        <f t="shared" si="10"/>
        <v>96000</v>
      </c>
      <c r="AM31" s="225">
        <v>0</v>
      </c>
      <c r="AN31" s="53">
        <f t="shared" si="11"/>
        <v>0</v>
      </c>
      <c r="AO31" s="225"/>
      <c r="AP31" s="53">
        <f t="shared" si="12"/>
        <v>0</v>
      </c>
      <c r="AQ31" s="225">
        <v>150</v>
      </c>
      <c r="AR31" s="53">
        <f t="shared" si="13"/>
        <v>120000</v>
      </c>
      <c r="AS31" s="225"/>
      <c r="AT31" s="53">
        <f t="shared" si="14"/>
        <v>0</v>
      </c>
      <c r="AU31" s="225">
        <v>0</v>
      </c>
      <c r="AV31" s="53">
        <f t="shared" si="15"/>
        <v>0</v>
      </c>
      <c r="AW31" s="225">
        <v>2</v>
      </c>
      <c r="AX31" s="53">
        <f t="shared" si="16"/>
        <v>1600</v>
      </c>
      <c r="AY31" s="221"/>
      <c r="AZ31" s="53">
        <f t="shared" si="17"/>
        <v>0</v>
      </c>
      <c r="BA31" s="225">
        <v>100</v>
      </c>
      <c r="BB31" s="53">
        <f t="shared" si="18"/>
        <v>80000</v>
      </c>
      <c r="BC31" s="225">
        <v>150</v>
      </c>
      <c r="BD31" s="53">
        <f t="shared" si="19"/>
        <v>120000</v>
      </c>
      <c r="BE31" s="225">
        <v>50</v>
      </c>
      <c r="BF31" s="53">
        <f t="shared" si="20"/>
        <v>40000</v>
      </c>
      <c r="BG31" s="225">
        <v>0</v>
      </c>
      <c r="BH31" s="53">
        <f t="shared" si="21"/>
        <v>0</v>
      </c>
      <c r="BI31" s="225"/>
      <c r="BJ31" s="53">
        <f t="shared" si="22"/>
        <v>0</v>
      </c>
      <c r="BK31" s="224">
        <f t="shared" si="50"/>
        <v>1022</v>
      </c>
      <c r="BL31" s="53">
        <f t="shared" si="50"/>
        <v>817600</v>
      </c>
      <c r="BM31" s="307" t="s">
        <v>721</v>
      </c>
      <c r="BN31" s="682">
        <f t="shared" si="31"/>
        <v>817600</v>
      </c>
      <c r="BO31" s="230">
        <f t="shared" si="46"/>
        <v>817600</v>
      </c>
      <c r="BP31" s="113"/>
      <c r="BQ31" s="113"/>
      <c r="BR31" s="113"/>
      <c r="BS31" s="113">
        <f t="shared" si="47"/>
        <v>817600</v>
      </c>
      <c r="BT31" s="113"/>
      <c r="BU31" s="113"/>
      <c r="BV31" s="113"/>
      <c r="BW31" s="217">
        <f t="shared" si="48"/>
        <v>817600</v>
      </c>
    </row>
    <row r="32" spans="1:75" s="39" customFormat="1" x14ac:dyDescent="0.25">
      <c r="A32" s="910"/>
      <c r="B32" s="219"/>
      <c r="C32" s="38"/>
      <c r="D32" s="38" t="s">
        <v>862</v>
      </c>
      <c r="E32" s="47" t="s">
        <v>152</v>
      </c>
      <c r="F32" s="229">
        <v>160000</v>
      </c>
      <c r="G32" s="222">
        <f>BK32</f>
        <v>48</v>
      </c>
      <c r="H32" s="230">
        <f t="shared" si="35"/>
        <v>7680000</v>
      </c>
      <c r="I32" s="230">
        <f>H32*0.2</f>
        <v>1536000</v>
      </c>
      <c r="J32" s="230">
        <f>H32*0.8</f>
        <v>6144000</v>
      </c>
      <c r="K32" s="230"/>
      <c r="L32" s="230"/>
      <c r="M32" s="230"/>
      <c r="N32" s="230">
        <f>H32*0</f>
        <v>0</v>
      </c>
      <c r="O32" s="230"/>
      <c r="P32" s="230"/>
      <c r="Q32" s="230">
        <f>0*H32</f>
        <v>0</v>
      </c>
      <c r="R32" s="230"/>
      <c r="S32" s="225">
        <f t="shared" si="37"/>
        <v>16.799999999999997</v>
      </c>
      <c r="T32" s="225">
        <f>G32*0.65</f>
        <v>31.200000000000003</v>
      </c>
      <c r="U32" s="225"/>
      <c r="V32" s="225"/>
      <c r="W32" s="221">
        <f t="shared" si="41"/>
        <v>2687999.9999999995</v>
      </c>
      <c r="X32" s="221">
        <f t="shared" si="42"/>
        <v>4992000</v>
      </c>
      <c r="Y32" s="221">
        <f t="shared" si="43"/>
        <v>0</v>
      </c>
      <c r="Z32" s="221">
        <f t="shared" si="44"/>
        <v>0</v>
      </c>
      <c r="AA32" s="225"/>
      <c r="AB32" s="221">
        <f>AA32*F32</f>
        <v>0</v>
      </c>
      <c r="AC32" s="225"/>
      <c r="AD32" s="225">
        <f>AC32*F32</f>
        <v>0</v>
      </c>
      <c r="AE32" s="225"/>
      <c r="AF32" s="53">
        <f>AE32*F32</f>
        <v>0</v>
      </c>
      <c r="AG32" s="225">
        <v>10</v>
      </c>
      <c r="AH32" s="53">
        <f>AG32*F32</f>
        <v>1600000</v>
      </c>
      <c r="AI32" s="632">
        <v>0</v>
      </c>
      <c r="AJ32" s="53">
        <f>AI32*F32</f>
        <v>0</v>
      </c>
      <c r="AK32" s="225">
        <v>0</v>
      </c>
      <c r="AL32" s="53">
        <f>AK32*F32</f>
        <v>0</v>
      </c>
      <c r="AM32" s="225">
        <v>0</v>
      </c>
      <c r="AN32" s="53">
        <f>AM32*F32</f>
        <v>0</v>
      </c>
      <c r="AO32" s="225"/>
      <c r="AP32" s="53">
        <f>AO32*F32</f>
        <v>0</v>
      </c>
      <c r="AQ32" s="225">
        <v>5</v>
      </c>
      <c r="AR32" s="53">
        <f>AQ32*F32</f>
        <v>800000</v>
      </c>
      <c r="AS32" s="225">
        <v>3</v>
      </c>
      <c r="AT32" s="53">
        <f>AS32*F32</f>
        <v>480000</v>
      </c>
      <c r="AU32" s="225"/>
      <c r="AV32" s="53">
        <f>AU32*F32</f>
        <v>0</v>
      </c>
      <c r="AW32" s="225"/>
      <c r="AX32" s="53">
        <f>AW32*F32</f>
        <v>0</v>
      </c>
      <c r="AY32" s="221"/>
      <c r="AZ32" s="53">
        <f>AY32*F32</f>
        <v>0</v>
      </c>
      <c r="BA32" s="225"/>
      <c r="BB32" s="53">
        <f>BA32*F32</f>
        <v>0</v>
      </c>
      <c r="BC32" s="225"/>
      <c r="BD32" s="53">
        <f>BC32*F32</f>
        <v>0</v>
      </c>
      <c r="BE32" s="225"/>
      <c r="BF32" s="53">
        <f>BE32*F32</f>
        <v>0</v>
      </c>
      <c r="BG32" s="225">
        <v>30</v>
      </c>
      <c r="BH32" s="53">
        <f>BG32*F32</f>
        <v>4800000</v>
      </c>
      <c r="BI32" s="225"/>
      <c r="BJ32" s="53">
        <f>BI32*F32</f>
        <v>0</v>
      </c>
      <c r="BK32" s="224">
        <f>AA32+AC32+AE32+AG32+AI32+AK32+AM32+AO32+AQ32+AS32+AU32+AW32+AY32+BA32+BC32+BE32+BG32+BI32</f>
        <v>48</v>
      </c>
      <c r="BL32" s="53">
        <f>AB32+AD32+AF32+AH32+AJ32+AL32+AN32+AP32+AR32+AT32+AV32+AX32+AZ32+BB32+BD32+BF32+BH32+BJ32</f>
        <v>7680000</v>
      </c>
      <c r="BM32" s="307" t="s">
        <v>467</v>
      </c>
      <c r="BN32" s="682">
        <f t="shared" si="31"/>
        <v>7680000</v>
      </c>
      <c r="BO32" s="230"/>
      <c r="BP32" s="113"/>
      <c r="BQ32" s="643">
        <f>H32</f>
        <v>7680000</v>
      </c>
      <c r="BR32" s="113"/>
      <c r="BS32" s="113">
        <f t="shared" si="47"/>
        <v>7680000</v>
      </c>
      <c r="BT32" s="113"/>
      <c r="BU32" s="113"/>
      <c r="BV32" s="113"/>
      <c r="BW32" s="217">
        <f t="shared" si="48"/>
        <v>7680000</v>
      </c>
    </row>
    <row r="33" spans="1:75" s="39" customFormat="1" x14ac:dyDescent="0.25">
      <c r="A33" s="910"/>
      <c r="B33" s="240"/>
      <c r="C33" s="241"/>
      <c r="D33" s="233" t="s">
        <v>3</v>
      </c>
      <c r="E33" s="242"/>
      <c r="F33" s="243"/>
      <c r="G33" s="235">
        <f t="shared" si="4"/>
        <v>21069.8</v>
      </c>
      <c r="H33" s="243">
        <f>SUM(H25:H32)</f>
        <v>136779600</v>
      </c>
      <c r="I33" s="243">
        <f t="shared" ref="I33:BT33" si="51">SUM(I25:I32)</f>
        <v>17436000</v>
      </c>
      <c r="J33" s="243">
        <f t="shared" si="51"/>
        <v>85644000</v>
      </c>
      <c r="K33" s="243">
        <f t="shared" si="51"/>
        <v>0</v>
      </c>
      <c r="L33" s="243">
        <f t="shared" si="51"/>
        <v>0</v>
      </c>
      <c r="M33" s="243">
        <f t="shared" si="51"/>
        <v>0</v>
      </c>
      <c r="N33" s="243">
        <f t="shared" si="51"/>
        <v>23099600</v>
      </c>
      <c r="O33" s="243">
        <f t="shared" si="51"/>
        <v>0</v>
      </c>
      <c r="P33" s="243">
        <f t="shared" si="51"/>
        <v>0</v>
      </c>
      <c r="Q33" s="243">
        <f t="shared" si="51"/>
        <v>10600000</v>
      </c>
      <c r="R33" s="243">
        <f t="shared" si="51"/>
        <v>0</v>
      </c>
      <c r="S33" s="243">
        <f t="shared" si="51"/>
        <v>7374.4299999999994</v>
      </c>
      <c r="T33" s="243">
        <f t="shared" si="51"/>
        <v>2133.3799999999997</v>
      </c>
      <c r="U33" s="243">
        <f t="shared" si="51"/>
        <v>3153.27</v>
      </c>
      <c r="V33" s="243">
        <f t="shared" si="51"/>
        <v>8408.7199999999993</v>
      </c>
      <c r="W33" s="243">
        <f t="shared" si="51"/>
        <v>47872859.999999993</v>
      </c>
      <c r="X33" s="243">
        <f t="shared" si="51"/>
        <v>17901960</v>
      </c>
      <c r="Y33" s="243">
        <f t="shared" si="51"/>
        <v>19364940</v>
      </c>
      <c r="Z33" s="243">
        <f t="shared" si="51"/>
        <v>51639840</v>
      </c>
      <c r="AA33" s="243">
        <f t="shared" si="51"/>
        <v>510</v>
      </c>
      <c r="AB33" s="243">
        <f t="shared" si="51"/>
        <v>10400000</v>
      </c>
      <c r="AC33" s="243">
        <f t="shared" si="51"/>
        <v>114</v>
      </c>
      <c r="AD33" s="243">
        <f t="shared" si="51"/>
        <v>2600000</v>
      </c>
      <c r="AE33" s="243">
        <f t="shared" si="51"/>
        <v>610</v>
      </c>
      <c r="AF33" s="243">
        <f t="shared" si="51"/>
        <v>8560000</v>
      </c>
      <c r="AG33" s="243">
        <f t="shared" si="51"/>
        <v>4684</v>
      </c>
      <c r="AH33" s="243">
        <f t="shared" si="51"/>
        <v>20080000</v>
      </c>
      <c r="AI33" s="243">
        <f t="shared" si="51"/>
        <v>1320</v>
      </c>
      <c r="AJ33" s="243">
        <f t="shared" si="51"/>
        <v>4220000</v>
      </c>
      <c r="AK33" s="243">
        <f t="shared" si="51"/>
        <v>3035</v>
      </c>
      <c r="AL33" s="243">
        <f t="shared" si="51"/>
        <v>9646000</v>
      </c>
      <c r="AM33" s="243">
        <f t="shared" si="51"/>
        <v>505</v>
      </c>
      <c r="AN33" s="243">
        <f t="shared" si="51"/>
        <v>4550000</v>
      </c>
      <c r="AO33" s="243">
        <f t="shared" si="51"/>
        <v>260</v>
      </c>
      <c r="AP33" s="243">
        <f t="shared" si="51"/>
        <v>5400000</v>
      </c>
      <c r="AQ33" s="243">
        <f t="shared" si="51"/>
        <v>209.8</v>
      </c>
      <c r="AR33" s="243">
        <f t="shared" si="51"/>
        <v>2112000</v>
      </c>
      <c r="AS33" s="243">
        <f t="shared" si="51"/>
        <v>3384</v>
      </c>
      <c r="AT33" s="243">
        <f t="shared" si="51"/>
        <v>6370000</v>
      </c>
      <c r="AU33" s="243">
        <f t="shared" si="51"/>
        <v>470</v>
      </c>
      <c r="AV33" s="243">
        <f t="shared" si="51"/>
        <v>6000000</v>
      </c>
      <c r="AW33" s="243">
        <f t="shared" si="51"/>
        <v>267</v>
      </c>
      <c r="AX33" s="243">
        <f t="shared" si="51"/>
        <v>5651600</v>
      </c>
      <c r="AY33" s="243">
        <f t="shared" si="51"/>
        <v>350</v>
      </c>
      <c r="AZ33" s="243">
        <f t="shared" si="51"/>
        <v>7000000</v>
      </c>
      <c r="BA33" s="243">
        <f t="shared" si="51"/>
        <v>515</v>
      </c>
      <c r="BB33" s="243">
        <f t="shared" si="51"/>
        <v>8680000</v>
      </c>
      <c r="BC33" s="243">
        <f t="shared" si="51"/>
        <v>2575</v>
      </c>
      <c r="BD33" s="243">
        <f t="shared" si="51"/>
        <v>9520000</v>
      </c>
      <c r="BE33" s="243">
        <f t="shared" si="51"/>
        <v>961</v>
      </c>
      <c r="BF33" s="243">
        <f t="shared" si="51"/>
        <v>9040000</v>
      </c>
      <c r="BG33" s="243">
        <f t="shared" si="51"/>
        <v>1300</v>
      </c>
      <c r="BH33" s="243">
        <f t="shared" si="51"/>
        <v>16950000</v>
      </c>
      <c r="BI33" s="243">
        <f t="shared" si="51"/>
        <v>0</v>
      </c>
      <c r="BJ33" s="243">
        <f t="shared" si="51"/>
        <v>0</v>
      </c>
      <c r="BK33" s="243">
        <f>AA33+AC33+AE33+AG33+AI33+AK33+AM33+AO33+AQ33+AS33+AU33+AW33+AY33+BA33+BC33+BE33+BG33+BI33</f>
        <v>21069.8</v>
      </c>
      <c r="BL33" s="243">
        <f>AB33+AD33+AF33+AH33+AJ33+AL33+AN33+AP33+AR33+AT33+AV33+AX33+AZ33+BB33+BD33+BF33+BH33+BJ33</f>
        <v>136779600</v>
      </c>
      <c r="BM33" s="243">
        <f t="shared" si="51"/>
        <v>0</v>
      </c>
      <c r="BN33" s="682">
        <f t="shared" si="31"/>
        <v>136779600</v>
      </c>
      <c r="BO33" s="243">
        <f t="shared" si="51"/>
        <v>129099600</v>
      </c>
      <c r="BP33" s="243">
        <f t="shared" si="51"/>
        <v>0</v>
      </c>
      <c r="BQ33" s="243">
        <f t="shared" si="51"/>
        <v>7680000</v>
      </c>
      <c r="BR33" s="243">
        <f t="shared" si="51"/>
        <v>0</v>
      </c>
      <c r="BS33" s="243">
        <f t="shared" si="51"/>
        <v>136779600</v>
      </c>
      <c r="BT33" s="243">
        <f t="shared" si="51"/>
        <v>0</v>
      </c>
      <c r="BU33" s="243">
        <f>SUM(BU25:BU32)</f>
        <v>0</v>
      </c>
      <c r="BV33" s="243">
        <f>SUM(BV25:BV32)</f>
        <v>0</v>
      </c>
      <c r="BW33" s="243">
        <f>SUM(BW25:BW32)</f>
        <v>136779600</v>
      </c>
    </row>
    <row r="34" spans="1:75" s="39" customFormat="1" x14ac:dyDescent="0.25">
      <c r="A34" s="910"/>
      <c r="B34" s="219"/>
      <c r="C34" s="38"/>
      <c r="D34" s="211" t="s">
        <v>602</v>
      </c>
      <c r="E34" s="38"/>
      <c r="F34" s="229"/>
      <c r="G34" s="222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25">
        <f>G34*0.35</f>
        <v>0</v>
      </c>
      <c r="T34" s="225">
        <f>G34*0.1</f>
        <v>0</v>
      </c>
      <c r="U34" s="225">
        <f>G34:G34*0.15</f>
        <v>0</v>
      </c>
      <c r="V34" s="225">
        <f>G34*0.4</f>
        <v>0</v>
      </c>
      <c r="W34" s="221">
        <f>S34*F34</f>
        <v>0</v>
      </c>
      <c r="X34" s="221">
        <f>T34*F34</f>
        <v>0</v>
      </c>
      <c r="Y34" s="221">
        <f>U34*F34</f>
        <v>0</v>
      </c>
      <c r="Z34" s="221">
        <f>V34*F34</f>
        <v>0</v>
      </c>
      <c r="AA34" s="225"/>
      <c r="AB34" s="221">
        <f t="shared" si="45"/>
        <v>0</v>
      </c>
      <c r="AC34" s="225"/>
      <c r="AD34" s="225">
        <f t="shared" si="49"/>
        <v>0</v>
      </c>
      <c r="AE34" s="225"/>
      <c r="AF34" s="53">
        <f t="shared" si="7"/>
        <v>0</v>
      </c>
      <c r="AG34" s="225"/>
      <c r="AH34" s="53">
        <f t="shared" si="8"/>
        <v>0</v>
      </c>
      <c r="AI34" s="225"/>
      <c r="AJ34" s="53">
        <v>0</v>
      </c>
      <c r="AK34" s="225"/>
      <c r="AL34" s="53">
        <f t="shared" si="10"/>
        <v>0</v>
      </c>
      <c r="AM34" s="225"/>
      <c r="AN34" s="53">
        <f t="shared" si="11"/>
        <v>0</v>
      </c>
      <c r="AO34" s="225"/>
      <c r="AP34" s="53">
        <f t="shared" si="12"/>
        <v>0</v>
      </c>
      <c r="AQ34" s="225"/>
      <c r="AR34" s="53">
        <f t="shared" si="13"/>
        <v>0</v>
      </c>
      <c r="AS34" s="225"/>
      <c r="AT34" s="53">
        <f t="shared" si="14"/>
        <v>0</v>
      </c>
      <c r="AU34" s="225"/>
      <c r="AV34" s="53">
        <f t="shared" si="15"/>
        <v>0</v>
      </c>
      <c r="AW34" s="225"/>
      <c r="AX34" s="53">
        <f t="shared" si="16"/>
        <v>0</v>
      </c>
      <c r="AY34" s="226"/>
      <c r="AZ34" s="53">
        <f t="shared" si="17"/>
        <v>0</v>
      </c>
      <c r="BA34" s="225"/>
      <c r="BB34" s="53">
        <f t="shared" si="18"/>
        <v>0</v>
      </c>
      <c r="BC34" s="225"/>
      <c r="BD34" s="53">
        <f t="shared" si="19"/>
        <v>0</v>
      </c>
      <c r="BE34" s="227">
        <v>1</v>
      </c>
      <c r="BF34" s="53">
        <f t="shared" si="20"/>
        <v>0</v>
      </c>
      <c r="BG34" s="225"/>
      <c r="BH34" s="53">
        <f t="shared" si="21"/>
        <v>0</v>
      </c>
      <c r="BI34" s="225"/>
      <c r="BJ34" s="53">
        <f t="shared" si="22"/>
        <v>0</v>
      </c>
      <c r="BK34" s="224"/>
      <c r="BL34" s="53"/>
      <c r="BM34" s="307"/>
      <c r="BN34" s="682">
        <f t="shared" si="31"/>
        <v>0</v>
      </c>
      <c r="BO34" s="230"/>
      <c r="BP34" s="113"/>
      <c r="BQ34" s="113"/>
      <c r="BR34" s="113"/>
      <c r="BS34" s="113"/>
      <c r="BT34" s="113"/>
      <c r="BU34" s="113"/>
      <c r="BV34" s="113"/>
      <c r="BW34" s="217"/>
    </row>
    <row r="35" spans="1:75" s="39" customFormat="1" x14ac:dyDescent="0.25">
      <c r="A35" s="910"/>
      <c r="B35" s="219"/>
      <c r="C35" s="38"/>
      <c r="D35" s="38" t="s">
        <v>600</v>
      </c>
      <c r="E35" s="38" t="s">
        <v>604</v>
      </c>
      <c r="F35" s="229">
        <v>25000</v>
      </c>
      <c r="G35" s="222">
        <f t="shared" si="4"/>
        <v>176</v>
      </c>
      <c r="H35" s="230">
        <f t="shared" ref="H35:H44" si="52">G35*F35</f>
        <v>4400000</v>
      </c>
      <c r="I35" s="230"/>
      <c r="J35" s="230"/>
      <c r="K35" s="230"/>
      <c r="L35" s="230"/>
      <c r="M35" s="230"/>
      <c r="N35" s="230">
        <f>H35</f>
        <v>4400000</v>
      </c>
      <c r="O35" s="230"/>
      <c r="P35" s="230"/>
      <c r="Q35" s="230"/>
      <c r="R35" s="230"/>
      <c r="S35" s="225">
        <f>G35*0.35</f>
        <v>61.599999999999994</v>
      </c>
      <c r="T35" s="225">
        <f>G35*0.1</f>
        <v>17.600000000000001</v>
      </c>
      <c r="U35" s="225">
        <f>G35:G35*0.15</f>
        <v>26.4</v>
      </c>
      <c r="V35" s="225">
        <f>G35*0.4</f>
        <v>70.400000000000006</v>
      </c>
      <c r="W35" s="221">
        <f>S35*F35</f>
        <v>1539999.9999999998</v>
      </c>
      <c r="X35" s="221">
        <f>T35*F35</f>
        <v>440000.00000000006</v>
      </c>
      <c r="Y35" s="221">
        <f>U35*F35</f>
        <v>660000</v>
      </c>
      <c r="Z35" s="221">
        <f>V35*F35</f>
        <v>1760000.0000000002</v>
      </c>
      <c r="AA35" s="225">
        <v>25</v>
      </c>
      <c r="AB35" s="221">
        <f t="shared" si="45"/>
        <v>625000</v>
      </c>
      <c r="AC35" s="225">
        <v>15</v>
      </c>
      <c r="AD35" s="225">
        <f t="shared" si="49"/>
        <v>375000</v>
      </c>
      <c r="AE35" s="225">
        <v>10</v>
      </c>
      <c r="AF35" s="53">
        <f t="shared" si="7"/>
        <v>250000</v>
      </c>
      <c r="AG35" s="225">
        <v>10</v>
      </c>
      <c r="AH35" s="53">
        <f t="shared" si="8"/>
        <v>250000</v>
      </c>
      <c r="AI35" s="225">
        <v>17</v>
      </c>
      <c r="AJ35" s="53">
        <f t="shared" si="9"/>
        <v>425000</v>
      </c>
      <c r="AK35" s="225">
        <v>15</v>
      </c>
      <c r="AL35" s="53">
        <f t="shared" si="10"/>
        <v>375000</v>
      </c>
      <c r="AM35" s="225">
        <v>20</v>
      </c>
      <c r="AN35" s="53">
        <f t="shared" si="11"/>
        <v>500000</v>
      </c>
      <c r="AO35" s="225"/>
      <c r="AP35" s="53">
        <f t="shared" si="12"/>
        <v>0</v>
      </c>
      <c r="AQ35" s="225"/>
      <c r="AR35" s="53">
        <f t="shared" si="13"/>
        <v>0</v>
      </c>
      <c r="AS35" s="225">
        <v>10</v>
      </c>
      <c r="AT35" s="53">
        <f t="shared" si="14"/>
        <v>250000</v>
      </c>
      <c r="AU35" s="225"/>
      <c r="AV35" s="53">
        <f t="shared" si="15"/>
        <v>0</v>
      </c>
      <c r="AW35" s="225">
        <v>8</v>
      </c>
      <c r="AX35" s="53">
        <f t="shared" si="16"/>
        <v>200000</v>
      </c>
      <c r="AY35" s="226">
        <v>2</v>
      </c>
      <c r="AZ35" s="53">
        <f t="shared" si="17"/>
        <v>50000</v>
      </c>
      <c r="BA35" s="225">
        <v>20</v>
      </c>
      <c r="BB35" s="53">
        <f t="shared" si="18"/>
        <v>500000</v>
      </c>
      <c r="BC35" s="225">
        <v>10</v>
      </c>
      <c r="BD35" s="53">
        <f t="shared" si="19"/>
        <v>250000</v>
      </c>
      <c r="BE35" s="227">
        <v>0</v>
      </c>
      <c r="BF35" s="53">
        <f t="shared" si="20"/>
        <v>0</v>
      </c>
      <c r="BG35" s="225">
        <v>14</v>
      </c>
      <c r="BH35" s="53">
        <f t="shared" si="21"/>
        <v>350000</v>
      </c>
      <c r="BI35" s="225"/>
      <c r="BJ35" s="53">
        <f t="shared" si="22"/>
        <v>0</v>
      </c>
      <c r="BK35" s="224">
        <f t="shared" si="50"/>
        <v>176</v>
      </c>
      <c r="BL35" s="53">
        <f t="shared" si="50"/>
        <v>4400000</v>
      </c>
      <c r="BM35" s="307" t="s">
        <v>721</v>
      </c>
      <c r="BN35" s="682">
        <f t="shared" si="31"/>
        <v>4400000</v>
      </c>
      <c r="BO35" s="230">
        <f>H35</f>
        <v>4400000</v>
      </c>
      <c r="BP35" s="113"/>
      <c r="BQ35" s="113"/>
      <c r="BR35" s="113"/>
      <c r="BS35" s="113">
        <f>BO35+BP35+BQ35+BR35</f>
        <v>4400000</v>
      </c>
      <c r="BT35" s="113"/>
      <c r="BU35" s="113"/>
      <c r="BV35" s="113"/>
      <c r="BW35" s="217">
        <f>BS35+BV35</f>
        <v>4400000</v>
      </c>
    </row>
    <row r="36" spans="1:75" s="39" customFormat="1" x14ac:dyDescent="0.25">
      <c r="A36" s="910"/>
      <c r="B36" s="219"/>
      <c r="C36" s="38"/>
      <c r="D36" s="38" t="s">
        <v>710</v>
      </c>
      <c r="E36" s="38" t="s">
        <v>604</v>
      </c>
      <c r="F36" s="229"/>
      <c r="G36" s="222">
        <f t="shared" si="4"/>
        <v>0</v>
      </c>
      <c r="H36" s="230">
        <f t="shared" si="52"/>
        <v>0</v>
      </c>
      <c r="I36" s="230"/>
      <c r="J36" s="230"/>
      <c r="K36" s="230">
        <f>H36*0.2</f>
        <v>0</v>
      </c>
      <c r="L36" s="230"/>
      <c r="M36" s="230"/>
      <c r="N36" s="230">
        <f>H36*0.8</f>
        <v>0</v>
      </c>
      <c r="O36" s="230"/>
      <c r="P36" s="230"/>
      <c r="Q36" s="230"/>
      <c r="R36" s="230"/>
      <c r="S36" s="225">
        <f>G36*0.35</f>
        <v>0</v>
      </c>
      <c r="T36" s="225">
        <f>G36*0.1</f>
        <v>0</v>
      </c>
      <c r="U36" s="225">
        <f>G36:G36*0.15</f>
        <v>0</v>
      </c>
      <c r="V36" s="225">
        <f>G36*0.4</f>
        <v>0</v>
      </c>
      <c r="W36" s="221">
        <f>S36*F36</f>
        <v>0</v>
      </c>
      <c r="X36" s="221">
        <f>T36*F36</f>
        <v>0</v>
      </c>
      <c r="Y36" s="221">
        <f>U36*F36</f>
        <v>0</v>
      </c>
      <c r="Z36" s="221">
        <f>V36*F36</f>
        <v>0</v>
      </c>
      <c r="AA36" s="225"/>
      <c r="AB36" s="221">
        <f t="shared" si="45"/>
        <v>0</v>
      </c>
      <c r="AC36" s="225"/>
      <c r="AD36" s="225">
        <f t="shared" si="49"/>
        <v>0</v>
      </c>
      <c r="AE36" s="225"/>
      <c r="AF36" s="53">
        <f t="shared" si="7"/>
        <v>0</v>
      </c>
      <c r="AG36" s="225">
        <v>0</v>
      </c>
      <c r="AH36" s="53">
        <f t="shared" si="8"/>
        <v>0</v>
      </c>
      <c r="AI36" s="225"/>
      <c r="AJ36" s="53">
        <f t="shared" si="9"/>
        <v>0</v>
      </c>
      <c r="AK36" s="225"/>
      <c r="AL36" s="53">
        <f t="shared" si="10"/>
        <v>0</v>
      </c>
      <c r="AM36" s="225"/>
      <c r="AN36" s="53">
        <f t="shared" si="11"/>
        <v>0</v>
      </c>
      <c r="AO36" s="225"/>
      <c r="AP36" s="53">
        <f t="shared" si="12"/>
        <v>0</v>
      </c>
      <c r="AQ36" s="225"/>
      <c r="AR36" s="53">
        <f t="shared" si="13"/>
        <v>0</v>
      </c>
      <c r="AS36" s="225"/>
      <c r="AT36" s="53">
        <f t="shared" si="14"/>
        <v>0</v>
      </c>
      <c r="AU36" s="225"/>
      <c r="AV36" s="53">
        <f t="shared" si="15"/>
        <v>0</v>
      </c>
      <c r="AW36" s="225"/>
      <c r="AX36" s="53">
        <f t="shared" si="16"/>
        <v>0</v>
      </c>
      <c r="AY36" s="226"/>
      <c r="AZ36" s="53">
        <f t="shared" si="17"/>
        <v>0</v>
      </c>
      <c r="BA36" s="225"/>
      <c r="BB36" s="53">
        <f t="shared" si="18"/>
        <v>0</v>
      </c>
      <c r="BC36" s="225"/>
      <c r="BD36" s="53">
        <f t="shared" si="19"/>
        <v>0</v>
      </c>
      <c r="BE36" s="227"/>
      <c r="BF36" s="53">
        <f t="shared" si="20"/>
        <v>0</v>
      </c>
      <c r="BG36" s="225"/>
      <c r="BH36" s="53">
        <f t="shared" si="21"/>
        <v>0</v>
      </c>
      <c r="BI36" s="225"/>
      <c r="BJ36" s="53">
        <f t="shared" si="22"/>
        <v>0</v>
      </c>
      <c r="BK36" s="224">
        <f t="shared" si="50"/>
        <v>0</v>
      </c>
      <c r="BL36" s="53">
        <f t="shared" si="50"/>
        <v>0</v>
      </c>
      <c r="BM36" s="307" t="s">
        <v>724</v>
      </c>
      <c r="BN36" s="682">
        <f t="shared" si="31"/>
        <v>0</v>
      </c>
      <c r="BO36" s="230">
        <f>H36</f>
        <v>0</v>
      </c>
      <c r="BP36" s="113"/>
      <c r="BQ36" s="113"/>
      <c r="BR36" s="113"/>
      <c r="BS36" s="113">
        <f>BO36+BP36+BQ36+BR36</f>
        <v>0</v>
      </c>
      <c r="BT36" s="113"/>
      <c r="BU36" s="113"/>
      <c r="BV36" s="113"/>
      <c r="BW36" s="217">
        <f>BS36+BV36</f>
        <v>0</v>
      </c>
    </row>
    <row r="37" spans="1:75" s="39" customFormat="1" x14ac:dyDescent="0.25">
      <c r="A37" s="910"/>
      <c r="B37" s="219"/>
      <c r="C37" s="38"/>
      <c r="D37" s="38" t="s">
        <v>676</v>
      </c>
      <c r="E37" s="38" t="s">
        <v>604</v>
      </c>
      <c r="F37" s="229">
        <v>25000</v>
      </c>
      <c r="G37" s="222">
        <f t="shared" si="4"/>
        <v>28</v>
      </c>
      <c r="H37" s="230">
        <f t="shared" si="52"/>
        <v>700000</v>
      </c>
      <c r="I37" s="230"/>
      <c r="J37" s="230"/>
      <c r="K37" s="230"/>
      <c r="L37" s="230"/>
      <c r="M37" s="230"/>
      <c r="N37" s="230">
        <f>H37</f>
        <v>700000</v>
      </c>
      <c r="O37" s="230"/>
      <c r="P37" s="230"/>
      <c r="Q37" s="230"/>
      <c r="R37" s="230"/>
      <c r="S37" s="225">
        <f>G37*0.35</f>
        <v>9.7999999999999989</v>
      </c>
      <c r="T37" s="225">
        <f>G37*0.1</f>
        <v>2.8000000000000003</v>
      </c>
      <c r="U37" s="225">
        <f>G37:G37*0.15</f>
        <v>4.2</v>
      </c>
      <c r="V37" s="225">
        <f>G37*0.4</f>
        <v>11.200000000000001</v>
      </c>
      <c r="W37" s="221">
        <f>S37*F37</f>
        <v>244999.99999999997</v>
      </c>
      <c r="X37" s="221">
        <f>T37*F37</f>
        <v>70000</v>
      </c>
      <c r="Y37" s="221">
        <f>U37*F37</f>
        <v>105000</v>
      </c>
      <c r="Z37" s="221">
        <f>V37*F37</f>
        <v>280000</v>
      </c>
      <c r="AA37" s="225">
        <v>0</v>
      </c>
      <c r="AB37" s="221">
        <f t="shared" si="45"/>
        <v>0</v>
      </c>
      <c r="AC37" s="225"/>
      <c r="AD37" s="225">
        <f t="shared" si="49"/>
        <v>0</v>
      </c>
      <c r="AE37" s="225"/>
      <c r="AF37" s="53">
        <f t="shared" si="7"/>
        <v>0</v>
      </c>
      <c r="AG37" s="225">
        <v>20</v>
      </c>
      <c r="AH37" s="53">
        <f t="shared" si="8"/>
        <v>500000</v>
      </c>
      <c r="AI37" s="225"/>
      <c r="AJ37" s="53">
        <f t="shared" si="9"/>
        <v>0</v>
      </c>
      <c r="AK37" s="225">
        <v>4</v>
      </c>
      <c r="AL37" s="53">
        <f t="shared" si="10"/>
        <v>100000</v>
      </c>
      <c r="AM37" s="225"/>
      <c r="AN37" s="53">
        <f t="shared" si="11"/>
        <v>0</v>
      </c>
      <c r="AO37" s="225"/>
      <c r="AP37" s="53">
        <f t="shared" si="12"/>
        <v>0</v>
      </c>
      <c r="AQ37" s="225"/>
      <c r="AR37" s="53">
        <f t="shared" si="13"/>
        <v>0</v>
      </c>
      <c r="AS37" s="225"/>
      <c r="AT37" s="53">
        <f t="shared" si="14"/>
        <v>0</v>
      </c>
      <c r="AU37" s="225"/>
      <c r="AV37" s="53">
        <f t="shared" si="15"/>
        <v>0</v>
      </c>
      <c r="AW37" s="225"/>
      <c r="AX37" s="53">
        <f t="shared" si="16"/>
        <v>0</v>
      </c>
      <c r="AY37" s="226"/>
      <c r="AZ37" s="53">
        <f t="shared" si="17"/>
        <v>0</v>
      </c>
      <c r="BA37" s="225">
        <v>4</v>
      </c>
      <c r="BB37" s="53">
        <f t="shared" si="18"/>
        <v>100000</v>
      </c>
      <c r="BC37" s="225"/>
      <c r="BD37" s="53">
        <f t="shared" si="19"/>
        <v>0</v>
      </c>
      <c r="BE37" s="227"/>
      <c r="BF37" s="53">
        <f t="shared" si="20"/>
        <v>0</v>
      </c>
      <c r="BG37" s="225">
        <v>0</v>
      </c>
      <c r="BH37" s="53">
        <f t="shared" si="21"/>
        <v>0</v>
      </c>
      <c r="BI37" s="225"/>
      <c r="BJ37" s="53">
        <f t="shared" si="22"/>
        <v>0</v>
      </c>
      <c r="BK37" s="224">
        <f t="shared" si="50"/>
        <v>28</v>
      </c>
      <c r="BL37" s="53">
        <f t="shared" si="50"/>
        <v>700000</v>
      </c>
      <c r="BM37" s="307" t="s">
        <v>721</v>
      </c>
      <c r="BN37" s="682">
        <f t="shared" si="31"/>
        <v>700000</v>
      </c>
      <c r="BO37" s="230">
        <f>H37</f>
        <v>700000</v>
      </c>
      <c r="BP37" s="113"/>
      <c r="BQ37" s="113"/>
      <c r="BR37" s="113"/>
      <c r="BS37" s="113">
        <f>BO37+BP37+BQ37+BR37</f>
        <v>700000</v>
      </c>
      <c r="BT37" s="113"/>
      <c r="BU37" s="113"/>
      <c r="BV37" s="113"/>
      <c r="BW37" s="217">
        <f>BS37+BV37</f>
        <v>700000</v>
      </c>
    </row>
    <row r="38" spans="1:75" s="39" customFormat="1" x14ac:dyDescent="0.25">
      <c r="A38" s="910"/>
      <c r="B38" s="240"/>
      <c r="C38" s="241"/>
      <c r="D38" s="233" t="s">
        <v>3</v>
      </c>
      <c r="E38" s="241"/>
      <c r="F38" s="243"/>
      <c r="G38" s="235">
        <f t="shared" si="4"/>
        <v>204</v>
      </c>
      <c r="H38" s="206">
        <f t="shared" ref="H38:BJ38" si="53">SUM(H35:H37)</f>
        <v>5100000</v>
      </c>
      <c r="I38" s="243">
        <f>SUM(I35:I37)</f>
        <v>0</v>
      </c>
      <c r="J38" s="244">
        <f t="shared" si="53"/>
        <v>0</v>
      </c>
      <c r="K38" s="244">
        <f t="shared" si="53"/>
        <v>0</v>
      </c>
      <c r="L38" s="244">
        <f t="shared" si="53"/>
        <v>0</v>
      </c>
      <c r="M38" s="244">
        <f t="shared" si="53"/>
        <v>0</v>
      </c>
      <c r="N38" s="244">
        <f t="shared" si="53"/>
        <v>5100000</v>
      </c>
      <c r="O38" s="244">
        <f t="shared" si="53"/>
        <v>0</v>
      </c>
      <c r="P38" s="244">
        <f t="shared" si="53"/>
        <v>0</v>
      </c>
      <c r="Q38" s="244">
        <f t="shared" si="53"/>
        <v>0</v>
      </c>
      <c r="R38" s="244">
        <f t="shared" si="53"/>
        <v>0</v>
      </c>
      <c r="S38" s="244">
        <f t="shared" si="53"/>
        <v>71.399999999999991</v>
      </c>
      <c r="T38" s="244">
        <f t="shared" si="53"/>
        <v>20.400000000000002</v>
      </c>
      <c r="U38" s="244">
        <f t="shared" si="53"/>
        <v>30.599999999999998</v>
      </c>
      <c r="V38" s="244">
        <f t="shared" si="53"/>
        <v>81.600000000000009</v>
      </c>
      <c r="W38" s="244">
        <f t="shared" si="53"/>
        <v>1784999.9999999998</v>
      </c>
      <c r="X38" s="244">
        <f t="shared" si="53"/>
        <v>510000.00000000006</v>
      </c>
      <c r="Y38" s="244">
        <f t="shared" si="53"/>
        <v>765000</v>
      </c>
      <c r="Z38" s="244">
        <f t="shared" si="53"/>
        <v>2040000.0000000002</v>
      </c>
      <c r="AA38" s="245">
        <f t="shared" si="53"/>
        <v>25</v>
      </c>
      <c r="AB38" s="245">
        <f t="shared" si="53"/>
        <v>625000</v>
      </c>
      <c r="AC38" s="245">
        <f t="shared" si="53"/>
        <v>15</v>
      </c>
      <c r="AD38" s="245">
        <f t="shared" si="53"/>
        <v>375000</v>
      </c>
      <c r="AE38" s="245">
        <f t="shared" si="53"/>
        <v>10</v>
      </c>
      <c r="AF38" s="245">
        <f t="shared" si="53"/>
        <v>250000</v>
      </c>
      <c r="AG38" s="245">
        <f t="shared" si="53"/>
        <v>30</v>
      </c>
      <c r="AH38" s="245">
        <f t="shared" si="53"/>
        <v>750000</v>
      </c>
      <c r="AI38" s="245">
        <f t="shared" si="53"/>
        <v>17</v>
      </c>
      <c r="AJ38" s="245">
        <f t="shared" si="53"/>
        <v>425000</v>
      </c>
      <c r="AK38" s="245">
        <f t="shared" si="53"/>
        <v>19</v>
      </c>
      <c r="AL38" s="245">
        <f t="shared" si="53"/>
        <v>475000</v>
      </c>
      <c r="AM38" s="245">
        <f t="shared" si="53"/>
        <v>20</v>
      </c>
      <c r="AN38" s="245">
        <f t="shared" si="53"/>
        <v>500000</v>
      </c>
      <c r="AO38" s="245">
        <f t="shared" si="53"/>
        <v>0</v>
      </c>
      <c r="AP38" s="245">
        <f t="shared" si="53"/>
        <v>0</v>
      </c>
      <c r="AQ38" s="245">
        <f t="shared" si="53"/>
        <v>0</v>
      </c>
      <c r="AR38" s="245">
        <f t="shared" si="53"/>
        <v>0</v>
      </c>
      <c r="AS38" s="245">
        <f t="shared" si="53"/>
        <v>10</v>
      </c>
      <c r="AT38" s="245">
        <f t="shared" si="53"/>
        <v>250000</v>
      </c>
      <c r="AU38" s="245">
        <f t="shared" si="53"/>
        <v>0</v>
      </c>
      <c r="AV38" s="245">
        <f t="shared" si="53"/>
        <v>0</v>
      </c>
      <c r="AW38" s="245">
        <f t="shared" si="53"/>
        <v>8</v>
      </c>
      <c r="AX38" s="245">
        <f t="shared" si="53"/>
        <v>200000</v>
      </c>
      <c r="AY38" s="245">
        <f t="shared" si="53"/>
        <v>2</v>
      </c>
      <c r="AZ38" s="245">
        <f t="shared" si="53"/>
        <v>50000</v>
      </c>
      <c r="BA38" s="245">
        <f t="shared" si="53"/>
        <v>24</v>
      </c>
      <c r="BB38" s="245">
        <f t="shared" si="53"/>
        <v>600000</v>
      </c>
      <c r="BC38" s="245">
        <f t="shared" si="53"/>
        <v>10</v>
      </c>
      <c r="BD38" s="245">
        <f t="shared" si="53"/>
        <v>250000</v>
      </c>
      <c r="BE38" s="245">
        <f t="shared" si="53"/>
        <v>0</v>
      </c>
      <c r="BF38" s="245">
        <f t="shared" si="53"/>
        <v>0</v>
      </c>
      <c r="BG38" s="245">
        <f t="shared" si="53"/>
        <v>14</v>
      </c>
      <c r="BH38" s="245">
        <f t="shared" si="53"/>
        <v>350000</v>
      </c>
      <c r="BI38" s="245">
        <f t="shared" si="53"/>
        <v>0</v>
      </c>
      <c r="BJ38" s="245">
        <f t="shared" si="53"/>
        <v>0</v>
      </c>
      <c r="BK38" s="245">
        <f t="shared" si="50"/>
        <v>204</v>
      </c>
      <c r="BL38" s="245">
        <f t="shared" si="50"/>
        <v>5100000</v>
      </c>
      <c r="BM38" s="307" t="s">
        <v>721</v>
      </c>
      <c r="BN38" s="682">
        <f t="shared" si="31"/>
        <v>5100000</v>
      </c>
      <c r="BO38" s="246">
        <f t="shared" ref="BO38:BW38" si="54">SUM(BO35:BO37)</f>
        <v>5100000</v>
      </c>
      <c r="BP38" s="246">
        <f t="shared" si="54"/>
        <v>0</v>
      </c>
      <c r="BQ38" s="246">
        <f t="shared" si="54"/>
        <v>0</v>
      </c>
      <c r="BR38" s="246">
        <f t="shared" si="54"/>
        <v>0</v>
      </c>
      <c r="BS38" s="246">
        <f t="shared" si="54"/>
        <v>5100000</v>
      </c>
      <c r="BT38" s="246">
        <f t="shared" si="54"/>
        <v>0</v>
      </c>
      <c r="BU38" s="246">
        <f t="shared" si="54"/>
        <v>0</v>
      </c>
      <c r="BV38" s="246">
        <f t="shared" si="54"/>
        <v>0</v>
      </c>
      <c r="BW38" s="246">
        <f t="shared" si="54"/>
        <v>5100000</v>
      </c>
    </row>
    <row r="39" spans="1:75" s="39" customFormat="1" x14ac:dyDescent="0.25">
      <c r="A39" s="910"/>
      <c r="B39" s="247"/>
      <c r="C39" s="238"/>
      <c r="D39" s="248" t="s">
        <v>714</v>
      </c>
      <c r="E39" s="238"/>
      <c r="F39" s="249"/>
      <c r="G39" s="222">
        <f t="shared" si="4"/>
        <v>0</v>
      </c>
      <c r="H39" s="230">
        <f t="shared" si="52"/>
        <v>0</v>
      </c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25">
        <f t="shared" ref="S39:S44" si="55">G39*0.35</f>
        <v>0</v>
      </c>
      <c r="T39" s="225">
        <f t="shared" ref="T39:T44" si="56">G39*0.1</f>
        <v>0</v>
      </c>
      <c r="U39" s="225">
        <f t="shared" ref="U39:U44" si="57">G39:G39*0.15</f>
        <v>0</v>
      </c>
      <c r="V39" s="225">
        <f t="shared" ref="V39:V44" si="58">G39*0.4</f>
        <v>0</v>
      </c>
      <c r="W39" s="221">
        <f t="shared" ref="W39:W44" si="59">S39*F39</f>
        <v>0</v>
      </c>
      <c r="X39" s="221">
        <f t="shared" ref="X39:X44" si="60">T39*F39</f>
        <v>0</v>
      </c>
      <c r="Y39" s="221">
        <f t="shared" ref="Y39:Y44" si="61">U39*F39</f>
        <v>0</v>
      </c>
      <c r="Z39" s="221">
        <f t="shared" ref="Z39:Z44" si="62">V39*F39</f>
        <v>0</v>
      </c>
      <c r="AA39" s="251"/>
      <c r="AB39" s="221">
        <f t="shared" si="45"/>
        <v>0</v>
      </c>
      <c r="AC39" s="251"/>
      <c r="AD39" s="225">
        <f t="shared" si="49"/>
        <v>0</v>
      </c>
      <c r="AE39" s="251"/>
      <c r="AF39" s="53">
        <f t="shared" si="7"/>
        <v>0</v>
      </c>
      <c r="AG39" s="251"/>
      <c r="AH39" s="53">
        <f t="shared" si="8"/>
        <v>0</v>
      </c>
      <c r="AI39" s="251"/>
      <c r="AJ39" s="53">
        <f t="shared" si="9"/>
        <v>0</v>
      </c>
      <c r="AK39" s="251"/>
      <c r="AL39" s="53">
        <f t="shared" si="10"/>
        <v>0</v>
      </c>
      <c r="AM39" s="251"/>
      <c r="AN39" s="53">
        <f t="shared" si="11"/>
        <v>0</v>
      </c>
      <c r="AO39" s="251"/>
      <c r="AP39" s="53">
        <f t="shared" si="12"/>
        <v>0</v>
      </c>
      <c r="AQ39" s="251"/>
      <c r="AR39" s="53">
        <f t="shared" si="13"/>
        <v>0</v>
      </c>
      <c r="AS39" s="251"/>
      <c r="AT39" s="53">
        <f t="shared" si="14"/>
        <v>0</v>
      </c>
      <c r="AU39" s="251"/>
      <c r="AV39" s="53">
        <f t="shared" si="15"/>
        <v>0</v>
      </c>
      <c r="AW39" s="251"/>
      <c r="AX39" s="53">
        <f t="shared" si="16"/>
        <v>0</v>
      </c>
      <c r="AY39" s="252"/>
      <c r="AZ39" s="53">
        <f t="shared" si="17"/>
        <v>0</v>
      </c>
      <c r="BA39" s="251"/>
      <c r="BB39" s="53">
        <f t="shared" si="18"/>
        <v>0</v>
      </c>
      <c r="BC39" s="251"/>
      <c r="BD39" s="53">
        <f t="shared" si="19"/>
        <v>0</v>
      </c>
      <c r="BE39" s="253"/>
      <c r="BF39" s="53">
        <f t="shared" si="20"/>
        <v>0</v>
      </c>
      <c r="BG39" s="251"/>
      <c r="BH39" s="53">
        <f t="shared" si="21"/>
        <v>0</v>
      </c>
      <c r="BI39" s="251"/>
      <c r="BJ39" s="53">
        <f t="shared" si="22"/>
        <v>0</v>
      </c>
      <c r="BK39" s="224">
        <f t="shared" si="50"/>
        <v>0</v>
      </c>
      <c r="BL39" s="53">
        <f t="shared" si="50"/>
        <v>0</v>
      </c>
      <c r="BM39" s="307" t="s">
        <v>721</v>
      </c>
      <c r="BN39" s="682">
        <f t="shared" si="31"/>
        <v>0</v>
      </c>
      <c r="BO39" s="230"/>
      <c r="BP39" s="113"/>
      <c r="BQ39" s="113"/>
      <c r="BR39" s="113"/>
      <c r="BS39" s="113"/>
      <c r="BT39" s="113"/>
      <c r="BU39" s="113"/>
      <c r="BV39" s="113"/>
      <c r="BW39" s="217"/>
    </row>
    <row r="40" spans="1:75" s="39" customFormat="1" x14ac:dyDescent="0.25">
      <c r="A40" s="910"/>
      <c r="B40" s="219"/>
      <c r="C40" s="38"/>
      <c r="D40" s="38" t="s">
        <v>683</v>
      </c>
      <c r="E40" s="38" t="s">
        <v>604</v>
      </c>
      <c r="F40" s="229">
        <v>113000</v>
      </c>
      <c r="G40" s="222">
        <f t="shared" si="4"/>
        <v>0</v>
      </c>
      <c r="H40" s="230">
        <f t="shared" si="52"/>
        <v>0</v>
      </c>
      <c r="I40" s="230"/>
      <c r="J40" s="230"/>
      <c r="K40" s="230"/>
      <c r="L40" s="230"/>
      <c r="M40" s="230"/>
      <c r="N40" s="230">
        <f>H40</f>
        <v>0</v>
      </c>
      <c r="O40" s="230"/>
      <c r="P40" s="230"/>
      <c r="Q40" s="230"/>
      <c r="R40" s="230"/>
      <c r="S40" s="225">
        <f t="shared" si="55"/>
        <v>0</v>
      </c>
      <c r="T40" s="225">
        <f t="shared" si="56"/>
        <v>0</v>
      </c>
      <c r="U40" s="225">
        <f t="shared" si="57"/>
        <v>0</v>
      </c>
      <c r="V40" s="225">
        <f t="shared" si="58"/>
        <v>0</v>
      </c>
      <c r="W40" s="221">
        <f t="shared" si="59"/>
        <v>0</v>
      </c>
      <c r="X40" s="221">
        <f t="shared" si="60"/>
        <v>0</v>
      </c>
      <c r="Y40" s="221">
        <f t="shared" si="61"/>
        <v>0</v>
      </c>
      <c r="Z40" s="221">
        <f t="shared" si="62"/>
        <v>0</v>
      </c>
      <c r="AA40" s="225"/>
      <c r="AB40" s="221">
        <f t="shared" si="45"/>
        <v>0</v>
      </c>
      <c r="AC40" s="225">
        <v>0</v>
      </c>
      <c r="AD40" s="225">
        <f t="shared" si="49"/>
        <v>0</v>
      </c>
      <c r="AE40" s="225"/>
      <c r="AF40" s="53">
        <f t="shared" si="7"/>
        <v>0</v>
      </c>
      <c r="AG40" s="225">
        <v>0</v>
      </c>
      <c r="AH40" s="53">
        <f t="shared" si="8"/>
        <v>0</v>
      </c>
      <c r="AI40" s="225">
        <v>0</v>
      </c>
      <c r="AJ40" s="53">
        <f t="shared" si="9"/>
        <v>0</v>
      </c>
      <c r="AK40" s="225">
        <v>0</v>
      </c>
      <c r="AL40" s="53">
        <f t="shared" si="10"/>
        <v>0</v>
      </c>
      <c r="AM40" s="225">
        <v>0</v>
      </c>
      <c r="AN40" s="53">
        <f t="shared" si="11"/>
        <v>0</v>
      </c>
      <c r="AO40" s="225"/>
      <c r="AP40" s="53">
        <f t="shared" si="12"/>
        <v>0</v>
      </c>
      <c r="AQ40" s="225"/>
      <c r="AR40" s="53">
        <f t="shared" si="13"/>
        <v>0</v>
      </c>
      <c r="AS40" s="225">
        <v>0</v>
      </c>
      <c r="AT40" s="53">
        <f t="shared" si="14"/>
        <v>0</v>
      </c>
      <c r="AU40" s="225"/>
      <c r="AV40" s="53">
        <f t="shared" si="15"/>
        <v>0</v>
      </c>
      <c r="AW40" s="225">
        <v>0</v>
      </c>
      <c r="AX40" s="53">
        <f t="shared" si="16"/>
        <v>0</v>
      </c>
      <c r="AY40" s="226"/>
      <c r="AZ40" s="53">
        <f t="shared" si="17"/>
        <v>0</v>
      </c>
      <c r="BA40" s="225"/>
      <c r="BB40" s="53">
        <f t="shared" si="18"/>
        <v>0</v>
      </c>
      <c r="BC40" s="225">
        <v>0</v>
      </c>
      <c r="BD40" s="53">
        <f t="shared" si="19"/>
        <v>0</v>
      </c>
      <c r="BE40" s="227">
        <v>0</v>
      </c>
      <c r="BF40" s="53">
        <f t="shared" si="20"/>
        <v>0</v>
      </c>
      <c r="BG40" s="225">
        <v>0</v>
      </c>
      <c r="BH40" s="53">
        <f t="shared" si="21"/>
        <v>0</v>
      </c>
      <c r="BI40" s="225"/>
      <c r="BJ40" s="53">
        <f t="shared" si="22"/>
        <v>0</v>
      </c>
      <c r="BK40" s="224">
        <f t="shared" si="50"/>
        <v>0</v>
      </c>
      <c r="BL40" s="53">
        <f t="shared" si="50"/>
        <v>0</v>
      </c>
      <c r="BM40" s="307" t="s">
        <v>721</v>
      </c>
      <c r="BN40" s="682">
        <f t="shared" si="31"/>
        <v>0</v>
      </c>
      <c r="BO40" s="230">
        <f>H40</f>
        <v>0</v>
      </c>
      <c r="BP40" s="113"/>
      <c r="BQ40" s="113"/>
      <c r="BR40" s="113"/>
      <c r="BS40" s="113">
        <f>BO40+BP40+BQ40+BR40</f>
        <v>0</v>
      </c>
      <c r="BT40" s="113"/>
      <c r="BU40" s="113"/>
      <c r="BV40" s="113"/>
      <c r="BW40" s="217">
        <f>BS40+BV40</f>
        <v>0</v>
      </c>
    </row>
    <row r="41" spans="1:75" s="39" customFormat="1" x14ac:dyDescent="0.25">
      <c r="A41" s="910"/>
      <c r="B41" s="219"/>
      <c r="C41" s="38"/>
      <c r="D41" s="38" t="s">
        <v>695</v>
      </c>
      <c r="E41" s="38" t="s">
        <v>604</v>
      </c>
      <c r="F41" s="229">
        <v>44000</v>
      </c>
      <c r="G41" s="222">
        <f t="shared" si="4"/>
        <v>58</v>
      </c>
      <c r="H41" s="230">
        <f t="shared" si="52"/>
        <v>2552000</v>
      </c>
      <c r="I41" s="230"/>
      <c r="J41" s="230"/>
      <c r="K41" s="230"/>
      <c r="L41" s="230"/>
      <c r="M41" s="230"/>
      <c r="N41" s="230">
        <f>H41</f>
        <v>2552000</v>
      </c>
      <c r="O41" s="230"/>
      <c r="P41" s="230"/>
      <c r="Q41" s="230"/>
      <c r="R41" s="230"/>
      <c r="S41" s="225">
        <f t="shared" si="55"/>
        <v>20.299999999999997</v>
      </c>
      <c r="T41" s="225">
        <f t="shared" si="56"/>
        <v>5.8000000000000007</v>
      </c>
      <c r="U41" s="225">
        <f t="shared" si="57"/>
        <v>8.6999999999999993</v>
      </c>
      <c r="V41" s="225">
        <f t="shared" si="58"/>
        <v>23.200000000000003</v>
      </c>
      <c r="W41" s="221">
        <f t="shared" si="59"/>
        <v>893199.99999999988</v>
      </c>
      <c r="X41" s="221">
        <f t="shared" si="60"/>
        <v>255200.00000000003</v>
      </c>
      <c r="Y41" s="221">
        <f t="shared" si="61"/>
        <v>382799.99999999994</v>
      </c>
      <c r="Z41" s="221">
        <f t="shared" si="62"/>
        <v>1020800.0000000001</v>
      </c>
      <c r="AA41" s="225"/>
      <c r="AB41" s="221">
        <f t="shared" si="45"/>
        <v>0</v>
      </c>
      <c r="AC41" s="225">
        <v>4</v>
      </c>
      <c r="AD41" s="225">
        <f t="shared" si="49"/>
        <v>176000</v>
      </c>
      <c r="AE41" s="225"/>
      <c r="AF41" s="53">
        <f t="shared" si="7"/>
        <v>0</v>
      </c>
      <c r="AG41" s="225">
        <v>10</v>
      </c>
      <c r="AH41" s="53">
        <f t="shared" si="8"/>
        <v>440000</v>
      </c>
      <c r="AI41" s="225">
        <v>5</v>
      </c>
      <c r="AJ41" s="53">
        <f t="shared" si="9"/>
        <v>220000</v>
      </c>
      <c r="AK41" s="225">
        <v>5</v>
      </c>
      <c r="AL41" s="53">
        <f t="shared" si="10"/>
        <v>220000</v>
      </c>
      <c r="AM41" s="225">
        <v>5</v>
      </c>
      <c r="AN41" s="53">
        <f t="shared" si="11"/>
        <v>220000</v>
      </c>
      <c r="AO41" s="225">
        <v>5</v>
      </c>
      <c r="AP41" s="53">
        <f t="shared" si="12"/>
        <v>220000</v>
      </c>
      <c r="AQ41" s="225"/>
      <c r="AR41" s="53">
        <f t="shared" si="13"/>
        <v>0</v>
      </c>
      <c r="AS41" s="225">
        <v>5</v>
      </c>
      <c r="AT41" s="53">
        <f t="shared" si="14"/>
        <v>220000</v>
      </c>
      <c r="AU41" s="225"/>
      <c r="AV41" s="53">
        <f t="shared" si="15"/>
        <v>0</v>
      </c>
      <c r="AW41" s="225">
        <v>5</v>
      </c>
      <c r="AX41" s="53">
        <f t="shared" si="16"/>
        <v>220000</v>
      </c>
      <c r="AY41" s="226"/>
      <c r="AZ41" s="53">
        <f t="shared" si="17"/>
        <v>0</v>
      </c>
      <c r="BA41" s="225"/>
      <c r="BB41" s="53">
        <f t="shared" si="18"/>
        <v>0</v>
      </c>
      <c r="BC41" s="225">
        <v>5</v>
      </c>
      <c r="BD41" s="53">
        <f t="shared" si="19"/>
        <v>220000</v>
      </c>
      <c r="BE41" s="227">
        <v>4</v>
      </c>
      <c r="BF41" s="53">
        <f t="shared" si="20"/>
        <v>176000</v>
      </c>
      <c r="BG41" s="225">
        <v>5</v>
      </c>
      <c r="BH41" s="53">
        <f t="shared" si="21"/>
        <v>220000</v>
      </c>
      <c r="BI41" s="225"/>
      <c r="BJ41" s="53">
        <f t="shared" si="22"/>
        <v>0</v>
      </c>
      <c r="BK41" s="224">
        <f t="shared" si="50"/>
        <v>58</v>
      </c>
      <c r="BL41" s="53">
        <f t="shared" si="50"/>
        <v>2552000</v>
      </c>
      <c r="BM41" s="307" t="s">
        <v>721</v>
      </c>
      <c r="BN41" s="682">
        <f t="shared" si="31"/>
        <v>2552000</v>
      </c>
      <c r="BO41" s="230">
        <f>H41</f>
        <v>2552000</v>
      </c>
      <c r="BP41" s="113"/>
      <c r="BQ41" s="113"/>
      <c r="BR41" s="113"/>
      <c r="BS41" s="113">
        <f>BO41+BP41+BQ41+BR41</f>
        <v>2552000</v>
      </c>
      <c r="BT41" s="113"/>
      <c r="BU41" s="113"/>
      <c r="BV41" s="113"/>
      <c r="BW41" s="217">
        <f>BS41+BV41</f>
        <v>2552000</v>
      </c>
    </row>
    <row r="42" spans="1:75" s="39" customFormat="1" x14ac:dyDescent="0.25">
      <c r="A42" s="910"/>
      <c r="B42" s="219"/>
      <c r="C42" s="38"/>
      <c r="D42" s="38" t="s">
        <v>685</v>
      </c>
      <c r="E42" s="38" t="s">
        <v>686</v>
      </c>
      <c r="F42" s="229">
        <v>182</v>
      </c>
      <c r="G42" s="222">
        <f t="shared" si="4"/>
        <v>0</v>
      </c>
      <c r="H42" s="230">
        <f t="shared" si="52"/>
        <v>0</v>
      </c>
      <c r="I42" s="230"/>
      <c r="J42" s="230"/>
      <c r="K42" s="230"/>
      <c r="L42" s="230"/>
      <c r="M42" s="230"/>
      <c r="N42" s="230">
        <f>H42</f>
        <v>0</v>
      </c>
      <c r="O42" s="230"/>
      <c r="P42" s="230"/>
      <c r="Q42" s="230"/>
      <c r="R42" s="230"/>
      <c r="S42" s="225">
        <f t="shared" si="55"/>
        <v>0</v>
      </c>
      <c r="T42" s="225">
        <f t="shared" si="56"/>
        <v>0</v>
      </c>
      <c r="U42" s="225">
        <f t="shared" si="57"/>
        <v>0</v>
      </c>
      <c r="V42" s="225">
        <f t="shared" si="58"/>
        <v>0</v>
      </c>
      <c r="W42" s="221">
        <f t="shared" si="59"/>
        <v>0</v>
      </c>
      <c r="X42" s="221">
        <f t="shared" si="60"/>
        <v>0</v>
      </c>
      <c r="Y42" s="221">
        <f t="shared" si="61"/>
        <v>0</v>
      </c>
      <c r="Z42" s="221">
        <f t="shared" si="62"/>
        <v>0</v>
      </c>
      <c r="AA42" s="225"/>
      <c r="AB42" s="221">
        <f t="shared" si="45"/>
        <v>0</v>
      </c>
      <c r="AC42" s="225"/>
      <c r="AD42" s="225">
        <f t="shared" si="49"/>
        <v>0</v>
      </c>
      <c r="AE42" s="225"/>
      <c r="AF42" s="53">
        <f t="shared" si="7"/>
        <v>0</v>
      </c>
      <c r="AG42" s="225"/>
      <c r="AH42" s="53">
        <f t="shared" si="8"/>
        <v>0</v>
      </c>
      <c r="AI42" s="225"/>
      <c r="AJ42" s="53">
        <f t="shared" si="9"/>
        <v>0</v>
      </c>
      <c r="AK42" s="225">
        <v>0</v>
      </c>
      <c r="AL42" s="53">
        <f t="shared" si="10"/>
        <v>0</v>
      </c>
      <c r="AM42" s="225"/>
      <c r="AN42" s="53">
        <f t="shared" si="11"/>
        <v>0</v>
      </c>
      <c r="AO42" s="225"/>
      <c r="AP42" s="53">
        <f t="shared" si="12"/>
        <v>0</v>
      </c>
      <c r="AQ42" s="225">
        <v>0</v>
      </c>
      <c r="AR42" s="53">
        <f t="shared" si="13"/>
        <v>0</v>
      </c>
      <c r="AS42" s="225">
        <v>0</v>
      </c>
      <c r="AT42" s="53">
        <f t="shared" si="14"/>
        <v>0</v>
      </c>
      <c r="AU42" s="225"/>
      <c r="AV42" s="53">
        <f t="shared" si="15"/>
        <v>0</v>
      </c>
      <c r="AW42" s="225"/>
      <c r="AX42" s="53">
        <f t="shared" si="16"/>
        <v>0</v>
      </c>
      <c r="AY42" s="226"/>
      <c r="AZ42" s="53">
        <f t="shared" si="17"/>
        <v>0</v>
      </c>
      <c r="BA42" s="225"/>
      <c r="BB42" s="53">
        <f t="shared" si="18"/>
        <v>0</v>
      </c>
      <c r="BC42" s="225"/>
      <c r="BD42" s="53">
        <f t="shared" si="19"/>
        <v>0</v>
      </c>
      <c r="BE42" s="227"/>
      <c r="BF42" s="53">
        <f t="shared" si="20"/>
        <v>0</v>
      </c>
      <c r="BG42" s="225"/>
      <c r="BH42" s="53">
        <f t="shared" si="21"/>
        <v>0</v>
      </c>
      <c r="BI42" s="225"/>
      <c r="BJ42" s="53">
        <f t="shared" si="22"/>
        <v>0</v>
      </c>
      <c r="BK42" s="224">
        <f t="shared" si="50"/>
        <v>0</v>
      </c>
      <c r="BL42" s="53">
        <f t="shared" si="50"/>
        <v>0</v>
      </c>
      <c r="BM42" s="307" t="s">
        <v>721</v>
      </c>
      <c r="BN42" s="682">
        <f t="shared" si="31"/>
        <v>0</v>
      </c>
      <c r="BO42" s="230">
        <f>H42</f>
        <v>0</v>
      </c>
      <c r="BP42" s="113"/>
      <c r="BQ42" s="113"/>
      <c r="BR42" s="113"/>
      <c r="BS42" s="113">
        <f>BO42+BP42+BQ42+BR42</f>
        <v>0</v>
      </c>
      <c r="BT42" s="113"/>
      <c r="BU42" s="113"/>
      <c r="BV42" s="113"/>
      <c r="BW42" s="217">
        <f>BS42+BV42</f>
        <v>0</v>
      </c>
    </row>
    <row r="43" spans="1:75" s="39" customFormat="1" x14ac:dyDescent="0.25">
      <c r="A43" s="910"/>
      <c r="B43" s="219"/>
      <c r="C43" s="38"/>
      <c r="D43" s="38" t="s">
        <v>716</v>
      </c>
      <c r="E43" s="38" t="s">
        <v>604</v>
      </c>
      <c r="F43" s="229"/>
      <c r="G43" s="222">
        <f t="shared" si="4"/>
        <v>0</v>
      </c>
      <c r="H43" s="230">
        <f t="shared" si="52"/>
        <v>0</v>
      </c>
      <c r="I43" s="230"/>
      <c r="J43" s="230"/>
      <c r="K43" s="230"/>
      <c r="L43" s="230"/>
      <c r="M43" s="230"/>
      <c r="N43" s="230">
        <f>H43</f>
        <v>0</v>
      </c>
      <c r="O43" s="230"/>
      <c r="P43" s="230"/>
      <c r="Q43" s="230"/>
      <c r="R43" s="230"/>
      <c r="S43" s="225">
        <f t="shared" si="55"/>
        <v>0</v>
      </c>
      <c r="T43" s="225">
        <f t="shared" si="56"/>
        <v>0</v>
      </c>
      <c r="U43" s="225">
        <f t="shared" si="57"/>
        <v>0</v>
      </c>
      <c r="V43" s="225">
        <f t="shared" si="58"/>
        <v>0</v>
      </c>
      <c r="W43" s="221">
        <f t="shared" si="59"/>
        <v>0</v>
      </c>
      <c r="X43" s="221">
        <f t="shared" si="60"/>
        <v>0</v>
      </c>
      <c r="Y43" s="221">
        <f t="shared" si="61"/>
        <v>0</v>
      </c>
      <c r="Z43" s="221">
        <f t="shared" si="62"/>
        <v>0</v>
      </c>
      <c r="AA43" s="224">
        <v>0</v>
      </c>
      <c r="AB43" s="221">
        <f t="shared" si="45"/>
        <v>0</v>
      </c>
      <c r="AC43" s="224">
        <v>0</v>
      </c>
      <c r="AD43" s="225">
        <f t="shared" si="49"/>
        <v>0</v>
      </c>
      <c r="AE43" s="224"/>
      <c r="AF43" s="53">
        <f t="shared" si="7"/>
        <v>0</v>
      </c>
      <c r="AG43" s="224">
        <v>0</v>
      </c>
      <c r="AH43" s="53">
        <f t="shared" si="8"/>
        <v>0</v>
      </c>
      <c r="AI43" s="224"/>
      <c r="AJ43" s="53">
        <f t="shared" si="9"/>
        <v>0</v>
      </c>
      <c r="AK43" s="224"/>
      <c r="AL43" s="53">
        <f t="shared" si="10"/>
        <v>0</v>
      </c>
      <c r="AM43" s="224">
        <v>0</v>
      </c>
      <c r="AN43" s="53">
        <f t="shared" si="11"/>
        <v>0</v>
      </c>
      <c r="AO43" s="224">
        <v>0</v>
      </c>
      <c r="AP43" s="53">
        <f t="shared" si="12"/>
        <v>0</v>
      </c>
      <c r="AQ43" s="224">
        <v>0</v>
      </c>
      <c r="AR43" s="53">
        <f t="shared" si="13"/>
        <v>0</v>
      </c>
      <c r="AS43" s="224"/>
      <c r="AT43" s="53">
        <f t="shared" si="14"/>
        <v>0</v>
      </c>
      <c r="AU43" s="224"/>
      <c r="AV43" s="53">
        <f t="shared" si="15"/>
        <v>0</v>
      </c>
      <c r="AW43" s="224">
        <v>0</v>
      </c>
      <c r="AX43" s="53">
        <f t="shared" si="16"/>
        <v>0</v>
      </c>
      <c r="AY43" s="254"/>
      <c r="AZ43" s="53">
        <f t="shared" si="17"/>
        <v>0</v>
      </c>
      <c r="BA43" s="224"/>
      <c r="BB43" s="53">
        <f t="shared" si="18"/>
        <v>0</v>
      </c>
      <c r="BC43" s="224"/>
      <c r="BD43" s="53">
        <f t="shared" si="19"/>
        <v>0</v>
      </c>
      <c r="BE43" s="255">
        <v>0</v>
      </c>
      <c r="BF43" s="53">
        <f t="shared" si="20"/>
        <v>0</v>
      </c>
      <c r="BG43" s="224"/>
      <c r="BH43" s="53">
        <f t="shared" si="21"/>
        <v>0</v>
      </c>
      <c r="BI43" s="224"/>
      <c r="BJ43" s="53">
        <f t="shared" si="22"/>
        <v>0</v>
      </c>
      <c r="BK43" s="224">
        <f t="shared" si="50"/>
        <v>0</v>
      </c>
      <c r="BL43" s="53">
        <f t="shared" si="50"/>
        <v>0</v>
      </c>
      <c r="BM43" s="307" t="s">
        <v>721</v>
      </c>
      <c r="BN43" s="682">
        <f t="shared" si="31"/>
        <v>0</v>
      </c>
      <c r="BO43" s="230">
        <f>H43</f>
        <v>0</v>
      </c>
      <c r="BP43" s="113"/>
      <c r="BQ43" s="113"/>
      <c r="BR43" s="113"/>
      <c r="BS43" s="113">
        <f>BO43+BP43+BQ43+BR43</f>
        <v>0</v>
      </c>
      <c r="BT43" s="113"/>
      <c r="BU43" s="113"/>
      <c r="BV43" s="113"/>
      <c r="BW43" s="217">
        <f>BS43+BV43</f>
        <v>0</v>
      </c>
    </row>
    <row r="44" spans="1:75" s="39" customFormat="1" x14ac:dyDescent="0.25">
      <c r="A44" s="910"/>
      <c r="B44" s="219"/>
      <c r="C44" s="38"/>
      <c r="D44" s="38" t="s">
        <v>759</v>
      </c>
      <c r="E44" s="38" t="s">
        <v>604</v>
      </c>
      <c r="F44" s="229">
        <v>20000</v>
      </c>
      <c r="G44" s="222">
        <f t="shared" si="4"/>
        <v>0</v>
      </c>
      <c r="H44" s="230">
        <f t="shared" si="52"/>
        <v>0</v>
      </c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25">
        <f t="shared" si="55"/>
        <v>0</v>
      </c>
      <c r="T44" s="225">
        <f t="shared" si="56"/>
        <v>0</v>
      </c>
      <c r="U44" s="225">
        <f t="shared" si="57"/>
        <v>0</v>
      </c>
      <c r="V44" s="225">
        <f t="shared" si="58"/>
        <v>0</v>
      </c>
      <c r="W44" s="221">
        <f t="shared" si="59"/>
        <v>0</v>
      </c>
      <c r="X44" s="221">
        <f t="shared" si="60"/>
        <v>0</v>
      </c>
      <c r="Y44" s="221">
        <f t="shared" si="61"/>
        <v>0</v>
      </c>
      <c r="Z44" s="221">
        <f t="shared" si="62"/>
        <v>0</v>
      </c>
      <c r="AA44" s="224"/>
      <c r="AB44" s="221">
        <f t="shared" si="45"/>
        <v>0</v>
      </c>
      <c r="AC44" s="224"/>
      <c r="AD44" s="225">
        <f t="shared" si="49"/>
        <v>0</v>
      </c>
      <c r="AE44" s="224"/>
      <c r="AF44" s="53">
        <f t="shared" si="7"/>
        <v>0</v>
      </c>
      <c r="AG44" s="224">
        <v>0</v>
      </c>
      <c r="AH44" s="53">
        <f t="shared" si="8"/>
        <v>0</v>
      </c>
      <c r="AI44" s="224"/>
      <c r="AJ44" s="53">
        <f t="shared" si="9"/>
        <v>0</v>
      </c>
      <c r="AK44" s="224"/>
      <c r="AL44" s="53">
        <f t="shared" si="10"/>
        <v>0</v>
      </c>
      <c r="AM44" s="224"/>
      <c r="AN44" s="53">
        <f t="shared" si="11"/>
        <v>0</v>
      </c>
      <c r="AO44" s="224"/>
      <c r="AP44" s="53">
        <f t="shared" si="12"/>
        <v>0</v>
      </c>
      <c r="AQ44" s="224"/>
      <c r="AR44" s="53">
        <f t="shared" si="13"/>
        <v>0</v>
      </c>
      <c r="AS44" s="224"/>
      <c r="AT44" s="53">
        <f t="shared" si="14"/>
        <v>0</v>
      </c>
      <c r="AU44" s="224"/>
      <c r="AV44" s="53">
        <f t="shared" si="15"/>
        <v>0</v>
      </c>
      <c r="AW44" s="224"/>
      <c r="AX44" s="53">
        <f t="shared" si="16"/>
        <v>0</v>
      </c>
      <c r="AY44" s="254"/>
      <c r="AZ44" s="53">
        <f t="shared" si="17"/>
        <v>0</v>
      </c>
      <c r="BA44" s="224"/>
      <c r="BB44" s="53">
        <f t="shared" si="18"/>
        <v>0</v>
      </c>
      <c r="BC44" s="224"/>
      <c r="BD44" s="53">
        <f t="shared" si="19"/>
        <v>0</v>
      </c>
      <c r="BE44" s="255"/>
      <c r="BF44" s="53">
        <f t="shared" si="20"/>
        <v>0</v>
      </c>
      <c r="BG44" s="224"/>
      <c r="BH44" s="53">
        <f t="shared" si="21"/>
        <v>0</v>
      </c>
      <c r="BI44" s="224"/>
      <c r="BJ44" s="53">
        <f t="shared" si="22"/>
        <v>0</v>
      </c>
      <c r="BK44" s="224">
        <f t="shared" si="50"/>
        <v>0</v>
      </c>
      <c r="BL44" s="53">
        <f t="shared" si="50"/>
        <v>0</v>
      </c>
      <c r="BM44" s="307" t="s">
        <v>721</v>
      </c>
      <c r="BN44" s="682">
        <f t="shared" si="31"/>
        <v>0</v>
      </c>
      <c r="BO44" s="230">
        <f>H44</f>
        <v>0</v>
      </c>
      <c r="BP44" s="113"/>
      <c r="BQ44" s="113"/>
      <c r="BR44" s="113"/>
      <c r="BS44" s="113">
        <f>BO44+BP44+BQ44+BR44</f>
        <v>0</v>
      </c>
      <c r="BT44" s="113"/>
      <c r="BU44" s="113"/>
      <c r="BV44" s="113"/>
      <c r="BW44" s="217"/>
    </row>
    <row r="45" spans="1:75" s="39" customFormat="1" x14ac:dyDescent="0.25">
      <c r="A45" s="910"/>
      <c r="B45" s="240"/>
      <c r="C45" s="241"/>
      <c r="D45" s="233" t="s">
        <v>3</v>
      </c>
      <c r="E45" s="241"/>
      <c r="F45" s="243"/>
      <c r="G45" s="235">
        <f t="shared" si="4"/>
        <v>58</v>
      </c>
      <c r="H45" s="206">
        <f>SUM(H40:H44)</f>
        <v>2552000</v>
      </c>
      <c r="I45" s="206">
        <f t="shared" ref="I45:BJ45" si="63">SUM(I40:I44)</f>
        <v>0</v>
      </c>
      <c r="J45" s="206">
        <f t="shared" si="63"/>
        <v>0</v>
      </c>
      <c r="K45" s="206">
        <f t="shared" si="63"/>
        <v>0</v>
      </c>
      <c r="L45" s="206">
        <f t="shared" si="63"/>
        <v>0</v>
      </c>
      <c r="M45" s="206">
        <f t="shared" si="63"/>
        <v>0</v>
      </c>
      <c r="N45" s="206">
        <f t="shared" si="63"/>
        <v>2552000</v>
      </c>
      <c r="O45" s="206">
        <f t="shared" si="63"/>
        <v>0</v>
      </c>
      <c r="P45" s="206">
        <f t="shared" si="63"/>
        <v>0</v>
      </c>
      <c r="Q45" s="206">
        <f t="shared" si="63"/>
        <v>0</v>
      </c>
      <c r="R45" s="206">
        <f t="shared" si="63"/>
        <v>0</v>
      </c>
      <c r="S45" s="206">
        <f t="shared" si="63"/>
        <v>20.299999999999997</v>
      </c>
      <c r="T45" s="206">
        <f t="shared" si="63"/>
        <v>5.8000000000000007</v>
      </c>
      <c r="U45" s="206">
        <f t="shared" si="63"/>
        <v>8.6999999999999993</v>
      </c>
      <c r="V45" s="206">
        <f t="shared" si="63"/>
        <v>23.200000000000003</v>
      </c>
      <c r="W45" s="206">
        <f t="shared" si="63"/>
        <v>893199.99999999988</v>
      </c>
      <c r="X45" s="206">
        <f t="shared" si="63"/>
        <v>255200.00000000003</v>
      </c>
      <c r="Y45" s="206">
        <f t="shared" si="63"/>
        <v>382799.99999999994</v>
      </c>
      <c r="Z45" s="206">
        <f t="shared" si="63"/>
        <v>1020800.0000000001</v>
      </c>
      <c r="AA45" s="206">
        <f t="shared" si="63"/>
        <v>0</v>
      </c>
      <c r="AB45" s="206">
        <f t="shared" si="63"/>
        <v>0</v>
      </c>
      <c r="AC45" s="206">
        <f t="shared" si="63"/>
        <v>4</v>
      </c>
      <c r="AD45" s="206">
        <f t="shared" si="63"/>
        <v>176000</v>
      </c>
      <c r="AE45" s="206">
        <f t="shared" si="63"/>
        <v>0</v>
      </c>
      <c r="AF45" s="206">
        <f t="shared" si="63"/>
        <v>0</v>
      </c>
      <c r="AG45" s="206">
        <f t="shared" si="63"/>
        <v>10</v>
      </c>
      <c r="AH45" s="206">
        <f t="shared" si="63"/>
        <v>440000</v>
      </c>
      <c r="AI45" s="206">
        <f t="shared" si="63"/>
        <v>5</v>
      </c>
      <c r="AJ45" s="206">
        <f t="shared" si="63"/>
        <v>220000</v>
      </c>
      <c r="AK45" s="206">
        <f t="shared" si="63"/>
        <v>5</v>
      </c>
      <c r="AL45" s="206">
        <f t="shared" si="63"/>
        <v>220000</v>
      </c>
      <c r="AM45" s="206">
        <f t="shared" si="63"/>
        <v>5</v>
      </c>
      <c r="AN45" s="206">
        <f t="shared" si="63"/>
        <v>220000</v>
      </c>
      <c r="AO45" s="206">
        <f t="shared" si="63"/>
        <v>5</v>
      </c>
      <c r="AP45" s="206">
        <f t="shared" si="63"/>
        <v>220000</v>
      </c>
      <c r="AQ45" s="206">
        <f t="shared" si="63"/>
        <v>0</v>
      </c>
      <c r="AR45" s="206">
        <f t="shared" si="63"/>
        <v>0</v>
      </c>
      <c r="AS45" s="206">
        <f t="shared" si="63"/>
        <v>5</v>
      </c>
      <c r="AT45" s="206">
        <f t="shared" si="63"/>
        <v>220000</v>
      </c>
      <c r="AU45" s="206">
        <f t="shared" si="63"/>
        <v>0</v>
      </c>
      <c r="AV45" s="206">
        <f t="shared" si="63"/>
        <v>0</v>
      </c>
      <c r="AW45" s="206">
        <f t="shared" si="63"/>
        <v>5</v>
      </c>
      <c r="AX45" s="206">
        <f t="shared" si="63"/>
        <v>220000</v>
      </c>
      <c r="AY45" s="206">
        <f t="shared" si="63"/>
        <v>0</v>
      </c>
      <c r="AZ45" s="206">
        <f t="shared" si="63"/>
        <v>0</v>
      </c>
      <c r="BA45" s="206">
        <f t="shared" si="63"/>
        <v>0</v>
      </c>
      <c r="BB45" s="206">
        <f t="shared" si="63"/>
        <v>0</v>
      </c>
      <c r="BC45" s="206">
        <f t="shared" si="63"/>
        <v>5</v>
      </c>
      <c r="BD45" s="206">
        <f t="shared" si="63"/>
        <v>220000</v>
      </c>
      <c r="BE45" s="206">
        <f t="shared" si="63"/>
        <v>4</v>
      </c>
      <c r="BF45" s="206">
        <f t="shared" si="63"/>
        <v>176000</v>
      </c>
      <c r="BG45" s="206">
        <f t="shared" si="63"/>
        <v>5</v>
      </c>
      <c r="BH45" s="206">
        <f t="shared" si="63"/>
        <v>220000</v>
      </c>
      <c r="BI45" s="206">
        <f t="shared" si="63"/>
        <v>0</v>
      </c>
      <c r="BJ45" s="206">
        <f t="shared" si="63"/>
        <v>0</v>
      </c>
      <c r="BK45" s="206">
        <f t="shared" si="50"/>
        <v>58</v>
      </c>
      <c r="BL45" s="206">
        <f t="shared" si="50"/>
        <v>2552000</v>
      </c>
      <c r="BM45" s="309"/>
      <c r="BN45" s="682">
        <f t="shared" si="31"/>
        <v>2552000</v>
      </c>
      <c r="BO45" s="206">
        <f>SUM(BO40:BO44)</f>
        <v>2552000</v>
      </c>
      <c r="BP45" s="244">
        <f t="shared" ref="BP45:BW45" si="64">SUM(BP40:BP43)</f>
        <v>0</v>
      </c>
      <c r="BQ45" s="244">
        <f t="shared" si="64"/>
        <v>0</v>
      </c>
      <c r="BR45" s="244">
        <f t="shared" si="64"/>
        <v>0</v>
      </c>
      <c r="BS45" s="206">
        <f>SUM(BS40:BS44)</f>
        <v>2552000</v>
      </c>
      <c r="BT45" s="244">
        <f t="shared" si="64"/>
        <v>0</v>
      </c>
      <c r="BU45" s="244">
        <f t="shared" si="64"/>
        <v>0</v>
      </c>
      <c r="BV45" s="244">
        <f t="shared" si="64"/>
        <v>0</v>
      </c>
      <c r="BW45" s="206">
        <f t="shared" si="64"/>
        <v>2552000</v>
      </c>
    </row>
    <row r="46" spans="1:75" s="67" customFormat="1" x14ac:dyDescent="0.25">
      <c r="A46" s="910"/>
      <c r="B46" s="219"/>
      <c r="C46" s="38">
        <v>21320</v>
      </c>
      <c r="D46" s="211" t="s">
        <v>153</v>
      </c>
      <c r="E46" s="38"/>
      <c r="F46" s="229"/>
      <c r="G46" s="222">
        <f t="shared" si="4"/>
        <v>0</v>
      </c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24"/>
      <c r="T46" s="224"/>
      <c r="U46" s="224"/>
      <c r="V46" s="224"/>
      <c r="W46" s="53"/>
      <c r="X46" s="53"/>
      <c r="Y46" s="53"/>
      <c r="Z46" s="53"/>
      <c r="AA46" s="224"/>
      <c r="AB46" s="221">
        <f t="shared" si="45"/>
        <v>0</v>
      </c>
      <c r="AC46" s="224"/>
      <c r="AD46" s="225">
        <f t="shared" si="49"/>
        <v>0</v>
      </c>
      <c r="AE46" s="224"/>
      <c r="AF46" s="53">
        <f t="shared" si="7"/>
        <v>0</v>
      </c>
      <c r="AG46" s="224"/>
      <c r="AH46" s="53">
        <f t="shared" si="8"/>
        <v>0</v>
      </c>
      <c r="AI46" s="224"/>
      <c r="AJ46" s="53">
        <f t="shared" si="9"/>
        <v>0</v>
      </c>
      <c r="AK46" s="224"/>
      <c r="AL46" s="53">
        <f t="shared" si="10"/>
        <v>0</v>
      </c>
      <c r="AM46" s="224"/>
      <c r="AN46" s="53">
        <f t="shared" si="11"/>
        <v>0</v>
      </c>
      <c r="AO46" s="224"/>
      <c r="AP46" s="53">
        <f t="shared" si="12"/>
        <v>0</v>
      </c>
      <c r="AQ46" s="224"/>
      <c r="AR46" s="53">
        <f t="shared" si="13"/>
        <v>0</v>
      </c>
      <c r="AS46" s="224"/>
      <c r="AT46" s="53">
        <f t="shared" si="14"/>
        <v>0</v>
      </c>
      <c r="AU46" s="224"/>
      <c r="AV46" s="53">
        <f t="shared" si="15"/>
        <v>0</v>
      </c>
      <c r="AW46" s="224"/>
      <c r="AX46" s="53">
        <f t="shared" si="16"/>
        <v>0</v>
      </c>
      <c r="AY46" s="254"/>
      <c r="AZ46" s="53">
        <f t="shared" si="17"/>
        <v>0</v>
      </c>
      <c r="BA46" s="224"/>
      <c r="BB46" s="53">
        <f t="shared" si="18"/>
        <v>0</v>
      </c>
      <c r="BC46" s="224"/>
      <c r="BD46" s="53">
        <f t="shared" si="19"/>
        <v>0</v>
      </c>
      <c r="BE46" s="224"/>
      <c r="BF46" s="53">
        <f t="shared" si="20"/>
        <v>0</v>
      </c>
      <c r="BG46" s="224"/>
      <c r="BH46" s="53">
        <f t="shared" si="21"/>
        <v>0</v>
      </c>
      <c r="BI46" s="224"/>
      <c r="BJ46" s="53">
        <f t="shared" si="22"/>
        <v>0</v>
      </c>
      <c r="BK46" s="224">
        <f t="shared" si="50"/>
        <v>0</v>
      </c>
      <c r="BL46" s="53">
        <f t="shared" si="50"/>
        <v>0</v>
      </c>
      <c r="BM46" s="310"/>
      <c r="BN46" s="682">
        <f t="shared" si="31"/>
        <v>0</v>
      </c>
      <c r="BO46" s="230">
        <f>H46</f>
        <v>0</v>
      </c>
      <c r="BP46" s="257"/>
      <c r="BQ46" s="257"/>
      <c r="BR46" s="257"/>
      <c r="BS46" s="113">
        <f t="shared" ref="BS46:BS88" si="65">BO46+BP46+BQ46+BR46</f>
        <v>0</v>
      </c>
      <c r="BT46" s="257"/>
      <c r="BU46" s="257"/>
      <c r="BV46" s="113">
        <f>BT46+BU46</f>
        <v>0</v>
      </c>
      <c r="BW46" s="217">
        <f>BS46+BV46</f>
        <v>0</v>
      </c>
    </row>
    <row r="47" spans="1:75" s="67" customFormat="1" x14ac:dyDescent="0.25">
      <c r="A47" s="910"/>
      <c r="B47" s="219"/>
      <c r="C47" s="38"/>
      <c r="D47" s="38" t="s">
        <v>711</v>
      </c>
      <c r="E47" s="38" t="s">
        <v>604</v>
      </c>
      <c r="F47" s="229">
        <v>100000</v>
      </c>
      <c r="G47" s="222">
        <f t="shared" si="4"/>
        <v>53</v>
      </c>
      <c r="H47" s="230">
        <f t="shared" ref="H47:H61" si="66">G47*F47</f>
        <v>5300000</v>
      </c>
      <c r="I47" s="230"/>
      <c r="J47" s="230"/>
      <c r="K47" s="230"/>
      <c r="L47" s="230"/>
      <c r="M47" s="230"/>
      <c r="N47" s="230">
        <f>H47</f>
        <v>5300000</v>
      </c>
      <c r="O47" s="230"/>
      <c r="P47" s="230"/>
      <c r="Q47" s="230"/>
      <c r="R47" s="230"/>
      <c r="S47" s="225">
        <f>G47*0.35</f>
        <v>18.549999999999997</v>
      </c>
      <c r="T47" s="225">
        <f>G47*0.1</f>
        <v>5.3000000000000007</v>
      </c>
      <c r="U47" s="225">
        <f>G47:G47*0.15</f>
        <v>7.9499999999999993</v>
      </c>
      <c r="V47" s="225">
        <f>G47*0.4</f>
        <v>21.200000000000003</v>
      </c>
      <c r="W47" s="221">
        <f>S47*F47</f>
        <v>1854999.9999999998</v>
      </c>
      <c r="X47" s="221">
        <f>T47*F47</f>
        <v>530000.00000000012</v>
      </c>
      <c r="Y47" s="221">
        <f>U47*F47</f>
        <v>794999.99999999988</v>
      </c>
      <c r="Z47" s="221">
        <f>V47*F47</f>
        <v>2120000.0000000005</v>
      </c>
      <c r="AA47" s="224"/>
      <c r="AB47" s="221">
        <f t="shared" si="45"/>
        <v>0</v>
      </c>
      <c r="AC47" s="224"/>
      <c r="AD47" s="225">
        <f t="shared" si="49"/>
        <v>0</v>
      </c>
      <c r="AE47" s="224"/>
      <c r="AF47" s="53">
        <f t="shared" si="7"/>
        <v>0</v>
      </c>
      <c r="AG47" s="224">
        <v>10</v>
      </c>
      <c r="AH47" s="53">
        <f t="shared" si="8"/>
        <v>1000000</v>
      </c>
      <c r="AI47" s="224">
        <v>15</v>
      </c>
      <c r="AJ47" s="53">
        <f t="shared" si="9"/>
        <v>1500000</v>
      </c>
      <c r="AK47" s="224">
        <v>8</v>
      </c>
      <c r="AL47" s="53">
        <f t="shared" si="10"/>
        <v>800000</v>
      </c>
      <c r="AM47" s="224">
        <v>5</v>
      </c>
      <c r="AN47" s="53">
        <f t="shared" si="11"/>
        <v>500000</v>
      </c>
      <c r="AO47" s="224"/>
      <c r="AP47" s="53">
        <f t="shared" si="12"/>
        <v>0</v>
      </c>
      <c r="AQ47" s="224"/>
      <c r="AR47" s="53">
        <f t="shared" si="13"/>
        <v>0</v>
      </c>
      <c r="AS47" s="224"/>
      <c r="AT47" s="53">
        <f t="shared" si="14"/>
        <v>0</v>
      </c>
      <c r="AU47" s="224"/>
      <c r="AV47" s="53">
        <f t="shared" si="15"/>
        <v>0</v>
      </c>
      <c r="AW47" s="224"/>
      <c r="AX47" s="53">
        <f t="shared" si="16"/>
        <v>0</v>
      </c>
      <c r="AY47" s="254"/>
      <c r="AZ47" s="53">
        <f t="shared" si="17"/>
        <v>0</v>
      </c>
      <c r="BA47" s="224">
        <v>2</v>
      </c>
      <c r="BB47" s="53">
        <f t="shared" si="18"/>
        <v>200000</v>
      </c>
      <c r="BC47" s="224">
        <v>10</v>
      </c>
      <c r="BD47" s="53">
        <f t="shared" si="19"/>
        <v>1000000</v>
      </c>
      <c r="BE47" s="224">
        <v>3</v>
      </c>
      <c r="BF47" s="53">
        <f t="shared" si="20"/>
        <v>300000</v>
      </c>
      <c r="BG47" s="224"/>
      <c r="BH47" s="53">
        <f t="shared" si="21"/>
        <v>0</v>
      </c>
      <c r="BI47" s="224"/>
      <c r="BJ47" s="53">
        <f t="shared" si="22"/>
        <v>0</v>
      </c>
      <c r="BK47" s="224">
        <f t="shared" si="50"/>
        <v>53</v>
      </c>
      <c r="BL47" s="53">
        <f t="shared" si="50"/>
        <v>5300000</v>
      </c>
      <c r="BM47" s="307" t="s">
        <v>721</v>
      </c>
      <c r="BN47" s="682">
        <f t="shared" si="31"/>
        <v>5300000</v>
      </c>
      <c r="BO47" s="230">
        <f>H47</f>
        <v>5300000</v>
      </c>
      <c r="BP47" s="257"/>
      <c r="BQ47" s="257"/>
      <c r="BR47" s="257"/>
      <c r="BS47" s="113">
        <f t="shared" si="65"/>
        <v>5300000</v>
      </c>
      <c r="BT47" s="257"/>
      <c r="BU47" s="257"/>
      <c r="BV47" s="113"/>
      <c r="BW47" s="217">
        <f>BS47+BV47</f>
        <v>5300000</v>
      </c>
    </row>
    <row r="48" spans="1:75" s="549" customFormat="1" ht="31.5" x14ac:dyDescent="0.25">
      <c r="A48" s="910"/>
      <c r="B48" s="237"/>
      <c r="C48" s="169"/>
      <c r="D48" s="169" t="s">
        <v>833</v>
      </c>
      <c r="E48" s="169" t="s">
        <v>604</v>
      </c>
      <c r="F48" s="231">
        <v>200000</v>
      </c>
      <c r="G48" s="544">
        <f t="shared" si="4"/>
        <v>66</v>
      </c>
      <c r="H48" s="239">
        <f t="shared" si="66"/>
        <v>13200000</v>
      </c>
      <c r="I48" s="239">
        <f>H48*0.15</f>
        <v>1980000</v>
      </c>
      <c r="J48" s="239">
        <f>H48*0.75</f>
        <v>9900000</v>
      </c>
      <c r="K48" s="239"/>
      <c r="L48" s="239"/>
      <c r="M48" s="239"/>
      <c r="N48" s="239">
        <f>H48*0</f>
        <v>0</v>
      </c>
      <c r="O48" s="239"/>
      <c r="P48" s="239"/>
      <c r="Q48" s="239">
        <f>H48*0.1</f>
        <v>1320000</v>
      </c>
      <c r="R48" s="239"/>
      <c r="S48" s="545">
        <f>G48*0.35</f>
        <v>23.099999999999998</v>
      </c>
      <c r="T48" s="545">
        <f>G48*0.1</f>
        <v>6.6000000000000005</v>
      </c>
      <c r="U48" s="545">
        <f>G48:G48*0.15</f>
        <v>9.9</v>
      </c>
      <c r="V48" s="545">
        <f>G48*0.4</f>
        <v>26.400000000000002</v>
      </c>
      <c r="W48" s="546">
        <f t="shared" ref="W48:W61" si="67">S48*F48</f>
        <v>4620000</v>
      </c>
      <c r="X48" s="546">
        <f t="shared" ref="X48:X61" si="68">T48*F48</f>
        <v>1320000</v>
      </c>
      <c r="Y48" s="546">
        <f t="shared" ref="Y48:Y61" si="69">U48*F48</f>
        <v>1980000</v>
      </c>
      <c r="Z48" s="546">
        <f t="shared" ref="Z48:Z61" si="70">V48*F48</f>
        <v>5280000</v>
      </c>
      <c r="AA48" s="266">
        <v>5</v>
      </c>
      <c r="AB48" s="546">
        <f t="shared" si="45"/>
        <v>1000000</v>
      </c>
      <c r="AC48" s="266">
        <v>4</v>
      </c>
      <c r="AD48" s="545">
        <f t="shared" si="49"/>
        <v>800000</v>
      </c>
      <c r="AE48" s="266">
        <v>4</v>
      </c>
      <c r="AF48" s="547">
        <f t="shared" si="7"/>
        <v>800000</v>
      </c>
      <c r="AG48" s="266">
        <v>8</v>
      </c>
      <c r="AH48" s="547">
        <f t="shared" si="8"/>
        <v>1600000</v>
      </c>
      <c r="AI48" s="621">
        <v>4</v>
      </c>
      <c r="AJ48" s="547">
        <f t="shared" si="9"/>
        <v>800000</v>
      </c>
      <c r="AK48" s="621">
        <v>4</v>
      </c>
      <c r="AL48" s="547">
        <f t="shared" si="10"/>
        <v>800000</v>
      </c>
      <c r="AM48" s="621">
        <v>5</v>
      </c>
      <c r="AN48" s="547">
        <f t="shared" si="11"/>
        <v>1000000</v>
      </c>
      <c r="AO48" s="621">
        <v>0</v>
      </c>
      <c r="AP48" s="547">
        <f t="shared" si="12"/>
        <v>0</v>
      </c>
      <c r="AQ48" s="266">
        <v>4</v>
      </c>
      <c r="AR48" s="547">
        <f t="shared" si="13"/>
        <v>800000</v>
      </c>
      <c r="AS48" s="621">
        <v>8</v>
      </c>
      <c r="AT48" s="547">
        <f t="shared" si="14"/>
        <v>1600000</v>
      </c>
      <c r="AU48" s="266">
        <v>0</v>
      </c>
      <c r="AV48" s="547">
        <f t="shared" si="15"/>
        <v>0</v>
      </c>
      <c r="AW48" s="266">
        <v>10</v>
      </c>
      <c r="AX48" s="547">
        <f t="shared" si="16"/>
        <v>2000000</v>
      </c>
      <c r="AY48" s="689">
        <v>0</v>
      </c>
      <c r="AZ48" s="547">
        <f t="shared" si="17"/>
        <v>0</v>
      </c>
      <c r="BA48" s="621">
        <v>5</v>
      </c>
      <c r="BB48" s="547">
        <f t="shared" si="18"/>
        <v>1000000</v>
      </c>
      <c r="BC48" s="621">
        <v>5</v>
      </c>
      <c r="BD48" s="547">
        <f t="shared" si="19"/>
        <v>1000000</v>
      </c>
      <c r="BE48" s="621">
        <v>0</v>
      </c>
      <c r="BF48" s="547">
        <f t="shared" si="20"/>
        <v>0</v>
      </c>
      <c r="BG48" s="621">
        <v>0</v>
      </c>
      <c r="BH48" s="547">
        <f t="shared" si="21"/>
        <v>0</v>
      </c>
      <c r="BI48" s="266"/>
      <c r="BJ48" s="547">
        <f t="shared" si="22"/>
        <v>0</v>
      </c>
      <c r="BK48" s="266">
        <f t="shared" si="50"/>
        <v>66</v>
      </c>
      <c r="BL48" s="547">
        <f t="shared" si="50"/>
        <v>13200000</v>
      </c>
      <c r="BM48" s="548" t="s">
        <v>832</v>
      </c>
      <c r="BN48" s="682">
        <f t="shared" si="31"/>
        <v>13200000</v>
      </c>
      <c r="BO48" s="239">
        <f t="shared" ref="BO48:BO61" si="71">H48</f>
        <v>13200000</v>
      </c>
      <c r="BP48" s="379"/>
      <c r="BQ48" s="379"/>
      <c r="BR48" s="379"/>
      <c r="BS48" s="176">
        <f t="shared" si="65"/>
        <v>13200000</v>
      </c>
      <c r="BT48" s="379"/>
      <c r="BU48" s="379"/>
      <c r="BV48" s="176"/>
      <c r="BW48" s="177">
        <f t="shared" ref="BW48:BW61" si="72">BS48+BV48</f>
        <v>13200000</v>
      </c>
    </row>
    <row r="49" spans="1:75" s="549" customFormat="1" ht="31.5" x14ac:dyDescent="0.25">
      <c r="A49" s="910"/>
      <c r="B49" s="237"/>
      <c r="C49" s="169"/>
      <c r="D49" s="169" t="s">
        <v>805</v>
      </c>
      <c r="E49" s="169" t="s">
        <v>604</v>
      </c>
      <c r="F49" s="231">
        <v>500000</v>
      </c>
      <c r="G49" s="544">
        <f t="shared" si="4"/>
        <v>39</v>
      </c>
      <c r="H49" s="239">
        <f t="shared" si="66"/>
        <v>19500000</v>
      </c>
      <c r="I49" s="239"/>
      <c r="J49" s="239"/>
      <c r="K49" s="239">
        <v>0</v>
      </c>
      <c r="L49" s="239"/>
      <c r="M49" s="239"/>
      <c r="N49" s="239">
        <v>0</v>
      </c>
      <c r="O49" s="239"/>
      <c r="P49" s="239"/>
      <c r="Q49" s="239"/>
      <c r="R49" s="638">
        <f>H49</f>
        <v>19500000</v>
      </c>
      <c r="S49" s="545">
        <f>G49*0.35</f>
        <v>13.649999999999999</v>
      </c>
      <c r="T49" s="545">
        <f>G49*0.1</f>
        <v>3.9000000000000004</v>
      </c>
      <c r="U49" s="545">
        <f>G49:G49*0.15</f>
        <v>5.85</v>
      </c>
      <c r="V49" s="545">
        <f>G49*0.4</f>
        <v>15.600000000000001</v>
      </c>
      <c r="W49" s="546">
        <f t="shared" si="67"/>
        <v>6824999.9999999991</v>
      </c>
      <c r="X49" s="546">
        <f t="shared" si="68"/>
        <v>1950000.0000000002</v>
      </c>
      <c r="Y49" s="546">
        <f t="shared" si="69"/>
        <v>2925000</v>
      </c>
      <c r="Z49" s="546">
        <f t="shared" si="70"/>
        <v>7800000.0000000009</v>
      </c>
      <c r="AA49" s="266">
        <v>2</v>
      </c>
      <c r="AB49" s="546">
        <f t="shared" si="45"/>
        <v>1000000</v>
      </c>
      <c r="AC49" s="266">
        <v>1</v>
      </c>
      <c r="AD49" s="545">
        <f t="shared" si="49"/>
        <v>500000</v>
      </c>
      <c r="AE49" s="266">
        <v>3</v>
      </c>
      <c r="AF49" s="547">
        <f t="shared" si="7"/>
        <v>1500000</v>
      </c>
      <c r="AG49" s="266">
        <v>4</v>
      </c>
      <c r="AH49" s="547">
        <f t="shared" si="8"/>
        <v>2000000</v>
      </c>
      <c r="AI49" s="266">
        <v>2</v>
      </c>
      <c r="AJ49" s="547">
        <f t="shared" si="9"/>
        <v>1000000</v>
      </c>
      <c r="AK49" s="266">
        <v>3</v>
      </c>
      <c r="AL49" s="547">
        <f t="shared" si="10"/>
        <v>1500000</v>
      </c>
      <c r="AM49" s="266">
        <v>1</v>
      </c>
      <c r="AN49" s="547">
        <f t="shared" si="11"/>
        <v>500000</v>
      </c>
      <c r="AO49" s="266">
        <v>2</v>
      </c>
      <c r="AP49" s="547">
        <f t="shared" si="12"/>
        <v>1000000</v>
      </c>
      <c r="AQ49" s="266">
        <v>1</v>
      </c>
      <c r="AR49" s="547">
        <f t="shared" si="13"/>
        <v>500000</v>
      </c>
      <c r="AS49" s="266">
        <v>1</v>
      </c>
      <c r="AT49" s="547">
        <f t="shared" si="14"/>
        <v>500000</v>
      </c>
      <c r="AU49" s="266">
        <v>2</v>
      </c>
      <c r="AV49" s="547">
        <f t="shared" si="15"/>
        <v>1000000</v>
      </c>
      <c r="AW49" s="266">
        <v>2</v>
      </c>
      <c r="AX49" s="547">
        <f t="shared" si="16"/>
        <v>1000000</v>
      </c>
      <c r="AY49" s="547">
        <v>3</v>
      </c>
      <c r="AZ49" s="547">
        <f t="shared" si="17"/>
        <v>1500000</v>
      </c>
      <c r="BA49" s="266">
        <v>3</v>
      </c>
      <c r="BB49" s="547">
        <f t="shared" si="18"/>
        <v>1500000</v>
      </c>
      <c r="BC49" s="266">
        <v>4</v>
      </c>
      <c r="BD49" s="547">
        <f t="shared" si="19"/>
        <v>2000000</v>
      </c>
      <c r="BE49" s="266">
        <v>3</v>
      </c>
      <c r="BF49" s="547">
        <f t="shared" si="20"/>
        <v>1500000</v>
      </c>
      <c r="BG49" s="266">
        <v>2</v>
      </c>
      <c r="BH49" s="547">
        <f t="shared" si="21"/>
        <v>1000000</v>
      </c>
      <c r="BI49" s="266"/>
      <c r="BJ49" s="547">
        <f t="shared" si="22"/>
        <v>0</v>
      </c>
      <c r="BK49" s="266">
        <f t="shared" si="50"/>
        <v>39</v>
      </c>
      <c r="BL49" s="547">
        <f t="shared" si="50"/>
        <v>19500000</v>
      </c>
      <c r="BM49" s="548" t="s">
        <v>819</v>
      </c>
      <c r="BN49" s="682">
        <f t="shared" si="31"/>
        <v>19500000</v>
      </c>
      <c r="BO49" s="239">
        <f t="shared" si="71"/>
        <v>19500000</v>
      </c>
      <c r="BP49" s="379"/>
      <c r="BQ49" s="379"/>
      <c r="BR49" s="379"/>
      <c r="BS49" s="176">
        <f t="shared" si="65"/>
        <v>19500000</v>
      </c>
      <c r="BT49" s="379"/>
      <c r="BU49" s="379"/>
      <c r="BV49" s="176"/>
      <c r="BW49" s="177">
        <f t="shared" si="72"/>
        <v>19500000</v>
      </c>
    </row>
    <row r="50" spans="1:75" s="549" customFormat="1" x14ac:dyDescent="0.25">
      <c r="A50" s="910"/>
      <c r="B50" s="237"/>
      <c r="C50" s="169"/>
      <c r="D50" s="169" t="s">
        <v>607</v>
      </c>
      <c r="E50" s="169" t="s">
        <v>709</v>
      </c>
      <c r="F50" s="231">
        <v>850</v>
      </c>
      <c r="G50" s="544">
        <f t="shared" si="4"/>
        <v>6900</v>
      </c>
      <c r="H50" s="239">
        <f t="shared" si="66"/>
        <v>5865000</v>
      </c>
      <c r="I50" s="239"/>
      <c r="J50" s="239"/>
      <c r="K50" s="239"/>
      <c r="L50" s="239"/>
      <c r="M50" s="239"/>
      <c r="N50" s="239">
        <f>H50</f>
        <v>5865000</v>
      </c>
      <c r="O50" s="239"/>
      <c r="P50" s="239"/>
      <c r="Q50" s="239"/>
      <c r="R50" s="239"/>
      <c r="S50" s="545">
        <f>G50*0.35</f>
        <v>2415</v>
      </c>
      <c r="T50" s="545">
        <f>G50*0.1</f>
        <v>690</v>
      </c>
      <c r="U50" s="545">
        <f>G50:G50*0.15</f>
        <v>1035</v>
      </c>
      <c r="V50" s="545">
        <f>G50*0.4</f>
        <v>2760</v>
      </c>
      <c r="W50" s="546">
        <f t="shared" si="67"/>
        <v>2052750</v>
      </c>
      <c r="X50" s="546">
        <f t="shared" si="68"/>
        <v>586500</v>
      </c>
      <c r="Y50" s="546">
        <f t="shared" si="69"/>
        <v>879750</v>
      </c>
      <c r="Z50" s="546">
        <f t="shared" si="70"/>
        <v>2346000</v>
      </c>
      <c r="AA50" s="266"/>
      <c r="AB50" s="546">
        <f t="shared" si="45"/>
        <v>0</v>
      </c>
      <c r="AC50" s="266"/>
      <c r="AD50" s="545">
        <f t="shared" si="49"/>
        <v>0</v>
      </c>
      <c r="AE50" s="266"/>
      <c r="AF50" s="547">
        <f t="shared" si="7"/>
        <v>0</v>
      </c>
      <c r="AG50" s="266">
        <v>1200</v>
      </c>
      <c r="AH50" s="547">
        <f t="shared" si="8"/>
        <v>1020000</v>
      </c>
      <c r="AI50" s="266"/>
      <c r="AJ50" s="547">
        <f t="shared" si="9"/>
        <v>0</v>
      </c>
      <c r="AK50" s="266"/>
      <c r="AL50" s="547">
        <f t="shared" si="10"/>
        <v>0</v>
      </c>
      <c r="AM50" s="266"/>
      <c r="AN50" s="547">
        <f t="shared" si="11"/>
        <v>0</v>
      </c>
      <c r="AO50" s="266"/>
      <c r="AP50" s="547">
        <f t="shared" si="12"/>
        <v>0</v>
      </c>
      <c r="AQ50" s="266"/>
      <c r="AR50" s="547">
        <f t="shared" si="13"/>
        <v>0</v>
      </c>
      <c r="AS50" s="266">
        <v>500</v>
      </c>
      <c r="AT50" s="547">
        <f t="shared" si="14"/>
        <v>425000</v>
      </c>
      <c r="AU50" s="266"/>
      <c r="AV50" s="547">
        <f t="shared" si="15"/>
        <v>0</v>
      </c>
      <c r="AW50" s="266">
        <v>1000</v>
      </c>
      <c r="AX50" s="547">
        <f t="shared" si="16"/>
        <v>850000</v>
      </c>
      <c r="AY50" s="547"/>
      <c r="AZ50" s="547">
        <f t="shared" si="17"/>
        <v>0</v>
      </c>
      <c r="BA50" s="266">
        <v>200</v>
      </c>
      <c r="BB50" s="547">
        <f t="shared" si="18"/>
        <v>170000</v>
      </c>
      <c r="BC50" s="266">
        <v>2000</v>
      </c>
      <c r="BD50" s="547">
        <f t="shared" si="19"/>
        <v>1700000</v>
      </c>
      <c r="BE50" s="266">
        <v>1000</v>
      </c>
      <c r="BF50" s="547">
        <f t="shared" si="20"/>
        <v>850000</v>
      </c>
      <c r="BG50" s="266">
        <v>1000</v>
      </c>
      <c r="BH50" s="547">
        <f t="shared" si="21"/>
        <v>850000</v>
      </c>
      <c r="BI50" s="266"/>
      <c r="BJ50" s="547">
        <f t="shared" si="22"/>
        <v>0</v>
      </c>
      <c r="BK50" s="266">
        <f t="shared" si="50"/>
        <v>6900</v>
      </c>
      <c r="BL50" s="547">
        <f t="shared" si="50"/>
        <v>5865000</v>
      </c>
      <c r="BM50" s="548" t="s">
        <v>721</v>
      </c>
      <c r="BN50" s="682">
        <f t="shared" si="31"/>
        <v>5865000</v>
      </c>
      <c r="BO50" s="239">
        <f t="shared" si="71"/>
        <v>5865000</v>
      </c>
      <c r="BP50" s="379"/>
      <c r="BQ50" s="379"/>
      <c r="BR50" s="379"/>
      <c r="BS50" s="176">
        <f t="shared" si="65"/>
        <v>5865000</v>
      </c>
      <c r="BT50" s="379"/>
      <c r="BU50" s="379"/>
      <c r="BV50" s="176"/>
      <c r="BW50" s="177">
        <f t="shared" si="72"/>
        <v>5865000</v>
      </c>
    </row>
    <row r="51" spans="1:75" s="549" customFormat="1" x14ac:dyDescent="0.25">
      <c r="A51" s="910"/>
      <c r="B51" s="237"/>
      <c r="C51" s="169"/>
      <c r="D51" s="169" t="s">
        <v>694</v>
      </c>
      <c r="E51" s="169" t="s">
        <v>709</v>
      </c>
      <c r="F51" s="231">
        <v>850</v>
      </c>
      <c r="G51" s="544">
        <f t="shared" si="4"/>
        <v>4514</v>
      </c>
      <c r="H51" s="239">
        <f t="shared" si="66"/>
        <v>3836900</v>
      </c>
      <c r="I51" s="239"/>
      <c r="J51" s="239"/>
      <c r="K51" s="239"/>
      <c r="L51" s="239"/>
      <c r="M51" s="239"/>
      <c r="N51" s="239">
        <f>H51</f>
        <v>3836900</v>
      </c>
      <c r="O51" s="239"/>
      <c r="P51" s="239"/>
      <c r="Q51" s="239"/>
      <c r="R51" s="239"/>
      <c r="S51" s="545">
        <f t="shared" ref="S51:S61" si="73">G51*0.35</f>
        <v>1579.8999999999999</v>
      </c>
      <c r="T51" s="545">
        <f t="shared" ref="T51:T61" si="74">G51*0.1</f>
        <v>451.40000000000003</v>
      </c>
      <c r="U51" s="545">
        <f t="shared" ref="U51:U61" si="75">G51:G51*0.15</f>
        <v>677.1</v>
      </c>
      <c r="V51" s="545">
        <f t="shared" ref="V51:V61" si="76">G51*0.4</f>
        <v>1805.6000000000001</v>
      </c>
      <c r="W51" s="546">
        <f t="shared" si="67"/>
        <v>1342915</v>
      </c>
      <c r="X51" s="546">
        <f t="shared" si="68"/>
        <v>383690</v>
      </c>
      <c r="Y51" s="546">
        <f t="shared" si="69"/>
        <v>575535</v>
      </c>
      <c r="Z51" s="546">
        <f t="shared" si="70"/>
        <v>1534760</v>
      </c>
      <c r="AA51" s="266"/>
      <c r="AB51" s="546">
        <f t="shared" si="45"/>
        <v>0</v>
      </c>
      <c r="AC51" s="266"/>
      <c r="AD51" s="545">
        <f t="shared" si="49"/>
        <v>0</v>
      </c>
      <c r="AE51" s="266"/>
      <c r="AF51" s="547">
        <f t="shared" si="7"/>
        <v>0</v>
      </c>
      <c r="AG51" s="266">
        <v>0</v>
      </c>
      <c r="AH51" s="547">
        <f t="shared" si="8"/>
        <v>0</v>
      </c>
      <c r="AI51" s="266"/>
      <c r="AJ51" s="547">
        <f t="shared" si="9"/>
        <v>0</v>
      </c>
      <c r="AK51" s="266">
        <v>6</v>
      </c>
      <c r="AL51" s="547">
        <f t="shared" si="10"/>
        <v>5100</v>
      </c>
      <c r="AM51" s="266"/>
      <c r="AN51" s="547">
        <f t="shared" si="11"/>
        <v>0</v>
      </c>
      <c r="AO51" s="266">
        <v>8</v>
      </c>
      <c r="AP51" s="547">
        <f t="shared" si="12"/>
        <v>6800</v>
      </c>
      <c r="AQ51" s="266"/>
      <c r="AR51" s="547">
        <f t="shared" si="13"/>
        <v>0</v>
      </c>
      <c r="AS51" s="266">
        <v>2000</v>
      </c>
      <c r="AT51" s="547">
        <f t="shared" si="14"/>
        <v>1700000</v>
      </c>
      <c r="AU51" s="266"/>
      <c r="AV51" s="547">
        <f t="shared" si="15"/>
        <v>0</v>
      </c>
      <c r="AW51" s="266">
        <v>1000</v>
      </c>
      <c r="AX51" s="547">
        <f t="shared" si="16"/>
        <v>850000</v>
      </c>
      <c r="AY51" s="547"/>
      <c r="AZ51" s="547">
        <f t="shared" si="17"/>
        <v>0</v>
      </c>
      <c r="BA51" s="266">
        <v>500</v>
      </c>
      <c r="BB51" s="547">
        <f t="shared" si="18"/>
        <v>425000</v>
      </c>
      <c r="BC51" s="266"/>
      <c r="BD51" s="547">
        <f t="shared" si="19"/>
        <v>0</v>
      </c>
      <c r="BE51" s="266">
        <v>500</v>
      </c>
      <c r="BF51" s="547">
        <f t="shared" si="20"/>
        <v>425000</v>
      </c>
      <c r="BG51" s="266">
        <v>500</v>
      </c>
      <c r="BH51" s="547">
        <f t="shared" si="21"/>
        <v>425000</v>
      </c>
      <c r="BI51" s="266"/>
      <c r="BJ51" s="547">
        <f t="shared" si="22"/>
        <v>0</v>
      </c>
      <c r="BK51" s="266">
        <f t="shared" si="50"/>
        <v>4514</v>
      </c>
      <c r="BL51" s="547">
        <f t="shared" si="50"/>
        <v>3836900</v>
      </c>
      <c r="BM51" s="548" t="s">
        <v>721</v>
      </c>
      <c r="BN51" s="682">
        <f t="shared" si="31"/>
        <v>3836900</v>
      </c>
      <c r="BO51" s="239">
        <f t="shared" si="71"/>
        <v>3836900</v>
      </c>
      <c r="BP51" s="379"/>
      <c r="BQ51" s="379"/>
      <c r="BR51" s="379"/>
      <c r="BS51" s="176">
        <f t="shared" si="65"/>
        <v>3836900</v>
      </c>
      <c r="BT51" s="379"/>
      <c r="BU51" s="379"/>
      <c r="BV51" s="176"/>
      <c r="BW51" s="177">
        <f t="shared" si="72"/>
        <v>3836900</v>
      </c>
    </row>
    <row r="52" spans="1:75" s="549" customFormat="1" x14ac:dyDescent="0.25">
      <c r="A52" s="910"/>
      <c r="B52" s="237"/>
      <c r="C52" s="169"/>
      <c r="D52" s="169" t="s">
        <v>608</v>
      </c>
      <c r="E52" s="169" t="s">
        <v>604</v>
      </c>
      <c r="F52" s="231">
        <v>500000</v>
      </c>
      <c r="G52" s="544">
        <f t="shared" si="4"/>
        <v>25</v>
      </c>
      <c r="H52" s="239">
        <f t="shared" si="66"/>
        <v>12500000</v>
      </c>
      <c r="I52" s="239"/>
      <c r="J52" s="239"/>
      <c r="K52" s="239"/>
      <c r="L52" s="239"/>
      <c r="M52" s="239"/>
      <c r="N52" s="239">
        <f>H52</f>
        <v>12500000</v>
      </c>
      <c r="O52" s="239"/>
      <c r="P52" s="239"/>
      <c r="Q52" s="239"/>
      <c r="R52" s="239"/>
      <c r="S52" s="545">
        <f t="shared" si="73"/>
        <v>8.75</v>
      </c>
      <c r="T52" s="545">
        <f t="shared" si="74"/>
        <v>2.5</v>
      </c>
      <c r="U52" s="545">
        <f t="shared" si="75"/>
        <v>3.75</v>
      </c>
      <c r="V52" s="545">
        <f t="shared" si="76"/>
        <v>10</v>
      </c>
      <c r="W52" s="546">
        <f t="shared" si="67"/>
        <v>4375000</v>
      </c>
      <c r="X52" s="546">
        <f t="shared" si="68"/>
        <v>1250000</v>
      </c>
      <c r="Y52" s="546">
        <f t="shared" si="69"/>
        <v>1875000</v>
      </c>
      <c r="Z52" s="546">
        <f t="shared" si="70"/>
        <v>5000000</v>
      </c>
      <c r="AA52" s="266">
        <v>0</v>
      </c>
      <c r="AB52" s="546">
        <f t="shared" si="45"/>
        <v>0</v>
      </c>
      <c r="AC52" s="266">
        <v>1</v>
      </c>
      <c r="AD52" s="545">
        <f t="shared" si="49"/>
        <v>500000</v>
      </c>
      <c r="AE52" s="266"/>
      <c r="AF52" s="547">
        <f t="shared" si="7"/>
        <v>0</v>
      </c>
      <c r="AG52" s="266">
        <v>2</v>
      </c>
      <c r="AH52" s="547">
        <f t="shared" si="8"/>
        <v>1000000</v>
      </c>
      <c r="AI52" s="266">
        <v>2</v>
      </c>
      <c r="AJ52" s="547">
        <f t="shared" si="9"/>
        <v>1000000</v>
      </c>
      <c r="AK52" s="266">
        <v>2</v>
      </c>
      <c r="AL52" s="547">
        <f t="shared" si="10"/>
        <v>1000000</v>
      </c>
      <c r="AM52" s="621">
        <v>0</v>
      </c>
      <c r="AN52" s="547">
        <f t="shared" si="11"/>
        <v>0</v>
      </c>
      <c r="AO52" s="266">
        <v>1</v>
      </c>
      <c r="AP52" s="547">
        <f t="shared" si="12"/>
        <v>500000</v>
      </c>
      <c r="AQ52" s="266">
        <v>1</v>
      </c>
      <c r="AR52" s="547">
        <f t="shared" si="13"/>
        <v>500000</v>
      </c>
      <c r="AS52" s="266">
        <v>1</v>
      </c>
      <c r="AT52" s="547">
        <f t="shared" si="14"/>
        <v>500000</v>
      </c>
      <c r="AU52" s="266">
        <v>5</v>
      </c>
      <c r="AV52" s="547">
        <f t="shared" si="15"/>
        <v>2500000</v>
      </c>
      <c r="AW52" s="266"/>
      <c r="AX52" s="547">
        <f t="shared" si="16"/>
        <v>0</v>
      </c>
      <c r="AY52" s="547">
        <v>2</v>
      </c>
      <c r="AZ52" s="547">
        <f t="shared" si="17"/>
        <v>1000000</v>
      </c>
      <c r="BA52" s="266"/>
      <c r="BB52" s="547">
        <f t="shared" si="18"/>
        <v>0</v>
      </c>
      <c r="BC52" s="266">
        <v>2</v>
      </c>
      <c r="BD52" s="547">
        <f t="shared" si="19"/>
        <v>1000000</v>
      </c>
      <c r="BE52" s="266">
        <v>2</v>
      </c>
      <c r="BF52" s="547">
        <f t="shared" si="20"/>
        <v>1000000</v>
      </c>
      <c r="BG52" s="266">
        <v>4</v>
      </c>
      <c r="BH52" s="547">
        <f t="shared" si="21"/>
        <v>2000000</v>
      </c>
      <c r="BI52" s="266"/>
      <c r="BJ52" s="547">
        <f t="shared" si="22"/>
        <v>0</v>
      </c>
      <c r="BK52" s="266">
        <f t="shared" si="50"/>
        <v>25</v>
      </c>
      <c r="BL52" s="547">
        <f t="shared" si="50"/>
        <v>12500000</v>
      </c>
      <c r="BM52" s="548" t="s">
        <v>721</v>
      </c>
      <c r="BN52" s="682">
        <f t="shared" si="31"/>
        <v>12500000</v>
      </c>
      <c r="BO52" s="239">
        <f t="shared" si="71"/>
        <v>12500000</v>
      </c>
      <c r="BP52" s="379"/>
      <c r="BQ52" s="379"/>
      <c r="BR52" s="379"/>
      <c r="BS52" s="176">
        <f t="shared" si="65"/>
        <v>12500000</v>
      </c>
      <c r="BT52" s="379"/>
      <c r="BU52" s="379"/>
      <c r="BV52" s="176"/>
      <c r="BW52" s="177">
        <f t="shared" si="72"/>
        <v>12500000</v>
      </c>
    </row>
    <row r="53" spans="1:75" s="549" customFormat="1" x14ac:dyDescent="0.25">
      <c r="A53" s="910"/>
      <c r="B53" s="237"/>
      <c r="C53" s="169"/>
      <c r="D53" s="169" t="s">
        <v>609</v>
      </c>
      <c r="E53" s="169" t="s">
        <v>604</v>
      </c>
      <c r="F53" s="231">
        <v>3000000</v>
      </c>
      <c r="G53" s="544">
        <f t="shared" si="4"/>
        <v>11</v>
      </c>
      <c r="H53" s="239">
        <f t="shared" si="66"/>
        <v>33000000</v>
      </c>
      <c r="I53" s="239"/>
      <c r="J53" s="239"/>
      <c r="K53" s="239"/>
      <c r="L53" s="239"/>
      <c r="M53" s="239">
        <f>H53*1</f>
        <v>33000000</v>
      </c>
      <c r="N53" s="239"/>
      <c r="O53" s="239"/>
      <c r="P53" s="239"/>
      <c r="Q53" s="239"/>
      <c r="R53" s="239"/>
      <c r="S53" s="545">
        <f t="shared" si="73"/>
        <v>3.8499999999999996</v>
      </c>
      <c r="T53" s="545">
        <f t="shared" si="74"/>
        <v>1.1000000000000001</v>
      </c>
      <c r="U53" s="545">
        <f t="shared" si="75"/>
        <v>1.65</v>
      </c>
      <c r="V53" s="545">
        <f t="shared" si="76"/>
        <v>4.4000000000000004</v>
      </c>
      <c r="W53" s="546">
        <f t="shared" si="67"/>
        <v>11549999.999999998</v>
      </c>
      <c r="X53" s="546">
        <f t="shared" si="68"/>
        <v>3300000.0000000005</v>
      </c>
      <c r="Y53" s="546">
        <f t="shared" si="69"/>
        <v>4950000</v>
      </c>
      <c r="Z53" s="546">
        <f t="shared" si="70"/>
        <v>13200000.000000002</v>
      </c>
      <c r="AA53" s="266">
        <v>1</v>
      </c>
      <c r="AB53" s="546">
        <f t="shared" si="45"/>
        <v>3000000</v>
      </c>
      <c r="AC53" s="266"/>
      <c r="AD53" s="545">
        <f t="shared" si="49"/>
        <v>0</v>
      </c>
      <c r="AE53" s="266"/>
      <c r="AF53" s="547">
        <f t="shared" si="7"/>
        <v>0</v>
      </c>
      <c r="AG53" s="266">
        <v>1</v>
      </c>
      <c r="AH53" s="547">
        <f t="shared" si="8"/>
        <v>3000000</v>
      </c>
      <c r="AI53" s="266"/>
      <c r="AJ53" s="547">
        <f t="shared" si="9"/>
        <v>0</v>
      </c>
      <c r="AK53" s="266">
        <v>1</v>
      </c>
      <c r="AL53" s="547">
        <f t="shared" si="10"/>
        <v>3000000</v>
      </c>
      <c r="AM53" s="266">
        <v>1</v>
      </c>
      <c r="AN53" s="547">
        <f t="shared" si="11"/>
        <v>3000000</v>
      </c>
      <c r="AO53" s="266">
        <v>1</v>
      </c>
      <c r="AP53" s="547">
        <f t="shared" si="12"/>
        <v>3000000</v>
      </c>
      <c r="AQ53" s="266"/>
      <c r="AR53" s="547">
        <f t="shared" si="13"/>
        <v>0</v>
      </c>
      <c r="AS53" s="266">
        <v>1</v>
      </c>
      <c r="AT53" s="547">
        <f t="shared" si="14"/>
        <v>3000000</v>
      </c>
      <c r="AU53" s="266">
        <v>1</v>
      </c>
      <c r="AV53" s="547">
        <f t="shared" si="15"/>
        <v>3000000</v>
      </c>
      <c r="AW53" s="266">
        <v>1</v>
      </c>
      <c r="AX53" s="547">
        <f t="shared" si="16"/>
        <v>3000000</v>
      </c>
      <c r="AY53" s="547">
        <v>1</v>
      </c>
      <c r="AZ53" s="547">
        <f t="shared" si="17"/>
        <v>3000000</v>
      </c>
      <c r="BA53" s="266"/>
      <c r="BB53" s="547">
        <f t="shared" si="18"/>
        <v>0</v>
      </c>
      <c r="BC53" s="266">
        <v>1</v>
      </c>
      <c r="BD53" s="547">
        <f t="shared" si="19"/>
        <v>3000000</v>
      </c>
      <c r="BE53" s="266">
        <v>1</v>
      </c>
      <c r="BF53" s="547">
        <f t="shared" si="20"/>
        <v>3000000</v>
      </c>
      <c r="BG53" s="266"/>
      <c r="BH53" s="547">
        <f t="shared" si="21"/>
        <v>0</v>
      </c>
      <c r="BI53" s="266"/>
      <c r="BJ53" s="547">
        <f t="shared" si="22"/>
        <v>0</v>
      </c>
      <c r="BK53" s="266">
        <f t="shared" si="50"/>
        <v>11</v>
      </c>
      <c r="BL53" s="547">
        <f t="shared" si="50"/>
        <v>33000000</v>
      </c>
      <c r="BM53" s="548" t="s">
        <v>784</v>
      </c>
      <c r="BN53" s="682">
        <f t="shared" si="31"/>
        <v>33000000</v>
      </c>
      <c r="BO53" s="239">
        <f t="shared" si="71"/>
        <v>33000000</v>
      </c>
      <c r="BP53" s="379"/>
      <c r="BQ53" s="379"/>
      <c r="BR53" s="379"/>
      <c r="BS53" s="176">
        <f t="shared" si="65"/>
        <v>33000000</v>
      </c>
      <c r="BT53" s="379"/>
      <c r="BU53" s="379"/>
      <c r="BV53" s="176"/>
      <c r="BW53" s="177">
        <f t="shared" si="72"/>
        <v>33000000</v>
      </c>
    </row>
    <row r="54" spans="1:75" s="549" customFormat="1" x14ac:dyDescent="0.25">
      <c r="A54" s="910"/>
      <c r="B54" s="237"/>
      <c r="C54" s="169"/>
      <c r="D54" s="169" t="s">
        <v>804</v>
      </c>
      <c r="E54" s="169" t="s">
        <v>803</v>
      </c>
      <c r="F54" s="231">
        <v>12000</v>
      </c>
      <c r="G54" s="544">
        <f t="shared" si="4"/>
        <v>934</v>
      </c>
      <c r="H54" s="239">
        <f t="shared" si="66"/>
        <v>11208000</v>
      </c>
      <c r="I54" s="239"/>
      <c r="J54" s="239"/>
      <c r="K54" s="239"/>
      <c r="L54" s="239"/>
      <c r="M54" s="239"/>
      <c r="N54" s="239"/>
      <c r="O54" s="239"/>
      <c r="P54" s="239"/>
      <c r="Q54" s="239"/>
      <c r="R54" s="239">
        <f>H54*1</f>
        <v>11208000</v>
      </c>
      <c r="S54" s="545">
        <f t="shared" si="73"/>
        <v>326.89999999999998</v>
      </c>
      <c r="T54" s="545">
        <f t="shared" si="74"/>
        <v>93.4</v>
      </c>
      <c r="U54" s="545">
        <f t="shared" si="75"/>
        <v>140.1</v>
      </c>
      <c r="V54" s="545">
        <f t="shared" si="76"/>
        <v>373.6</v>
      </c>
      <c r="W54" s="546">
        <f t="shared" si="67"/>
        <v>3922799.9999999995</v>
      </c>
      <c r="X54" s="546">
        <f t="shared" si="68"/>
        <v>1120800</v>
      </c>
      <c r="Y54" s="546">
        <f t="shared" si="69"/>
        <v>1681200</v>
      </c>
      <c r="Z54" s="546">
        <f t="shared" si="70"/>
        <v>4483200</v>
      </c>
      <c r="AA54" s="266">
        <v>40</v>
      </c>
      <c r="AB54" s="546">
        <f t="shared" si="45"/>
        <v>480000</v>
      </c>
      <c r="AC54" s="266">
        <v>19</v>
      </c>
      <c r="AD54" s="545">
        <f t="shared" si="49"/>
        <v>228000</v>
      </c>
      <c r="AE54" s="266">
        <v>66</v>
      </c>
      <c r="AF54" s="547">
        <f t="shared" si="7"/>
        <v>792000</v>
      </c>
      <c r="AG54" s="266">
        <v>87</v>
      </c>
      <c r="AH54" s="547">
        <f t="shared" si="8"/>
        <v>1044000</v>
      </c>
      <c r="AI54" s="266">
        <v>36</v>
      </c>
      <c r="AJ54" s="547">
        <f t="shared" si="9"/>
        <v>432000</v>
      </c>
      <c r="AK54" s="266">
        <v>62</v>
      </c>
      <c r="AL54" s="547">
        <f t="shared" si="10"/>
        <v>744000</v>
      </c>
      <c r="AM54" s="266">
        <v>34</v>
      </c>
      <c r="AN54" s="547">
        <f t="shared" si="11"/>
        <v>408000</v>
      </c>
      <c r="AO54" s="266">
        <v>84</v>
      </c>
      <c r="AP54" s="547">
        <f t="shared" si="12"/>
        <v>1008000</v>
      </c>
      <c r="AQ54" s="266">
        <v>7</v>
      </c>
      <c r="AR54" s="547">
        <f t="shared" si="13"/>
        <v>84000</v>
      </c>
      <c r="AS54" s="266">
        <v>28</v>
      </c>
      <c r="AT54" s="547">
        <f t="shared" si="14"/>
        <v>336000</v>
      </c>
      <c r="AU54" s="266">
        <v>44</v>
      </c>
      <c r="AV54" s="547">
        <f t="shared" si="15"/>
        <v>528000</v>
      </c>
      <c r="AW54" s="266">
        <v>43</v>
      </c>
      <c r="AX54" s="547">
        <f t="shared" si="16"/>
        <v>516000</v>
      </c>
      <c r="AY54" s="547">
        <v>63</v>
      </c>
      <c r="AZ54" s="547">
        <f t="shared" si="17"/>
        <v>756000</v>
      </c>
      <c r="BA54" s="266">
        <v>68</v>
      </c>
      <c r="BB54" s="547">
        <f t="shared" si="18"/>
        <v>816000</v>
      </c>
      <c r="BC54" s="266">
        <v>86</v>
      </c>
      <c r="BD54" s="547">
        <f t="shared" si="19"/>
        <v>1032000</v>
      </c>
      <c r="BE54" s="266">
        <v>45</v>
      </c>
      <c r="BF54" s="547">
        <f t="shared" si="20"/>
        <v>540000</v>
      </c>
      <c r="BG54" s="266">
        <v>122</v>
      </c>
      <c r="BH54" s="547">
        <f t="shared" si="21"/>
        <v>1464000</v>
      </c>
      <c r="BI54" s="266">
        <v>0</v>
      </c>
      <c r="BJ54" s="547">
        <f t="shared" si="22"/>
        <v>0</v>
      </c>
      <c r="BK54" s="266">
        <f t="shared" si="50"/>
        <v>934</v>
      </c>
      <c r="BL54" s="547">
        <f t="shared" si="50"/>
        <v>11208000</v>
      </c>
      <c r="BM54" s="548" t="s">
        <v>725</v>
      </c>
      <c r="BN54" s="682">
        <f t="shared" si="31"/>
        <v>11208000</v>
      </c>
      <c r="BO54" s="239">
        <f t="shared" si="71"/>
        <v>11208000</v>
      </c>
      <c r="BP54" s="379"/>
      <c r="BQ54" s="379"/>
      <c r="BR54" s="379"/>
      <c r="BS54" s="176">
        <f t="shared" si="65"/>
        <v>11208000</v>
      </c>
      <c r="BT54" s="379"/>
      <c r="BU54" s="379"/>
      <c r="BV54" s="176"/>
      <c r="BW54" s="177">
        <f t="shared" si="72"/>
        <v>11208000</v>
      </c>
    </row>
    <row r="55" spans="1:75" s="549" customFormat="1" x14ac:dyDescent="0.25">
      <c r="A55" s="910"/>
      <c r="B55" s="237"/>
      <c r="C55" s="169"/>
      <c r="D55" s="169" t="s">
        <v>663</v>
      </c>
      <c r="E55" s="169" t="s">
        <v>604</v>
      </c>
      <c r="F55" s="231">
        <v>1750000</v>
      </c>
      <c r="G55" s="544">
        <f t="shared" si="4"/>
        <v>0</v>
      </c>
      <c r="H55" s="239">
        <f>G55*F55</f>
        <v>0</v>
      </c>
      <c r="I55" s="239"/>
      <c r="J55" s="239"/>
      <c r="K55" s="239"/>
      <c r="L55" s="239"/>
      <c r="M55" s="239">
        <v>0</v>
      </c>
      <c r="N55" s="239">
        <v>0</v>
      </c>
      <c r="O55" s="239"/>
      <c r="P55" s="239"/>
      <c r="Q55" s="239"/>
      <c r="R55" s="239">
        <f>H55*1</f>
        <v>0</v>
      </c>
      <c r="S55" s="545">
        <f t="shared" si="73"/>
        <v>0</v>
      </c>
      <c r="T55" s="545">
        <f t="shared" si="74"/>
        <v>0</v>
      </c>
      <c r="U55" s="545">
        <f t="shared" si="75"/>
        <v>0</v>
      </c>
      <c r="V55" s="545">
        <f t="shared" si="76"/>
        <v>0</v>
      </c>
      <c r="W55" s="546">
        <v>0</v>
      </c>
      <c r="X55" s="546">
        <f t="shared" si="68"/>
        <v>0</v>
      </c>
      <c r="Y55" s="546">
        <f t="shared" si="69"/>
        <v>0</v>
      </c>
      <c r="Z55" s="546">
        <f t="shared" si="70"/>
        <v>0</v>
      </c>
      <c r="AA55" s="266">
        <v>0</v>
      </c>
      <c r="AB55" s="546">
        <f t="shared" si="45"/>
        <v>0</v>
      </c>
      <c r="AC55" s="266">
        <v>0</v>
      </c>
      <c r="AD55" s="545">
        <f t="shared" si="49"/>
        <v>0</v>
      </c>
      <c r="AE55" s="266">
        <v>0</v>
      </c>
      <c r="AF55" s="547">
        <f t="shared" si="7"/>
        <v>0</v>
      </c>
      <c r="AG55" s="266">
        <v>0</v>
      </c>
      <c r="AH55" s="547"/>
      <c r="AI55" s="266">
        <v>0</v>
      </c>
      <c r="AJ55" s="547">
        <f t="shared" si="9"/>
        <v>0</v>
      </c>
      <c r="AK55" s="266">
        <v>0</v>
      </c>
      <c r="AL55" s="547">
        <f t="shared" si="10"/>
        <v>0</v>
      </c>
      <c r="AM55" s="266">
        <v>0</v>
      </c>
      <c r="AN55" s="547">
        <f t="shared" si="11"/>
        <v>0</v>
      </c>
      <c r="AO55" s="266">
        <v>0</v>
      </c>
      <c r="AP55" s="547">
        <f t="shared" si="12"/>
        <v>0</v>
      </c>
      <c r="AQ55" s="266">
        <v>0</v>
      </c>
      <c r="AR55" s="547">
        <f t="shared" si="13"/>
        <v>0</v>
      </c>
      <c r="AS55" s="266">
        <v>0</v>
      </c>
      <c r="AT55" s="547">
        <f t="shared" si="14"/>
        <v>0</v>
      </c>
      <c r="AU55" s="266">
        <v>0</v>
      </c>
      <c r="AV55" s="547">
        <f t="shared" si="15"/>
        <v>0</v>
      </c>
      <c r="AW55" s="266">
        <v>0</v>
      </c>
      <c r="AX55" s="547">
        <f t="shared" si="16"/>
        <v>0</v>
      </c>
      <c r="AY55" s="547">
        <v>0</v>
      </c>
      <c r="AZ55" s="547">
        <f t="shared" si="17"/>
        <v>0</v>
      </c>
      <c r="BA55" s="266">
        <v>0</v>
      </c>
      <c r="BB55" s="547">
        <f t="shared" si="18"/>
        <v>0</v>
      </c>
      <c r="BC55" s="266">
        <v>0</v>
      </c>
      <c r="BD55" s="547">
        <f t="shared" si="19"/>
        <v>0</v>
      </c>
      <c r="BE55" s="266">
        <v>0</v>
      </c>
      <c r="BF55" s="547">
        <f t="shared" si="20"/>
        <v>0</v>
      </c>
      <c r="BG55" s="266">
        <v>0</v>
      </c>
      <c r="BH55" s="547">
        <f t="shared" si="21"/>
        <v>0</v>
      </c>
      <c r="BI55" s="266"/>
      <c r="BJ55" s="547">
        <f t="shared" si="22"/>
        <v>0</v>
      </c>
      <c r="BK55" s="266">
        <f t="shared" si="50"/>
        <v>0</v>
      </c>
      <c r="BL55" s="547">
        <f t="shared" si="50"/>
        <v>0</v>
      </c>
      <c r="BM55" s="548" t="s">
        <v>725</v>
      </c>
      <c r="BN55" s="682">
        <f t="shared" si="31"/>
        <v>0</v>
      </c>
      <c r="BO55" s="239">
        <f t="shared" si="71"/>
        <v>0</v>
      </c>
      <c r="BP55" s="379"/>
      <c r="BQ55" s="379"/>
      <c r="BR55" s="379"/>
      <c r="BS55" s="176">
        <f t="shared" si="65"/>
        <v>0</v>
      </c>
      <c r="BT55" s="379"/>
      <c r="BU55" s="379"/>
      <c r="BV55" s="176"/>
      <c r="BW55" s="177">
        <f t="shared" si="72"/>
        <v>0</v>
      </c>
    </row>
    <row r="56" spans="1:75" s="549" customFormat="1" ht="31.5" x14ac:dyDescent="0.25">
      <c r="A56" s="910"/>
      <c r="B56" s="237"/>
      <c r="C56" s="169"/>
      <c r="D56" s="169" t="s">
        <v>806</v>
      </c>
      <c r="E56" s="169" t="s">
        <v>604</v>
      </c>
      <c r="F56" s="231">
        <v>300000</v>
      </c>
      <c r="G56" s="544">
        <f t="shared" si="4"/>
        <v>70</v>
      </c>
      <c r="H56" s="239">
        <f t="shared" si="66"/>
        <v>21000000</v>
      </c>
      <c r="I56" s="239"/>
      <c r="J56" s="239"/>
      <c r="K56" s="239"/>
      <c r="L56" s="239"/>
      <c r="M56" s="239">
        <f>H56*0.75</f>
        <v>15750000</v>
      </c>
      <c r="N56" s="239">
        <v>0</v>
      </c>
      <c r="O56" s="239"/>
      <c r="P56" s="239"/>
      <c r="Q56" s="239"/>
      <c r="R56" s="239">
        <f>H56*0.25</f>
        <v>5250000</v>
      </c>
      <c r="S56" s="545">
        <f t="shared" si="73"/>
        <v>24.5</v>
      </c>
      <c r="T56" s="545">
        <f t="shared" si="74"/>
        <v>7</v>
      </c>
      <c r="U56" s="545">
        <f t="shared" si="75"/>
        <v>10.5</v>
      </c>
      <c r="V56" s="545">
        <f t="shared" si="76"/>
        <v>28</v>
      </c>
      <c r="W56" s="546">
        <f t="shared" si="67"/>
        <v>7350000</v>
      </c>
      <c r="X56" s="546">
        <f t="shared" si="68"/>
        <v>2100000</v>
      </c>
      <c r="Y56" s="546">
        <f t="shared" si="69"/>
        <v>3150000</v>
      </c>
      <c r="Z56" s="546">
        <f t="shared" si="70"/>
        <v>8400000</v>
      </c>
      <c r="AA56" s="266">
        <v>3</v>
      </c>
      <c r="AB56" s="546">
        <f t="shared" si="45"/>
        <v>900000</v>
      </c>
      <c r="AC56" s="266">
        <v>2</v>
      </c>
      <c r="AD56" s="545">
        <f t="shared" si="49"/>
        <v>600000</v>
      </c>
      <c r="AE56" s="266">
        <v>6</v>
      </c>
      <c r="AF56" s="547">
        <f t="shared" si="7"/>
        <v>1800000</v>
      </c>
      <c r="AG56" s="266">
        <v>8</v>
      </c>
      <c r="AH56" s="547">
        <f t="shared" si="8"/>
        <v>2400000</v>
      </c>
      <c r="AI56" s="266">
        <v>3</v>
      </c>
      <c r="AJ56" s="547">
        <f t="shared" si="9"/>
        <v>900000</v>
      </c>
      <c r="AK56" s="266">
        <v>0</v>
      </c>
      <c r="AL56" s="547">
        <f t="shared" si="10"/>
        <v>0</v>
      </c>
      <c r="AM56" s="266">
        <v>3</v>
      </c>
      <c r="AN56" s="547">
        <f t="shared" si="11"/>
        <v>900000</v>
      </c>
      <c r="AO56" s="266">
        <v>7</v>
      </c>
      <c r="AP56" s="547">
        <f t="shared" si="12"/>
        <v>2100000</v>
      </c>
      <c r="AQ56" s="266">
        <v>1</v>
      </c>
      <c r="AR56" s="547">
        <f t="shared" si="13"/>
        <v>300000</v>
      </c>
      <c r="AS56" s="266">
        <v>2</v>
      </c>
      <c r="AT56" s="547">
        <f t="shared" si="14"/>
        <v>600000</v>
      </c>
      <c r="AU56" s="266">
        <v>2</v>
      </c>
      <c r="AV56" s="547">
        <f t="shared" si="15"/>
        <v>600000</v>
      </c>
      <c r="AW56" s="266">
        <v>4</v>
      </c>
      <c r="AX56" s="547">
        <f t="shared" si="16"/>
        <v>1200000</v>
      </c>
      <c r="AY56" s="547">
        <v>2</v>
      </c>
      <c r="AZ56" s="547">
        <f t="shared" si="17"/>
        <v>600000</v>
      </c>
      <c r="BA56" s="266">
        <v>6</v>
      </c>
      <c r="BB56" s="547">
        <f t="shared" si="18"/>
        <v>1800000</v>
      </c>
      <c r="BC56" s="266">
        <v>7</v>
      </c>
      <c r="BD56" s="547">
        <f t="shared" si="19"/>
        <v>2100000</v>
      </c>
      <c r="BE56" s="266">
        <v>10</v>
      </c>
      <c r="BF56" s="547">
        <f t="shared" si="20"/>
        <v>3000000</v>
      </c>
      <c r="BG56" s="266">
        <v>4</v>
      </c>
      <c r="BH56" s="547">
        <f t="shared" si="21"/>
        <v>1200000</v>
      </c>
      <c r="BI56" s="266"/>
      <c r="BJ56" s="547">
        <f t="shared" si="22"/>
        <v>0</v>
      </c>
      <c r="BK56" s="266">
        <f t="shared" si="50"/>
        <v>70</v>
      </c>
      <c r="BL56" s="547">
        <f t="shared" si="50"/>
        <v>21000000</v>
      </c>
      <c r="BM56" s="548" t="s">
        <v>807</v>
      </c>
      <c r="BN56" s="682">
        <f t="shared" si="31"/>
        <v>21000000</v>
      </c>
      <c r="BO56" s="239">
        <f t="shared" si="71"/>
        <v>21000000</v>
      </c>
      <c r="BP56" s="379"/>
      <c r="BQ56" s="379"/>
      <c r="BR56" s="379"/>
      <c r="BS56" s="176">
        <f t="shared" si="65"/>
        <v>21000000</v>
      </c>
      <c r="BT56" s="379"/>
      <c r="BU56" s="379"/>
      <c r="BV56" s="176"/>
      <c r="BW56" s="177">
        <f t="shared" si="72"/>
        <v>21000000</v>
      </c>
    </row>
    <row r="57" spans="1:75" s="67" customFormat="1" x14ac:dyDescent="0.25">
      <c r="A57" s="910"/>
      <c r="B57" s="219"/>
      <c r="C57" s="38"/>
      <c r="D57" s="38" t="s">
        <v>684</v>
      </c>
      <c r="E57" s="38" t="s">
        <v>604</v>
      </c>
      <c r="F57" s="229"/>
      <c r="G57" s="222">
        <f t="shared" si="4"/>
        <v>0</v>
      </c>
      <c r="H57" s="230">
        <f t="shared" si="66"/>
        <v>0</v>
      </c>
      <c r="I57" s="230"/>
      <c r="J57" s="230"/>
      <c r="K57" s="230"/>
      <c r="L57" s="230"/>
      <c r="M57" s="230"/>
      <c r="N57" s="230">
        <f>H57</f>
        <v>0</v>
      </c>
      <c r="O57" s="230"/>
      <c r="P57" s="230"/>
      <c r="Q57" s="230"/>
      <c r="R57" s="230"/>
      <c r="S57" s="225"/>
      <c r="T57" s="225"/>
      <c r="U57" s="225"/>
      <c r="V57" s="225"/>
      <c r="W57" s="221">
        <f t="shared" si="67"/>
        <v>0</v>
      </c>
      <c r="X57" s="221">
        <f t="shared" si="68"/>
        <v>0</v>
      </c>
      <c r="Y57" s="221">
        <f t="shared" si="69"/>
        <v>0</v>
      </c>
      <c r="Z57" s="221">
        <f t="shared" si="70"/>
        <v>0</v>
      </c>
      <c r="AA57" s="224"/>
      <c r="AB57" s="221">
        <f t="shared" si="45"/>
        <v>0</v>
      </c>
      <c r="AC57" s="224"/>
      <c r="AD57" s="225">
        <f t="shared" si="49"/>
        <v>0</v>
      </c>
      <c r="AE57" s="224"/>
      <c r="AF57" s="53">
        <f t="shared" si="7"/>
        <v>0</v>
      </c>
      <c r="AG57" s="224"/>
      <c r="AH57" s="53">
        <f t="shared" si="8"/>
        <v>0</v>
      </c>
      <c r="AI57" s="224"/>
      <c r="AJ57" s="53">
        <f t="shared" si="9"/>
        <v>0</v>
      </c>
      <c r="AK57" s="224">
        <v>0</v>
      </c>
      <c r="AL57" s="53">
        <f t="shared" si="10"/>
        <v>0</v>
      </c>
      <c r="AM57" s="224"/>
      <c r="AN57" s="53">
        <f t="shared" si="11"/>
        <v>0</v>
      </c>
      <c r="AO57" s="224"/>
      <c r="AP57" s="53">
        <f t="shared" si="12"/>
        <v>0</v>
      </c>
      <c r="AQ57" s="224"/>
      <c r="AR57" s="53">
        <f t="shared" si="13"/>
        <v>0</v>
      </c>
      <c r="AS57" s="224"/>
      <c r="AT57" s="53">
        <f t="shared" si="14"/>
        <v>0</v>
      </c>
      <c r="AU57" s="224"/>
      <c r="AV57" s="53">
        <f t="shared" si="15"/>
        <v>0</v>
      </c>
      <c r="AW57" s="224"/>
      <c r="AX57" s="53">
        <f t="shared" si="16"/>
        <v>0</v>
      </c>
      <c r="AY57" s="53"/>
      <c r="AZ57" s="53">
        <f t="shared" si="17"/>
        <v>0</v>
      </c>
      <c r="BA57" s="224"/>
      <c r="BB57" s="53">
        <f t="shared" si="18"/>
        <v>0</v>
      </c>
      <c r="BC57" s="224"/>
      <c r="BD57" s="53">
        <f t="shared" si="19"/>
        <v>0</v>
      </c>
      <c r="BE57" s="224"/>
      <c r="BF57" s="53">
        <f t="shared" si="20"/>
        <v>0</v>
      </c>
      <c r="BG57" s="224"/>
      <c r="BH57" s="53">
        <f t="shared" si="21"/>
        <v>0</v>
      </c>
      <c r="BI57" s="224"/>
      <c r="BJ57" s="53">
        <f t="shared" si="22"/>
        <v>0</v>
      </c>
      <c r="BK57" s="224">
        <f t="shared" si="50"/>
        <v>0</v>
      </c>
      <c r="BL57" s="53">
        <f t="shared" si="50"/>
        <v>0</v>
      </c>
      <c r="BM57" s="307" t="s">
        <v>721</v>
      </c>
      <c r="BN57" s="682">
        <f t="shared" si="31"/>
        <v>0</v>
      </c>
      <c r="BO57" s="230">
        <f t="shared" si="71"/>
        <v>0</v>
      </c>
      <c r="BP57" s="257"/>
      <c r="BQ57" s="257"/>
      <c r="BR57" s="257"/>
      <c r="BS57" s="113">
        <f t="shared" si="65"/>
        <v>0</v>
      </c>
      <c r="BT57" s="257"/>
      <c r="BU57" s="257"/>
      <c r="BV57" s="113"/>
      <c r="BW57" s="217">
        <f t="shared" si="72"/>
        <v>0</v>
      </c>
    </row>
    <row r="58" spans="1:75" s="67" customFormat="1" x14ac:dyDescent="0.25">
      <c r="A58" s="910"/>
      <c r="B58" s="219"/>
      <c r="C58" s="38"/>
      <c r="D58" s="38" t="s">
        <v>677</v>
      </c>
      <c r="E58" s="38" t="s">
        <v>604</v>
      </c>
      <c r="F58" s="229">
        <v>300000</v>
      </c>
      <c r="G58" s="222">
        <f t="shared" si="4"/>
        <v>15</v>
      </c>
      <c r="H58" s="230">
        <f t="shared" si="66"/>
        <v>4500000</v>
      </c>
      <c r="I58" s="230"/>
      <c r="J58" s="230"/>
      <c r="K58" s="230"/>
      <c r="L58" s="230"/>
      <c r="M58" s="230"/>
      <c r="N58" s="230">
        <f>H58</f>
        <v>4500000</v>
      </c>
      <c r="O58" s="230"/>
      <c r="P58" s="230"/>
      <c r="Q58" s="230"/>
      <c r="R58" s="230"/>
      <c r="S58" s="225">
        <f t="shared" si="73"/>
        <v>5.25</v>
      </c>
      <c r="T58" s="225">
        <f t="shared" si="74"/>
        <v>1.5</v>
      </c>
      <c r="U58" s="225">
        <f t="shared" si="75"/>
        <v>2.25</v>
      </c>
      <c r="V58" s="225">
        <f t="shared" si="76"/>
        <v>6</v>
      </c>
      <c r="W58" s="221">
        <f t="shared" si="67"/>
        <v>1575000</v>
      </c>
      <c r="X58" s="221">
        <f t="shared" si="68"/>
        <v>450000</v>
      </c>
      <c r="Y58" s="221">
        <f t="shared" si="69"/>
        <v>675000</v>
      </c>
      <c r="Z58" s="221">
        <f t="shared" si="70"/>
        <v>1800000</v>
      </c>
      <c r="AA58" s="224">
        <v>2</v>
      </c>
      <c r="AB58" s="221">
        <f t="shared" si="45"/>
        <v>600000</v>
      </c>
      <c r="AC58" s="224">
        <v>2</v>
      </c>
      <c r="AD58" s="225">
        <f t="shared" si="49"/>
        <v>600000</v>
      </c>
      <c r="AE58" s="224"/>
      <c r="AF58" s="53">
        <f t="shared" si="7"/>
        <v>0</v>
      </c>
      <c r="AG58" s="224"/>
      <c r="AH58" s="53">
        <f t="shared" si="8"/>
        <v>0</v>
      </c>
      <c r="AI58" s="224"/>
      <c r="AJ58" s="53">
        <f t="shared" si="9"/>
        <v>0</v>
      </c>
      <c r="AK58" s="224">
        <v>2</v>
      </c>
      <c r="AL58" s="53">
        <f t="shared" si="10"/>
        <v>600000</v>
      </c>
      <c r="AM58" s="630">
        <v>0</v>
      </c>
      <c r="AN58" s="53">
        <f t="shared" si="11"/>
        <v>0</v>
      </c>
      <c r="AO58" s="224">
        <v>0</v>
      </c>
      <c r="AP58" s="53">
        <f t="shared" si="12"/>
        <v>0</v>
      </c>
      <c r="AQ58" s="224"/>
      <c r="AR58" s="53">
        <f t="shared" si="13"/>
        <v>0</v>
      </c>
      <c r="AS58" s="224">
        <v>2</v>
      </c>
      <c r="AT58" s="53">
        <f t="shared" si="14"/>
        <v>600000</v>
      </c>
      <c r="AU58" s="224">
        <v>2</v>
      </c>
      <c r="AV58" s="53">
        <f t="shared" si="15"/>
        <v>600000</v>
      </c>
      <c r="AW58" s="224">
        <v>2</v>
      </c>
      <c r="AX58" s="53">
        <f t="shared" si="16"/>
        <v>600000</v>
      </c>
      <c r="AY58" s="53"/>
      <c r="AZ58" s="53">
        <f t="shared" si="17"/>
        <v>0</v>
      </c>
      <c r="BA58" s="224"/>
      <c r="BB58" s="53">
        <f t="shared" si="18"/>
        <v>0</v>
      </c>
      <c r="BC58" s="224">
        <v>2</v>
      </c>
      <c r="BD58" s="53">
        <f t="shared" si="19"/>
        <v>600000</v>
      </c>
      <c r="BE58" s="224">
        <v>1</v>
      </c>
      <c r="BF58" s="53">
        <f t="shared" si="20"/>
        <v>300000</v>
      </c>
      <c r="BG58" s="224"/>
      <c r="BH58" s="53">
        <f t="shared" si="21"/>
        <v>0</v>
      </c>
      <c r="BI58" s="224"/>
      <c r="BJ58" s="53">
        <f t="shared" si="22"/>
        <v>0</v>
      </c>
      <c r="BK58" s="224">
        <f t="shared" si="50"/>
        <v>15</v>
      </c>
      <c r="BL58" s="53">
        <f t="shared" si="50"/>
        <v>4500000</v>
      </c>
      <c r="BM58" s="307" t="s">
        <v>721</v>
      </c>
      <c r="BN58" s="682">
        <f t="shared" si="31"/>
        <v>4500000</v>
      </c>
      <c r="BO58" s="230">
        <f t="shared" si="71"/>
        <v>4500000</v>
      </c>
      <c r="BP58" s="257"/>
      <c r="BQ58" s="257"/>
      <c r="BR58" s="257"/>
      <c r="BS58" s="113">
        <f t="shared" si="65"/>
        <v>4500000</v>
      </c>
      <c r="BT58" s="257"/>
      <c r="BU58" s="257"/>
      <c r="BV58" s="113"/>
      <c r="BW58" s="217">
        <f t="shared" si="72"/>
        <v>4500000</v>
      </c>
    </row>
    <row r="59" spans="1:75" s="67" customFormat="1" x14ac:dyDescent="0.25">
      <c r="A59" s="910"/>
      <c r="B59" s="219"/>
      <c r="C59" s="38"/>
      <c r="D59" s="38" t="s">
        <v>761</v>
      </c>
      <c r="E59" s="38"/>
      <c r="F59" s="229">
        <v>100000</v>
      </c>
      <c r="G59" s="222">
        <f t="shared" si="4"/>
        <v>2</v>
      </c>
      <c r="H59" s="230">
        <f t="shared" si="66"/>
        <v>200000</v>
      </c>
      <c r="I59" s="230"/>
      <c r="J59" s="230"/>
      <c r="K59" s="230"/>
      <c r="L59" s="230"/>
      <c r="M59" s="230"/>
      <c r="N59" s="230">
        <f>H59</f>
        <v>200000</v>
      </c>
      <c r="O59" s="230"/>
      <c r="P59" s="230"/>
      <c r="Q59" s="230"/>
      <c r="R59" s="230"/>
      <c r="S59" s="225">
        <f t="shared" si="73"/>
        <v>0.7</v>
      </c>
      <c r="T59" s="225">
        <f t="shared" si="74"/>
        <v>0.2</v>
      </c>
      <c r="U59" s="225">
        <f t="shared" si="75"/>
        <v>0.3</v>
      </c>
      <c r="V59" s="225">
        <f t="shared" si="76"/>
        <v>0.8</v>
      </c>
      <c r="W59" s="221">
        <f t="shared" si="67"/>
        <v>70000</v>
      </c>
      <c r="X59" s="221">
        <f t="shared" si="68"/>
        <v>20000</v>
      </c>
      <c r="Y59" s="221">
        <f t="shared" si="69"/>
        <v>30000</v>
      </c>
      <c r="Z59" s="221">
        <f t="shared" si="70"/>
        <v>80000</v>
      </c>
      <c r="AA59" s="224"/>
      <c r="AB59" s="221">
        <f t="shared" si="45"/>
        <v>0</v>
      </c>
      <c r="AC59" s="224"/>
      <c r="AD59" s="225">
        <f t="shared" si="49"/>
        <v>0</v>
      </c>
      <c r="AE59" s="224"/>
      <c r="AF59" s="53">
        <f t="shared" si="7"/>
        <v>0</v>
      </c>
      <c r="AG59" s="224"/>
      <c r="AH59" s="53">
        <f t="shared" si="8"/>
        <v>0</v>
      </c>
      <c r="AI59" s="224"/>
      <c r="AJ59" s="53">
        <f t="shared" si="9"/>
        <v>0</v>
      </c>
      <c r="AK59" s="224"/>
      <c r="AL59" s="53">
        <f t="shared" si="10"/>
        <v>0</v>
      </c>
      <c r="AM59" s="224"/>
      <c r="AN59" s="53">
        <f t="shared" si="11"/>
        <v>0</v>
      </c>
      <c r="AO59" s="224"/>
      <c r="AP59" s="53">
        <f t="shared" si="12"/>
        <v>0</v>
      </c>
      <c r="AQ59" s="224">
        <v>2</v>
      </c>
      <c r="AR59" s="53">
        <f t="shared" si="13"/>
        <v>200000</v>
      </c>
      <c r="AS59" s="224"/>
      <c r="AT59" s="53">
        <f t="shared" si="14"/>
        <v>0</v>
      </c>
      <c r="AU59" s="224"/>
      <c r="AV59" s="53">
        <f t="shared" si="15"/>
        <v>0</v>
      </c>
      <c r="AW59" s="224"/>
      <c r="AX59" s="53">
        <f t="shared" si="16"/>
        <v>0</v>
      </c>
      <c r="AY59" s="53"/>
      <c r="AZ59" s="53">
        <f t="shared" si="17"/>
        <v>0</v>
      </c>
      <c r="BA59" s="224"/>
      <c r="BB59" s="53">
        <f t="shared" si="18"/>
        <v>0</v>
      </c>
      <c r="BC59" s="224"/>
      <c r="BD59" s="53">
        <f t="shared" si="19"/>
        <v>0</v>
      </c>
      <c r="BE59" s="224"/>
      <c r="BF59" s="53">
        <f t="shared" si="20"/>
        <v>0</v>
      </c>
      <c r="BG59" s="224"/>
      <c r="BH59" s="53">
        <f t="shared" si="21"/>
        <v>0</v>
      </c>
      <c r="BI59" s="224"/>
      <c r="BJ59" s="53">
        <f t="shared" si="22"/>
        <v>0</v>
      </c>
      <c r="BK59" s="224">
        <f t="shared" si="50"/>
        <v>2</v>
      </c>
      <c r="BL59" s="53">
        <f t="shared" si="50"/>
        <v>200000</v>
      </c>
      <c r="BM59" s="307" t="s">
        <v>721</v>
      </c>
      <c r="BN59" s="682">
        <f t="shared" si="31"/>
        <v>200000</v>
      </c>
      <c r="BO59" s="230">
        <f t="shared" si="71"/>
        <v>200000</v>
      </c>
      <c r="BP59" s="257"/>
      <c r="BQ59" s="257"/>
      <c r="BR59" s="257"/>
      <c r="BS59" s="113">
        <f t="shared" si="65"/>
        <v>200000</v>
      </c>
      <c r="BT59" s="257"/>
      <c r="BU59" s="257"/>
      <c r="BV59" s="113"/>
      <c r="BW59" s="217">
        <f t="shared" si="72"/>
        <v>200000</v>
      </c>
    </row>
    <row r="60" spans="1:75" s="67" customFormat="1" x14ac:dyDescent="0.25">
      <c r="A60" s="910"/>
      <c r="B60" s="219"/>
      <c r="C60" s="38"/>
      <c r="D60" s="38" t="s">
        <v>762</v>
      </c>
      <c r="E60" s="38"/>
      <c r="F60" s="229">
        <v>100000</v>
      </c>
      <c r="G60" s="222">
        <f t="shared" si="4"/>
        <v>4</v>
      </c>
      <c r="H60" s="230">
        <f t="shared" si="66"/>
        <v>400000</v>
      </c>
      <c r="I60" s="230"/>
      <c r="J60" s="230"/>
      <c r="K60" s="230"/>
      <c r="L60" s="230"/>
      <c r="M60" s="230"/>
      <c r="N60" s="230">
        <f>H60</f>
        <v>400000</v>
      </c>
      <c r="O60" s="230"/>
      <c r="P60" s="230"/>
      <c r="Q60" s="230"/>
      <c r="R60" s="230"/>
      <c r="S60" s="225">
        <f t="shared" si="73"/>
        <v>1.4</v>
      </c>
      <c r="T60" s="225">
        <f t="shared" si="74"/>
        <v>0.4</v>
      </c>
      <c r="U60" s="225">
        <f t="shared" si="75"/>
        <v>0.6</v>
      </c>
      <c r="V60" s="225">
        <f t="shared" si="76"/>
        <v>1.6</v>
      </c>
      <c r="W60" s="221">
        <f t="shared" si="67"/>
        <v>140000</v>
      </c>
      <c r="X60" s="221">
        <f t="shared" si="68"/>
        <v>40000</v>
      </c>
      <c r="Y60" s="221">
        <f t="shared" si="69"/>
        <v>60000</v>
      </c>
      <c r="Z60" s="221">
        <f t="shared" si="70"/>
        <v>160000</v>
      </c>
      <c r="AA60" s="224"/>
      <c r="AB60" s="221">
        <f t="shared" si="45"/>
        <v>0</v>
      </c>
      <c r="AC60" s="224"/>
      <c r="AD60" s="225">
        <f t="shared" si="49"/>
        <v>0</v>
      </c>
      <c r="AE60" s="224"/>
      <c r="AF60" s="53">
        <f t="shared" si="7"/>
        <v>0</v>
      </c>
      <c r="AG60" s="224"/>
      <c r="AH60" s="53">
        <f t="shared" si="8"/>
        <v>0</v>
      </c>
      <c r="AI60" s="224"/>
      <c r="AJ60" s="53">
        <f t="shared" si="9"/>
        <v>0</v>
      </c>
      <c r="AK60" s="224"/>
      <c r="AL60" s="53">
        <f t="shared" si="10"/>
        <v>0</v>
      </c>
      <c r="AM60" s="224"/>
      <c r="AN60" s="53">
        <f t="shared" si="11"/>
        <v>0</v>
      </c>
      <c r="AO60" s="224"/>
      <c r="AP60" s="53">
        <f t="shared" si="12"/>
        <v>0</v>
      </c>
      <c r="AQ60" s="224">
        <v>4</v>
      </c>
      <c r="AR60" s="53">
        <f t="shared" si="13"/>
        <v>400000</v>
      </c>
      <c r="AS60" s="224"/>
      <c r="AT60" s="53">
        <f t="shared" si="14"/>
        <v>0</v>
      </c>
      <c r="AU60" s="224"/>
      <c r="AV60" s="53">
        <f t="shared" si="15"/>
        <v>0</v>
      </c>
      <c r="AW60" s="224"/>
      <c r="AX60" s="53">
        <f t="shared" si="16"/>
        <v>0</v>
      </c>
      <c r="AY60" s="53"/>
      <c r="AZ60" s="53">
        <f t="shared" si="17"/>
        <v>0</v>
      </c>
      <c r="BA60" s="224"/>
      <c r="BB60" s="53">
        <f t="shared" si="18"/>
        <v>0</v>
      </c>
      <c r="BC60" s="224"/>
      <c r="BD60" s="53">
        <f t="shared" si="19"/>
        <v>0</v>
      </c>
      <c r="BE60" s="224"/>
      <c r="BF60" s="53">
        <f t="shared" si="20"/>
        <v>0</v>
      </c>
      <c r="BG60" s="224"/>
      <c r="BH60" s="53">
        <f t="shared" si="21"/>
        <v>0</v>
      </c>
      <c r="BI60" s="224"/>
      <c r="BJ60" s="53">
        <f t="shared" si="22"/>
        <v>0</v>
      </c>
      <c r="BK60" s="224">
        <f t="shared" si="50"/>
        <v>4</v>
      </c>
      <c r="BL60" s="53">
        <f t="shared" si="50"/>
        <v>400000</v>
      </c>
      <c r="BM60" s="307" t="s">
        <v>721</v>
      </c>
      <c r="BN60" s="682">
        <f t="shared" si="31"/>
        <v>400000</v>
      </c>
      <c r="BO60" s="230">
        <f t="shared" si="71"/>
        <v>400000</v>
      </c>
      <c r="BP60" s="257"/>
      <c r="BQ60" s="257"/>
      <c r="BR60" s="257"/>
      <c r="BS60" s="113">
        <f t="shared" si="65"/>
        <v>400000</v>
      </c>
      <c r="BT60" s="257"/>
      <c r="BU60" s="257"/>
      <c r="BV60" s="113"/>
      <c r="BW60" s="217">
        <f t="shared" si="72"/>
        <v>400000</v>
      </c>
    </row>
    <row r="61" spans="1:75" s="67" customFormat="1" x14ac:dyDescent="0.25">
      <c r="A61" s="910"/>
      <c r="B61" s="219"/>
      <c r="C61" s="38"/>
      <c r="D61" s="38" t="s">
        <v>763</v>
      </c>
      <c r="E61" s="38"/>
      <c r="F61" s="229">
        <v>200000</v>
      </c>
      <c r="G61" s="222">
        <f t="shared" si="4"/>
        <v>4</v>
      </c>
      <c r="H61" s="230">
        <f t="shared" si="66"/>
        <v>800000</v>
      </c>
      <c r="I61" s="230"/>
      <c r="J61" s="230"/>
      <c r="K61" s="230"/>
      <c r="L61" s="230"/>
      <c r="M61" s="230"/>
      <c r="N61" s="230">
        <f>H61</f>
        <v>800000</v>
      </c>
      <c r="O61" s="230"/>
      <c r="P61" s="230"/>
      <c r="Q61" s="230"/>
      <c r="R61" s="230"/>
      <c r="S61" s="225">
        <f t="shared" si="73"/>
        <v>1.4</v>
      </c>
      <c r="T61" s="225">
        <f t="shared" si="74"/>
        <v>0.4</v>
      </c>
      <c r="U61" s="225">
        <f t="shared" si="75"/>
        <v>0.6</v>
      </c>
      <c r="V61" s="225">
        <f t="shared" si="76"/>
        <v>1.6</v>
      </c>
      <c r="W61" s="221">
        <f t="shared" si="67"/>
        <v>280000</v>
      </c>
      <c r="X61" s="221">
        <f t="shared" si="68"/>
        <v>80000</v>
      </c>
      <c r="Y61" s="221">
        <f t="shared" si="69"/>
        <v>120000</v>
      </c>
      <c r="Z61" s="221">
        <f t="shared" si="70"/>
        <v>320000</v>
      </c>
      <c r="AA61" s="224"/>
      <c r="AB61" s="221">
        <f t="shared" si="45"/>
        <v>0</v>
      </c>
      <c r="AC61" s="224"/>
      <c r="AD61" s="225">
        <f t="shared" si="49"/>
        <v>0</v>
      </c>
      <c r="AE61" s="224"/>
      <c r="AF61" s="53">
        <f t="shared" si="7"/>
        <v>0</v>
      </c>
      <c r="AG61" s="224"/>
      <c r="AH61" s="53">
        <f t="shared" si="8"/>
        <v>0</v>
      </c>
      <c r="AI61" s="224"/>
      <c r="AJ61" s="53">
        <f t="shared" si="9"/>
        <v>0</v>
      </c>
      <c r="AK61" s="224"/>
      <c r="AL61" s="53">
        <f t="shared" si="10"/>
        <v>0</v>
      </c>
      <c r="AM61" s="224"/>
      <c r="AN61" s="53">
        <f t="shared" si="11"/>
        <v>0</v>
      </c>
      <c r="AO61" s="224"/>
      <c r="AP61" s="53">
        <f t="shared" si="12"/>
        <v>0</v>
      </c>
      <c r="AQ61" s="224">
        <v>4</v>
      </c>
      <c r="AR61" s="53">
        <f t="shared" si="13"/>
        <v>800000</v>
      </c>
      <c r="AS61" s="224"/>
      <c r="AT61" s="53">
        <f t="shared" si="14"/>
        <v>0</v>
      </c>
      <c r="AU61" s="224"/>
      <c r="AV61" s="53">
        <f t="shared" si="15"/>
        <v>0</v>
      </c>
      <c r="AW61" s="224"/>
      <c r="AX61" s="53">
        <f t="shared" si="16"/>
        <v>0</v>
      </c>
      <c r="AY61" s="53"/>
      <c r="AZ61" s="53">
        <f t="shared" si="17"/>
        <v>0</v>
      </c>
      <c r="BA61" s="224"/>
      <c r="BB61" s="53">
        <f t="shared" si="18"/>
        <v>0</v>
      </c>
      <c r="BC61" s="224"/>
      <c r="BD61" s="53">
        <f t="shared" si="19"/>
        <v>0</v>
      </c>
      <c r="BE61" s="224"/>
      <c r="BF61" s="53">
        <f t="shared" si="20"/>
        <v>0</v>
      </c>
      <c r="BG61" s="224"/>
      <c r="BH61" s="53">
        <f t="shared" si="21"/>
        <v>0</v>
      </c>
      <c r="BI61" s="224"/>
      <c r="BJ61" s="53">
        <f t="shared" si="22"/>
        <v>0</v>
      </c>
      <c r="BK61" s="224">
        <f t="shared" si="50"/>
        <v>4</v>
      </c>
      <c r="BL61" s="53">
        <f t="shared" si="50"/>
        <v>800000</v>
      </c>
      <c r="BM61" s="307" t="s">
        <v>721</v>
      </c>
      <c r="BN61" s="682">
        <f t="shared" si="31"/>
        <v>800000</v>
      </c>
      <c r="BO61" s="230">
        <f t="shared" si="71"/>
        <v>800000</v>
      </c>
      <c r="BP61" s="257"/>
      <c r="BQ61" s="257"/>
      <c r="BR61" s="257"/>
      <c r="BS61" s="113">
        <f t="shared" si="65"/>
        <v>800000</v>
      </c>
      <c r="BT61" s="257"/>
      <c r="BU61" s="257"/>
      <c r="BV61" s="113"/>
      <c r="BW61" s="217">
        <f t="shared" si="72"/>
        <v>800000</v>
      </c>
    </row>
    <row r="62" spans="1:75" s="67" customFormat="1" x14ac:dyDescent="0.25">
      <c r="A62" s="910"/>
      <c r="B62" s="232"/>
      <c r="C62" s="259"/>
      <c r="D62" s="233" t="s">
        <v>3</v>
      </c>
      <c r="E62" s="259"/>
      <c r="F62" s="260"/>
      <c r="G62" s="235">
        <f t="shared" si="4"/>
        <v>12637</v>
      </c>
      <c r="H62" s="206">
        <f>SUM(H47:H61)</f>
        <v>131309900</v>
      </c>
      <c r="I62" s="243">
        <f>SUM(I47:I61)</f>
        <v>1980000</v>
      </c>
      <c r="J62" s="243">
        <f t="shared" ref="J62:BM62" si="77">SUM(J47:J61)</f>
        <v>9900000</v>
      </c>
      <c r="K62" s="243">
        <f t="shared" si="77"/>
        <v>0</v>
      </c>
      <c r="L62" s="243">
        <f t="shared" si="77"/>
        <v>0</v>
      </c>
      <c r="M62" s="243">
        <f t="shared" si="77"/>
        <v>48750000</v>
      </c>
      <c r="N62" s="243">
        <f t="shared" si="77"/>
        <v>33401900</v>
      </c>
      <c r="O62" s="243">
        <f t="shared" si="77"/>
        <v>0</v>
      </c>
      <c r="P62" s="243">
        <f t="shared" si="77"/>
        <v>0</v>
      </c>
      <c r="Q62" s="243">
        <f t="shared" si="77"/>
        <v>1320000</v>
      </c>
      <c r="R62" s="243">
        <f t="shared" si="77"/>
        <v>35958000</v>
      </c>
      <c r="S62" s="243">
        <f t="shared" si="77"/>
        <v>4422.9499999999989</v>
      </c>
      <c r="T62" s="243">
        <f t="shared" si="77"/>
        <v>1263.7000000000003</v>
      </c>
      <c r="U62" s="243">
        <f t="shared" si="77"/>
        <v>1895.55</v>
      </c>
      <c r="V62" s="243">
        <f t="shared" si="77"/>
        <v>5054.8000000000011</v>
      </c>
      <c r="W62" s="243">
        <f t="shared" si="77"/>
        <v>45958465</v>
      </c>
      <c r="X62" s="243">
        <f t="shared" si="77"/>
        <v>13130990</v>
      </c>
      <c r="Y62" s="243">
        <f t="shared" si="77"/>
        <v>19696485</v>
      </c>
      <c r="Z62" s="243">
        <f t="shared" si="77"/>
        <v>52523960</v>
      </c>
      <c r="AA62" s="243">
        <f t="shared" si="77"/>
        <v>53</v>
      </c>
      <c r="AB62" s="243">
        <f t="shared" si="77"/>
        <v>6980000</v>
      </c>
      <c r="AC62" s="243">
        <f t="shared" si="77"/>
        <v>29</v>
      </c>
      <c r="AD62" s="243">
        <f t="shared" si="77"/>
        <v>3228000</v>
      </c>
      <c r="AE62" s="243">
        <f t="shared" si="77"/>
        <v>79</v>
      </c>
      <c r="AF62" s="243">
        <f t="shared" si="77"/>
        <v>4892000</v>
      </c>
      <c r="AG62" s="243">
        <f t="shared" si="77"/>
        <v>1320</v>
      </c>
      <c r="AH62" s="243">
        <f t="shared" si="77"/>
        <v>13064000</v>
      </c>
      <c r="AI62" s="243">
        <f t="shared" si="77"/>
        <v>62</v>
      </c>
      <c r="AJ62" s="243">
        <f t="shared" si="77"/>
        <v>5632000</v>
      </c>
      <c r="AK62" s="243">
        <f t="shared" si="77"/>
        <v>88</v>
      </c>
      <c r="AL62" s="243">
        <f t="shared" si="77"/>
        <v>8449100</v>
      </c>
      <c r="AM62" s="243">
        <f t="shared" si="77"/>
        <v>49</v>
      </c>
      <c r="AN62" s="243">
        <f t="shared" si="77"/>
        <v>6308000</v>
      </c>
      <c r="AO62" s="243">
        <f t="shared" si="77"/>
        <v>103</v>
      </c>
      <c r="AP62" s="243">
        <f t="shared" si="77"/>
        <v>7614800</v>
      </c>
      <c r="AQ62" s="243">
        <f t="shared" si="77"/>
        <v>24</v>
      </c>
      <c r="AR62" s="243">
        <f t="shared" si="77"/>
        <v>3584000</v>
      </c>
      <c r="AS62" s="243">
        <f t="shared" si="77"/>
        <v>2543</v>
      </c>
      <c r="AT62" s="243">
        <f t="shared" si="77"/>
        <v>9261000</v>
      </c>
      <c r="AU62" s="243">
        <f t="shared" si="77"/>
        <v>56</v>
      </c>
      <c r="AV62" s="243">
        <f t="shared" si="77"/>
        <v>8228000</v>
      </c>
      <c r="AW62" s="243">
        <f t="shared" si="77"/>
        <v>2062</v>
      </c>
      <c r="AX62" s="243">
        <f t="shared" si="77"/>
        <v>10016000</v>
      </c>
      <c r="AY62" s="243">
        <f t="shared" si="77"/>
        <v>71</v>
      </c>
      <c r="AZ62" s="243">
        <f t="shared" si="77"/>
        <v>6856000</v>
      </c>
      <c r="BA62" s="243">
        <f t="shared" si="77"/>
        <v>784</v>
      </c>
      <c r="BB62" s="243">
        <f t="shared" si="77"/>
        <v>5911000</v>
      </c>
      <c r="BC62" s="243">
        <f t="shared" si="77"/>
        <v>2117</v>
      </c>
      <c r="BD62" s="243">
        <f t="shared" si="77"/>
        <v>13432000</v>
      </c>
      <c r="BE62" s="243">
        <f t="shared" si="77"/>
        <v>1565</v>
      </c>
      <c r="BF62" s="243">
        <f t="shared" si="77"/>
        <v>10915000</v>
      </c>
      <c r="BG62" s="243">
        <f t="shared" si="77"/>
        <v>1632</v>
      </c>
      <c r="BH62" s="243">
        <f t="shared" si="77"/>
        <v>6939000</v>
      </c>
      <c r="BI62" s="243">
        <f t="shared" si="77"/>
        <v>0</v>
      </c>
      <c r="BJ62" s="243">
        <f t="shared" si="77"/>
        <v>0</v>
      </c>
      <c r="BK62" s="243">
        <f t="shared" si="50"/>
        <v>12637</v>
      </c>
      <c r="BL62" s="243">
        <f t="shared" si="50"/>
        <v>131309900</v>
      </c>
      <c r="BM62" s="304">
        <f t="shared" si="77"/>
        <v>0</v>
      </c>
      <c r="BN62" s="682">
        <f t="shared" si="31"/>
        <v>131309900</v>
      </c>
      <c r="BO62" s="206">
        <f>SUM(BO47:BO61)</f>
        <v>131309900</v>
      </c>
      <c r="BP62" s="206">
        <f>SUM(BP47:BP61)</f>
        <v>0</v>
      </c>
      <c r="BQ62" s="206">
        <f>SUM(BQ47:BQ61)</f>
        <v>0</v>
      </c>
      <c r="BR62" s="206">
        <f>SUM(BR47:BR61)</f>
        <v>0</v>
      </c>
      <c r="BS62" s="206">
        <f>SUM(BS47:BS61)</f>
        <v>131309900</v>
      </c>
      <c r="BT62" s="206">
        <f>SUM(BT47:BT58)</f>
        <v>0</v>
      </c>
      <c r="BU62" s="206">
        <f>SUM(BU47:BU58)</f>
        <v>0</v>
      </c>
      <c r="BV62" s="206">
        <f>SUM(BV47:BV58)</f>
        <v>0</v>
      </c>
      <c r="BW62" s="206">
        <f>SUM(BW47:BW61)</f>
        <v>131309900</v>
      </c>
    </row>
    <row r="63" spans="1:75" s="39" customFormat="1" x14ac:dyDescent="0.25">
      <c r="A63" s="910"/>
      <c r="B63" s="219"/>
      <c r="C63" s="38">
        <v>21330</v>
      </c>
      <c r="D63" s="211" t="s">
        <v>848</v>
      </c>
      <c r="E63" s="38"/>
      <c r="F63" s="229"/>
      <c r="G63" s="222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24"/>
      <c r="T63" s="224"/>
      <c r="U63" s="224"/>
      <c r="V63" s="224"/>
      <c r="W63" s="53"/>
      <c r="X63" s="53"/>
      <c r="Y63" s="53"/>
      <c r="Z63" s="53"/>
      <c r="AA63" s="224"/>
      <c r="AB63" s="221">
        <f t="shared" si="45"/>
        <v>0</v>
      </c>
      <c r="AC63" s="224"/>
      <c r="AD63" s="225">
        <f t="shared" si="49"/>
        <v>0</v>
      </c>
      <c r="AE63" s="224"/>
      <c r="AF63" s="53">
        <f t="shared" si="7"/>
        <v>0</v>
      </c>
      <c r="AG63" s="224"/>
      <c r="AH63" s="53">
        <f t="shared" si="8"/>
        <v>0</v>
      </c>
      <c r="AI63" s="224"/>
      <c r="AJ63" s="53">
        <f t="shared" si="9"/>
        <v>0</v>
      </c>
      <c r="AK63" s="224"/>
      <c r="AL63" s="53">
        <f t="shared" si="10"/>
        <v>0</v>
      </c>
      <c r="AM63" s="224"/>
      <c r="AN63" s="53">
        <f t="shared" si="11"/>
        <v>0</v>
      </c>
      <c r="AO63" s="224"/>
      <c r="AP63" s="53">
        <f t="shared" si="12"/>
        <v>0</v>
      </c>
      <c r="AQ63" s="224"/>
      <c r="AR63" s="53">
        <f t="shared" si="13"/>
        <v>0</v>
      </c>
      <c r="AS63" s="224"/>
      <c r="AT63" s="53">
        <f t="shared" si="14"/>
        <v>0</v>
      </c>
      <c r="AU63" s="224"/>
      <c r="AV63" s="53">
        <f t="shared" si="15"/>
        <v>0</v>
      </c>
      <c r="AW63" s="224"/>
      <c r="AX63" s="53">
        <f t="shared" si="16"/>
        <v>0</v>
      </c>
      <c r="AY63" s="53"/>
      <c r="AZ63" s="53">
        <f t="shared" si="17"/>
        <v>0</v>
      </c>
      <c r="BA63" s="224"/>
      <c r="BB63" s="53">
        <f t="shared" si="18"/>
        <v>0</v>
      </c>
      <c r="BC63" s="224"/>
      <c r="BD63" s="53">
        <f t="shared" si="19"/>
        <v>0</v>
      </c>
      <c r="BE63" s="266"/>
      <c r="BF63" s="53">
        <f t="shared" si="20"/>
        <v>0</v>
      </c>
      <c r="BG63" s="224"/>
      <c r="BH63" s="53">
        <f t="shared" si="21"/>
        <v>0</v>
      </c>
      <c r="BI63" s="224"/>
      <c r="BJ63" s="53"/>
      <c r="BK63" s="224"/>
      <c r="BL63" s="53"/>
      <c r="BM63" s="307"/>
      <c r="BN63" s="682">
        <f t="shared" si="31"/>
        <v>0</v>
      </c>
      <c r="BO63" s="230">
        <f>H63</f>
        <v>0</v>
      </c>
      <c r="BP63" s="113"/>
      <c r="BQ63" s="113"/>
      <c r="BR63" s="113"/>
      <c r="BS63" s="113">
        <f t="shared" si="65"/>
        <v>0</v>
      </c>
      <c r="BT63" s="113"/>
      <c r="BU63" s="113"/>
      <c r="BV63" s="113">
        <f>BT63+BU63</f>
        <v>0</v>
      </c>
      <c r="BW63" s="217">
        <f>BS63+BV63</f>
        <v>0</v>
      </c>
    </row>
    <row r="64" spans="1:75" s="39" customFormat="1" x14ac:dyDescent="0.25">
      <c r="A64" s="910"/>
      <c r="B64" s="219"/>
      <c r="C64" s="38"/>
      <c r="D64" s="169" t="s">
        <v>610</v>
      </c>
      <c r="E64" s="38" t="s">
        <v>152</v>
      </c>
      <c r="F64" s="229">
        <v>160000</v>
      </c>
      <c r="G64" s="222">
        <f t="shared" si="4"/>
        <v>107</v>
      </c>
      <c r="H64" s="230">
        <f t="shared" ref="H64:H76" si="78">G64*F64</f>
        <v>17120000</v>
      </c>
      <c r="I64" s="230">
        <f>H64*0</f>
        <v>0</v>
      </c>
      <c r="J64" s="230">
        <f>H64*0</f>
        <v>0</v>
      </c>
      <c r="K64" s="230"/>
      <c r="L64" s="230"/>
      <c r="M64" s="230"/>
      <c r="N64" s="230">
        <f>H64</f>
        <v>17120000</v>
      </c>
      <c r="O64" s="230"/>
      <c r="P64" s="230"/>
      <c r="Q64" s="230">
        <f>0*H64</f>
        <v>0</v>
      </c>
      <c r="R64" s="230"/>
      <c r="S64" s="225">
        <f>G64*0.1</f>
        <v>10.700000000000001</v>
      </c>
      <c r="T64" s="225">
        <f>G64*0.6</f>
        <v>64.2</v>
      </c>
      <c r="U64" s="225">
        <f>G64*0.25</f>
        <v>26.75</v>
      </c>
      <c r="V64" s="225">
        <f>G64*0.05</f>
        <v>5.3500000000000005</v>
      </c>
      <c r="W64" s="221">
        <f>S64*F64</f>
        <v>1712000.0000000002</v>
      </c>
      <c r="X64" s="221">
        <f>T64*F64</f>
        <v>10272000</v>
      </c>
      <c r="Y64" s="221">
        <f>U64*F64</f>
        <v>4280000</v>
      </c>
      <c r="Z64" s="221">
        <f>V64*F64</f>
        <v>856000.00000000012</v>
      </c>
      <c r="AA64" s="224">
        <v>5</v>
      </c>
      <c r="AB64" s="221">
        <f t="shared" si="45"/>
        <v>800000</v>
      </c>
      <c r="AC64" s="224">
        <v>0</v>
      </c>
      <c r="AD64" s="225">
        <f t="shared" si="49"/>
        <v>0</v>
      </c>
      <c r="AE64" s="224"/>
      <c r="AF64" s="53">
        <f t="shared" si="7"/>
        <v>0</v>
      </c>
      <c r="AG64" s="224">
        <v>10</v>
      </c>
      <c r="AH64" s="53">
        <f t="shared" si="8"/>
        <v>1600000</v>
      </c>
      <c r="AI64" s="224">
        <v>10</v>
      </c>
      <c r="AJ64" s="53">
        <f t="shared" si="9"/>
        <v>1600000</v>
      </c>
      <c r="AK64" s="224">
        <v>0</v>
      </c>
      <c r="AL64" s="53">
        <f t="shared" si="10"/>
        <v>0</v>
      </c>
      <c r="AM64" s="224"/>
      <c r="AN64" s="53">
        <f t="shared" si="11"/>
        <v>0</v>
      </c>
      <c r="AO64" s="224"/>
      <c r="AP64" s="53">
        <f t="shared" si="12"/>
        <v>0</v>
      </c>
      <c r="AQ64" s="224">
        <v>0</v>
      </c>
      <c r="AR64" s="53">
        <f t="shared" si="13"/>
        <v>0</v>
      </c>
      <c r="AS64" s="224">
        <v>20</v>
      </c>
      <c r="AT64" s="53">
        <f t="shared" si="14"/>
        <v>3200000</v>
      </c>
      <c r="AU64" s="224">
        <v>12</v>
      </c>
      <c r="AV64" s="53">
        <f t="shared" si="15"/>
        <v>1920000</v>
      </c>
      <c r="AW64" s="224">
        <v>0</v>
      </c>
      <c r="AX64" s="53">
        <f t="shared" si="16"/>
        <v>0</v>
      </c>
      <c r="AY64" s="53"/>
      <c r="AZ64" s="53">
        <f t="shared" si="17"/>
        <v>0</v>
      </c>
      <c r="BA64" s="224">
        <v>10</v>
      </c>
      <c r="BB64" s="53">
        <f t="shared" si="18"/>
        <v>1600000</v>
      </c>
      <c r="BC64" s="224">
        <v>10</v>
      </c>
      <c r="BD64" s="53">
        <f t="shared" si="19"/>
        <v>1600000</v>
      </c>
      <c r="BE64" s="266">
        <v>0</v>
      </c>
      <c r="BF64" s="53">
        <f t="shared" si="20"/>
        <v>0</v>
      </c>
      <c r="BG64" s="224">
        <v>30</v>
      </c>
      <c r="BH64" s="53">
        <f t="shared" si="21"/>
        <v>4800000</v>
      </c>
      <c r="BI64" s="224"/>
      <c r="BJ64" s="53">
        <f t="shared" si="22"/>
        <v>0</v>
      </c>
      <c r="BK64" s="224">
        <f t="shared" si="50"/>
        <v>107</v>
      </c>
      <c r="BL64" s="53">
        <f t="shared" si="50"/>
        <v>17120000</v>
      </c>
      <c r="BM64" s="640" t="s">
        <v>859</v>
      </c>
      <c r="BN64" s="682">
        <f t="shared" si="31"/>
        <v>17120000</v>
      </c>
      <c r="BO64" s="230"/>
      <c r="BP64" s="113"/>
      <c r="BQ64" s="230">
        <f>H64</f>
        <v>17120000</v>
      </c>
      <c r="BR64" s="113"/>
      <c r="BS64" s="113">
        <f t="shared" si="65"/>
        <v>17120000</v>
      </c>
      <c r="BT64" s="113"/>
      <c r="BU64" s="113"/>
      <c r="BV64" s="113"/>
      <c r="BW64" s="217">
        <f>BS64+BV64</f>
        <v>17120000</v>
      </c>
    </row>
    <row r="65" spans="1:75" s="39" customFormat="1" ht="31.5" customHeight="1" x14ac:dyDescent="0.25">
      <c r="A65" s="910"/>
      <c r="B65" s="219"/>
      <c r="C65" s="38"/>
      <c r="D65" s="169" t="s">
        <v>752</v>
      </c>
      <c r="E65" s="38" t="s">
        <v>152</v>
      </c>
      <c r="F65" s="229">
        <v>180000</v>
      </c>
      <c r="G65" s="222">
        <f t="shared" si="4"/>
        <v>338</v>
      </c>
      <c r="H65" s="230">
        <f t="shared" si="78"/>
        <v>60840000</v>
      </c>
      <c r="I65" s="230">
        <f>H65*0</f>
        <v>0</v>
      </c>
      <c r="J65" s="230">
        <f>H65*0</f>
        <v>0</v>
      </c>
      <c r="K65" s="230"/>
      <c r="L65" s="230"/>
      <c r="M65" s="230"/>
      <c r="N65" s="230">
        <f>H65</f>
        <v>60840000</v>
      </c>
      <c r="O65" s="230"/>
      <c r="P65" s="230"/>
      <c r="Q65" s="230">
        <f>0*H65</f>
        <v>0</v>
      </c>
      <c r="R65" s="230"/>
      <c r="S65" s="225">
        <f t="shared" ref="S65:S76" si="79">G65*0.1</f>
        <v>33.800000000000004</v>
      </c>
      <c r="T65" s="225">
        <f t="shared" ref="T65:T76" si="80">G65*0.6</f>
        <v>202.79999999999998</v>
      </c>
      <c r="U65" s="225">
        <f t="shared" ref="U65:U76" si="81">G65*0.25</f>
        <v>84.5</v>
      </c>
      <c r="V65" s="225">
        <f t="shared" ref="V65:V76" si="82">G65*0.05</f>
        <v>16.900000000000002</v>
      </c>
      <c r="W65" s="221">
        <f t="shared" ref="W65:W76" si="83">S65*F65</f>
        <v>6084000.0000000009</v>
      </c>
      <c r="X65" s="221">
        <f t="shared" ref="X65:X76" si="84">T65*F65</f>
        <v>36504000</v>
      </c>
      <c r="Y65" s="221">
        <f t="shared" ref="Y65:Y76" si="85">U65*F65</f>
        <v>15210000</v>
      </c>
      <c r="Z65" s="221">
        <f t="shared" ref="Z65:Z76" si="86">V65*F65</f>
        <v>3042000.0000000005</v>
      </c>
      <c r="AA65" s="224">
        <v>60</v>
      </c>
      <c r="AB65" s="221">
        <f t="shared" si="45"/>
        <v>10800000</v>
      </c>
      <c r="AC65" s="224">
        <v>8</v>
      </c>
      <c r="AD65" s="225">
        <f t="shared" si="49"/>
        <v>1440000</v>
      </c>
      <c r="AE65" s="224">
        <v>30</v>
      </c>
      <c r="AF65" s="53">
        <f t="shared" si="7"/>
        <v>5400000</v>
      </c>
      <c r="AG65" s="224">
        <v>10</v>
      </c>
      <c r="AH65" s="53">
        <f t="shared" si="8"/>
        <v>1800000</v>
      </c>
      <c r="AI65" s="224"/>
      <c r="AJ65" s="53">
        <f t="shared" si="9"/>
        <v>0</v>
      </c>
      <c r="AK65" s="224">
        <v>10</v>
      </c>
      <c r="AL65" s="53">
        <f t="shared" si="10"/>
        <v>1800000</v>
      </c>
      <c r="AM65" s="224"/>
      <c r="AN65" s="53">
        <f t="shared" si="11"/>
        <v>0</v>
      </c>
      <c r="AO65" s="224"/>
      <c r="AP65" s="53">
        <f t="shared" si="12"/>
        <v>0</v>
      </c>
      <c r="AQ65" s="224">
        <v>10</v>
      </c>
      <c r="AR65" s="53">
        <f t="shared" si="13"/>
        <v>1800000</v>
      </c>
      <c r="AS65" s="224">
        <v>30</v>
      </c>
      <c r="AT65" s="53">
        <f t="shared" si="14"/>
        <v>5400000</v>
      </c>
      <c r="AU65" s="224">
        <v>30</v>
      </c>
      <c r="AV65" s="53">
        <f t="shared" si="15"/>
        <v>5400000</v>
      </c>
      <c r="AW65" s="224"/>
      <c r="AX65" s="53">
        <f t="shared" si="16"/>
        <v>0</v>
      </c>
      <c r="AY65" s="53">
        <v>30</v>
      </c>
      <c r="AZ65" s="53">
        <f t="shared" si="17"/>
        <v>5400000</v>
      </c>
      <c r="BA65" s="224">
        <v>40</v>
      </c>
      <c r="BB65" s="53">
        <f t="shared" si="18"/>
        <v>7200000</v>
      </c>
      <c r="BC65" s="224">
        <v>40</v>
      </c>
      <c r="BD65" s="53">
        <f t="shared" si="19"/>
        <v>7200000</v>
      </c>
      <c r="BE65" s="266">
        <v>0</v>
      </c>
      <c r="BF65" s="53">
        <f t="shared" si="20"/>
        <v>0</v>
      </c>
      <c r="BG65" s="224">
        <v>40</v>
      </c>
      <c r="BH65" s="53">
        <f t="shared" si="21"/>
        <v>7200000</v>
      </c>
      <c r="BI65" s="224"/>
      <c r="BJ65" s="53">
        <f t="shared" si="22"/>
        <v>0</v>
      </c>
      <c r="BK65" s="224">
        <f t="shared" si="50"/>
        <v>338</v>
      </c>
      <c r="BL65" s="53">
        <f t="shared" si="50"/>
        <v>60840000</v>
      </c>
      <c r="BM65" s="640" t="s">
        <v>859</v>
      </c>
      <c r="BN65" s="682">
        <f t="shared" si="31"/>
        <v>60840000</v>
      </c>
      <c r="BO65" s="230"/>
      <c r="BP65" s="113"/>
      <c r="BQ65" s="230">
        <f t="shared" ref="BQ65:BQ74" si="87">H65</f>
        <v>60840000</v>
      </c>
      <c r="BR65" s="113"/>
      <c r="BS65" s="113">
        <f t="shared" si="65"/>
        <v>60840000</v>
      </c>
      <c r="BT65" s="113"/>
      <c r="BU65" s="113"/>
      <c r="BV65" s="113"/>
      <c r="BW65" s="217">
        <f t="shared" ref="BW65:BW74" si="88">BS65+BV65</f>
        <v>60840000</v>
      </c>
    </row>
    <row r="66" spans="1:75" s="39" customFormat="1" x14ac:dyDescent="0.25">
      <c r="A66" s="910"/>
      <c r="B66" s="219"/>
      <c r="C66" s="38"/>
      <c r="D66" s="169" t="s">
        <v>611</v>
      </c>
      <c r="E66" s="38" t="s">
        <v>152</v>
      </c>
      <c r="F66" s="229">
        <v>278000</v>
      </c>
      <c r="G66" s="222">
        <f t="shared" si="4"/>
        <v>90</v>
      </c>
      <c r="H66" s="230">
        <f t="shared" si="78"/>
        <v>25020000</v>
      </c>
      <c r="I66" s="230">
        <f>H66*0.2</f>
        <v>5004000</v>
      </c>
      <c r="J66" s="230">
        <f>H66*0.8</f>
        <v>20016000</v>
      </c>
      <c r="K66" s="230"/>
      <c r="L66" s="230"/>
      <c r="M66" s="230"/>
      <c r="N66" s="230">
        <f>H66*0</f>
        <v>0</v>
      </c>
      <c r="O66" s="230"/>
      <c r="P66" s="230"/>
      <c r="Q66" s="230">
        <f>0*H66</f>
        <v>0</v>
      </c>
      <c r="R66" s="230"/>
      <c r="S66" s="225">
        <f t="shared" si="79"/>
        <v>9</v>
      </c>
      <c r="T66" s="225">
        <f t="shared" si="80"/>
        <v>54</v>
      </c>
      <c r="U66" s="225">
        <f t="shared" si="81"/>
        <v>22.5</v>
      </c>
      <c r="V66" s="225">
        <f t="shared" si="82"/>
        <v>4.5</v>
      </c>
      <c r="W66" s="221">
        <f t="shared" si="83"/>
        <v>2502000</v>
      </c>
      <c r="X66" s="221">
        <f t="shared" si="84"/>
        <v>15012000</v>
      </c>
      <c r="Y66" s="221">
        <f t="shared" si="85"/>
        <v>6255000</v>
      </c>
      <c r="Z66" s="221">
        <f t="shared" si="86"/>
        <v>1251000</v>
      </c>
      <c r="AA66" s="224"/>
      <c r="AB66" s="221">
        <f t="shared" si="45"/>
        <v>0</v>
      </c>
      <c r="AC66" s="224"/>
      <c r="AD66" s="225">
        <f t="shared" si="49"/>
        <v>0</v>
      </c>
      <c r="AE66" s="224"/>
      <c r="AF66" s="53">
        <f t="shared" si="7"/>
        <v>0</v>
      </c>
      <c r="AG66" s="224"/>
      <c r="AH66" s="53">
        <f t="shared" si="8"/>
        <v>0</v>
      </c>
      <c r="AI66" s="224"/>
      <c r="AJ66" s="53">
        <f t="shared" si="9"/>
        <v>0</v>
      </c>
      <c r="AK66" s="630">
        <v>0</v>
      </c>
      <c r="AL66" s="53">
        <f t="shared" si="10"/>
        <v>0</v>
      </c>
      <c r="AM66" s="224">
        <v>20</v>
      </c>
      <c r="AN66" s="53">
        <f t="shared" si="11"/>
        <v>5560000</v>
      </c>
      <c r="AO66" s="224">
        <v>40</v>
      </c>
      <c r="AP66" s="53">
        <f t="shared" si="12"/>
        <v>11120000</v>
      </c>
      <c r="AQ66" s="224"/>
      <c r="AR66" s="53">
        <f t="shared" si="13"/>
        <v>0</v>
      </c>
      <c r="AS66" s="224">
        <v>5</v>
      </c>
      <c r="AT66" s="53">
        <f t="shared" si="14"/>
        <v>1390000</v>
      </c>
      <c r="AU66" s="224"/>
      <c r="AV66" s="53">
        <f t="shared" si="15"/>
        <v>0</v>
      </c>
      <c r="AW66" s="630">
        <v>5</v>
      </c>
      <c r="AX66" s="53">
        <f t="shared" si="16"/>
        <v>1390000</v>
      </c>
      <c r="AY66" s="53"/>
      <c r="AZ66" s="53">
        <f t="shared" si="17"/>
        <v>0</v>
      </c>
      <c r="BA66" s="224"/>
      <c r="BB66" s="53">
        <f t="shared" si="18"/>
        <v>0</v>
      </c>
      <c r="BC66" s="630">
        <v>0</v>
      </c>
      <c r="BD66" s="53">
        <f t="shared" si="19"/>
        <v>0</v>
      </c>
      <c r="BE66" s="630">
        <v>20</v>
      </c>
      <c r="BF66" s="53">
        <f t="shared" si="20"/>
        <v>5560000</v>
      </c>
      <c r="BG66" s="224">
        <v>0</v>
      </c>
      <c r="BH66" s="53">
        <f t="shared" si="21"/>
        <v>0</v>
      </c>
      <c r="BI66" s="224"/>
      <c r="BJ66" s="53">
        <f t="shared" si="22"/>
        <v>0</v>
      </c>
      <c r="BK66" s="224">
        <f t="shared" si="50"/>
        <v>90</v>
      </c>
      <c r="BL66" s="53">
        <f t="shared" si="50"/>
        <v>25020000</v>
      </c>
      <c r="BM66" s="306" t="s">
        <v>467</v>
      </c>
      <c r="BN66" s="682">
        <f t="shared" si="31"/>
        <v>25020000</v>
      </c>
      <c r="BO66" s="230"/>
      <c r="BP66" s="113"/>
      <c r="BQ66" s="230">
        <f t="shared" si="87"/>
        <v>25020000</v>
      </c>
      <c r="BR66" s="113"/>
      <c r="BS66" s="113">
        <f t="shared" si="65"/>
        <v>25020000</v>
      </c>
      <c r="BT66" s="113"/>
      <c r="BU66" s="113"/>
      <c r="BV66" s="113"/>
      <c r="BW66" s="217">
        <f t="shared" si="88"/>
        <v>25020000</v>
      </c>
    </row>
    <row r="67" spans="1:75" s="39" customFormat="1" x14ac:dyDescent="0.25">
      <c r="A67" s="910"/>
      <c r="B67" s="219"/>
      <c r="C67" s="38"/>
      <c r="D67" s="169" t="s">
        <v>612</v>
      </c>
      <c r="E67" s="38" t="s">
        <v>152</v>
      </c>
      <c r="F67" s="229">
        <v>80000</v>
      </c>
      <c r="G67" s="222">
        <f t="shared" si="4"/>
        <v>24.5</v>
      </c>
      <c r="H67" s="230">
        <f t="shared" si="78"/>
        <v>1960000</v>
      </c>
      <c r="I67" s="230">
        <f>H67*0.2</f>
        <v>392000</v>
      </c>
      <c r="J67" s="230">
        <f>H67*0.8</f>
        <v>1568000</v>
      </c>
      <c r="K67" s="230"/>
      <c r="L67" s="230"/>
      <c r="M67" s="230"/>
      <c r="N67" s="230">
        <f>H67*0</f>
        <v>0</v>
      </c>
      <c r="O67" s="230"/>
      <c r="P67" s="230"/>
      <c r="Q67" s="230">
        <f>0*H67</f>
        <v>0</v>
      </c>
      <c r="R67" s="230"/>
      <c r="S67" s="225">
        <f t="shared" si="79"/>
        <v>2.4500000000000002</v>
      </c>
      <c r="T67" s="225">
        <f t="shared" si="80"/>
        <v>14.7</v>
      </c>
      <c r="U67" s="225">
        <f t="shared" si="81"/>
        <v>6.125</v>
      </c>
      <c r="V67" s="225">
        <f t="shared" si="82"/>
        <v>1.2250000000000001</v>
      </c>
      <c r="W67" s="221">
        <f t="shared" si="83"/>
        <v>196000</v>
      </c>
      <c r="X67" s="221">
        <f t="shared" si="84"/>
        <v>1176000</v>
      </c>
      <c r="Y67" s="221">
        <f t="shared" si="85"/>
        <v>490000</v>
      </c>
      <c r="Z67" s="221">
        <f t="shared" si="86"/>
        <v>98000</v>
      </c>
      <c r="AA67" s="224"/>
      <c r="AB67" s="221">
        <f t="shared" si="45"/>
        <v>0</v>
      </c>
      <c r="AC67" s="224"/>
      <c r="AD67" s="225">
        <f t="shared" si="49"/>
        <v>0</v>
      </c>
      <c r="AE67" s="224">
        <v>0</v>
      </c>
      <c r="AF67" s="53">
        <f t="shared" si="7"/>
        <v>0</v>
      </c>
      <c r="AG67" s="224">
        <v>7.5</v>
      </c>
      <c r="AH67" s="53">
        <f t="shared" si="8"/>
        <v>600000</v>
      </c>
      <c r="AI67" s="224">
        <v>5</v>
      </c>
      <c r="AJ67" s="53">
        <f t="shared" si="9"/>
        <v>400000</v>
      </c>
      <c r="AK67" s="630">
        <v>0</v>
      </c>
      <c r="AL67" s="53">
        <f t="shared" si="10"/>
        <v>0</v>
      </c>
      <c r="AM67" s="224">
        <v>0</v>
      </c>
      <c r="AN67" s="53">
        <f t="shared" si="11"/>
        <v>0</v>
      </c>
      <c r="AO67" s="224"/>
      <c r="AP67" s="53">
        <f t="shared" si="12"/>
        <v>0</v>
      </c>
      <c r="AQ67" s="224">
        <v>5</v>
      </c>
      <c r="AR67" s="53">
        <f t="shared" si="13"/>
        <v>400000</v>
      </c>
      <c r="AS67" s="630">
        <v>5</v>
      </c>
      <c r="AT67" s="53">
        <f t="shared" si="14"/>
        <v>400000</v>
      </c>
      <c r="AU67" s="224"/>
      <c r="AV67" s="53">
        <f t="shared" si="15"/>
        <v>0</v>
      </c>
      <c r="AW67" s="224"/>
      <c r="AX67" s="53">
        <f t="shared" si="16"/>
        <v>0</v>
      </c>
      <c r="AY67" s="53"/>
      <c r="AZ67" s="53">
        <f t="shared" si="17"/>
        <v>0</v>
      </c>
      <c r="BA67" s="630">
        <v>2</v>
      </c>
      <c r="BB67" s="53">
        <f t="shared" si="18"/>
        <v>160000</v>
      </c>
      <c r="BC67" s="630">
        <v>0</v>
      </c>
      <c r="BD67" s="53">
        <f t="shared" si="19"/>
        <v>0</v>
      </c>
      <c r="BE67" s="224"/>
      <c r="BF67" s="53">
        <f t="shared" si="20"/>
        <v>0</v>
      </c>
      <c r="BG67" s="224">
        <v>0</v>
      </c>
      <c r="BH67" s="53">
        <f t="shared" si="21"/>
        <v>0</v>
      </c>
      <c r="BI67" s="224"/>
      <c r="BJ67" s="53">
        <f t="shared" si="22"/>
        <v>0</v>
      </c>
      <c r="BK67" s="224">
        <f t="shared" si="50"/>
        <v>24.5</v>
      </c>
      <c r="BL67" s="53">
        <f t="shared" si="50"/>
        <v>1960000</v>
      </c>
      <c r="BM67" s="306" t="s">
        <v>467</v>
      </c>
      <c r="BN67" s="682">
        <f t="shared" si="31"/>
        <v>1960000</v>
      </c>
      <c r="BO67" s="230"/>
      <c r="BP67" s="113"/>
      <c r="BQ67" s="230">
        <f t="shared" si="87"/>
        <v>1960000</v>
      </c>
      <c r="BR67" s="113"/>
      <c r="BS67" s="113">
        <f t="shared" si="65"/>
        <v>1960000</v>
      </c>
      <c r="BT67" s="113"/>
      <c r="BU67" s="113"/>
      <c r="BV67" s="113"/>
      <c r="BW67" s="217">
        <f t="shared" si="88"/>
        <v>1960000</v>
      </c>
    </row>
    <row r="68" spans="1:75" s="163" customFormat="1" x14ac:dyDescent="0.25">
      <c r="A68" s="910"/>
      <c r="B68" s="237"/>
      <c r="C68" s="169"/>
      <c r="D68" s="169" t="s">
        <v>613</v>
      </c>
      <c r="E68" s="169" t="s">
        <v>152</v>
      </c>
      <c r="F68" s="231">
        <v>203000</v>
      </c>
      <c r="G68" s="544">
        <f t="shared" si="4"/>
        <v>50</v>
      </c>
      <c r="H68" s="239">
        <f t="shared" si="78"/>
        <v>10150000</v>
      </c>
      <c r="I68" s="239">
        <f>H68*0</f>
        <v>0</v>
      </c>
      <c r="J68" s="239">
        <f>H68*0</f>
        <v>0</v>
      </c>
      <c r="K68" s="239"/>
      <c r="L68" s="239"/>
      <c r="M68" s="239"/>
      <c r="N68" s="239">
        <f>H68</f>
        <v>10150000</v>
      </c>
      <c r="O68" s="239"/>
      <c r="P68" s="239"/>
      <c r="Q68" s="239"/>
      <c r="R68" s="239"/>
      <c r="S68" s="225">
        <f t="shared" si="79"/>
        <v>5</v>
      </c>
      <c r="T68" s="225">
        <f t="shared" si="80"/>
        <v>30</v>
      </c>
      <c r="U68" s="225">
        <f t="shared" si="81"/>
        <v>12.5</v>
      </c>
      <c r="V68" s="225">
        <f t="shared" si="82"/>
        <v>2.5</v>
      </c>
      <c r="W68" s="546">
        <f t="shared" si="83"/>
        <v>1015000</v>
      </c>
      <c r="X68" s="546">
        <f t="shared" si="84"/>
        <v>6090000</v>
      </c>
      <c r="Y68" s="546">
        <f t="shared" si="85"/>
        <v>2537500</v>
      </c>
      <c r="Z68" s="546">
        <f t="shared" si="86"/>
        <v>507500</v>
      </c>
      <c r="AA68" s="266">
        <v>2</v>
      </c>
      <c r="AB68" s="546">
        <f t="shared" si="45"/>
        <v>406000</v>
      </c>
      <c r="AC68" s="266">
        <v>0</v>
      </c>
      <c r="AD68" s="545">
        <f t="shared" si="49"/>
        <v>0</v>
      </c>
      <c r="AE68" s="621">
        <v>0</v>
      </c>
      <c r="AF68" s="547">
        <f t="shared" si="7"/>
        <v>0</v>
      </c>
      <c r="AG68" s="266"/>
      <c r="AH68" s="547">
        <f t="shared" si="8"/>
        <v>0</v>
      </c>
      <c r="AI68" s="266">
        <v>10</v>
      </c>
      <c r="AJ68" s="547">
        <f t="shared" si="9"/>
        <v>2030000</v>
      </c>
      <c r="AK68" s="266">
        <v>2</v>
      </c>
      <c r="AL68" s="547">
        <f t="shared" si="10"/>
        <v>406000</v>
      </c>
      <c r="AM68" s="266"/>
      <c r="AN68" s="547">
        <f t="shared" si="11"/>
        <v>0</v>
      </c>
      <c r="AO68" s="266"/>
      <c r="AP68" s="547">
        <f t="shared" si="12"/>
        <v>0</v>
      </c>
      <c r="AQ68" s="266">
        <v>2</v>
      </c>
      <c r="AR68" s="547">
        <f t="shared" si="13"/>
        <v>406000</v>
      </c>
      <c r="AS68" s="266"/>
      <c r="AT68" s="547">
        <f t="shared" si="14"/>
        <v>0</v>
      </c>
      <c r="AU68" s="266">
        <v>5</v>
      </c>
      <c r="AV68" s="547">
        <f t="shared" si="15"/>
        <v>1015000</v>
      </c>
      <c r="AW68" s="266">
        <v>15</v>
      </c>
      <c r="AX68" s="547">
        <f t="shared" si="16"/>
        <v>3045000</v>
      </c>
      <c r="AY68" s="547">
        <v>10</v>
      </c>
      <c r="AZ68" s="547">
        <f t="shared" si="17"/>
        <v>2030000</v>
      </c>
      <c r="BA68" s="266">
        <v>2</v>
      </c>
      <c r="BB68" s="547">
        <f t="shared" si="18"/>
        <v>406000</v>
      </c>
      <c r="BC68" s="266">
        <v>2</v>
      </c>
      <c r="BD68" s="547">
        <f t="shared" si="19"/>
        <v>406000</v>
      </c>
      <c r="BE68" s="266">
        <v>0</v>
      </c>
      <c r="BF68" s="547">
        <f t="shared" si="20"/>
        <v>0</v>
      </c>
      <c r="BG68" s="266">
        <v>0</v>
      </c>
      <c r="BH68" s="547">
        <f t="shared" si="21"/>
        <v>0</v>
      </c>
      <c r="BI68" s="266"/>
      <c r="BJ68" s="547">
        <f t="shared" si="22"/>
        <v>0</v>
      </c>
      <c r="BK68" s="266">
        <f t="shared" si="50"/>
        <v>50</v>
      </c>
      <c r="BL68" s="547">
        <f t="shared" si="50"/>
        <v>10150000</v>
      </c>
      <c r="BM68" s="650" t="s">
        <v>859</v>
      </c>
      <c r="BN68" s="682">
        <f t="shared" si="31"/>
        <v>10150000</v>
      </c>
      <c r="BO68" s="239"/>
      <c r="BP68" s="176"/>
      <c r="BQ68" s="239">
        <f t="shared" si="87"/>
        <v>10150000</v>
      </c>
      <c r="BR68" s="176"/>
      <c r="BS68" s="176">
        <f t="shared" si="65"/>
        <v>10150000</v>
      </c>
      <c r="BT68" s="176"/>
      <c r="BU68" s="176"/>
      <c r="BV68" s="176"/>
      <c r="BW68" s="177">
        <f t="shared" si="88"/>
        <v>10150000</v>
      </c>
    </row>
    <row r="69" spans="1:75" s="163" customFormat="1" x14ac:dyDescent="0.25">
      <c r="A69" s="910"/>
      <c r="B69" s="237"/>
      <c r="C69" s="169"/>
      <c r="D69" s="169" t="s">
        <v>620</v>
      </c>
      <c r="E69" s="169" t="s">
        <v>152</v>
      </c>
      <c r="F69" s="231">
        <v>217500</v>
      </c>
      <c r="G69" s="544">
        <f t="shared" si="4"/>
        <v>15</v>
      </c>
      <c r="H69" s="239">
        <f t="shared" si="78"/>
        <v>3262500</v>
      </c>
      <c r="I69" s="239">
        <f>H69*0</f>
        <v>0</v>
      </c>
      <c r="J69" s="239">
        <f>H69*0</f>
        <v>0</v>
      </c>
      <c r="K69" s="239"/>
      <c r="L69" s="239"/>
      <c r="M69" s="239"/>
      <c r="N69" s="239">
        <f>H69</f>
        <v>3262500</v>
      </c>
      <c r="O69" s="239"/>
      <c r="P69" s="239"/>
      <c r="Q69" s="239"/>
      <c r="R69" s="239"/>
      <c r="S69" s="225">
        <f t="shared" si="79"/>
        <v>1.5</v>
      </c>
      <c r="T69" s="225">
        <f t="shared" si="80"/>
        <v>9</v>
      </c>
      <c r="U69" s="225">
        <f t="shared" si="81"/>
        <v>3.75</v>
      </c>
      <c r="V69" s="225">
        <f t="shared" si="82"/>
        <v>0.75</v>
      </c>
      <c r="W69" s="546">
        <f t="shared" si="83"/>
        <v>326250</v>
      </c>
      <c r="X69" s="546">
        <f t="shared" si="84"/>
        <v>1957500</v>
      </c>
      <c r="Y69" s="546">
        <f t="shared" si="85"/>
        <v>815625</v>
      </c>
      <c r="Z69" s="546">
        <f t="shared" si="86"/>
        <v>163125</v>
      </c>
      <c r="AA69" s="266"/>
      <c r="AB69" s="546">
        <f t="shared" si="45"/>
        <v>0</v>
      </c>
      <c r="AC69" s="266">
        <v>0</v>
      </c>
      <c r="AD69" s="545">
        <f t="shared" si="49"/>
        <v>0</v>
      </c>
      <c r="AE69" s="266">
        <v>1</v>
      </c>
      <c r="AF69" s="547">
        <f t="shared" si="7"/>
        <v>217500</v>
      </c>
      <c r="AG69" s="266"/>
      <c r="AH69" s="547">
        <f t="shared" si="8"/>
        <v>0</v>
      </c>
      <c r="AI69" s="266"/>
      <c r="AJ69" s="547">
        <f t="shared" si="9"/>
        <v>0</v>
      </c>
      <c r="AK69" s="266">
        <v>0</v>
      </c>
      <c r="AL69" s="547">
        <f t="shared" si="10"/>
        <v>0</v>
      </c>
      <c r="AM69" s="266">
        <v>2</v>
      </c>
      <c r="AN69" s="547">
        <f t="shared" si="11"/>
        <v>435000</v>
      </c>
      <c r="AO69" s="266">
        <v>0</v>
      </c>
      <c r="AP69" s="547">
        <f t="shared" si="12"/>
        <v>0</v>
      </c>
      <c r="AQ69" s="266">
        <v>0</v>
      </c>
      <c r="AR69" s="547">
        <f t="shared" si="13"/>
        <v>0</v>
      </c>
      <c r="AS69" s="266">
        <v>0</v>
      </c>
      <c r="AT69" s="547">
        <f t="shared" si="14"/>
        <v>0</v>
      </c>
      <c r="AU69" s="266"/>
      <c r="AV69" s="547">
        <f t="shared" si="15"/>
        <v>0</v>
      </c>
      <c r="AW69" s="266"/>
      <c r="AX69" s="547">
        <f t="shared" si="16"/>
        <v>0</v>
      </c>
      <c r="AY69" s="547"/>
      <c r="AZ69" s="547">
        <f t="shared" si="17"/>
        <v>0</v>
      </c>
      <c r="BA69" s="266">
        <v>2</v>
      </c>
      <c r="BB69" s="547">
        <f t="shared" si="18"/>
        <v>435000</v>
      </c>
      <c r="BC69" s="266">
        <v>10</v>
      </c>
      <c r="BD69" s="547">
        <f t="shared" si="19"/>
        <v>2175000</v>
      </c>
      <c r="BE69" s="266">
        <v>0</v>
      </c>
      <c r="BF69" s="547">
        <f t="shared" si="20"/>
        <v>0</v>
      </c>
      <c r="BG69" s="266">
        <v>0</v>
      </c>
      <c r="BH69" s="547">
        <f t="shared" si="21"/>
        <v>0</v>
      </c>
      <c r="BI69" s="266"/>
      <c r="BJ69" s="547">
        <f t="shared" si="22"/>
        <v>0</v>
      </c>
      <c r="BK69" s="266">
        <f t="shared" si="50"/>
        <v>15</v>
      </c>
      <c r="BL69" s="547">
        <f t="shared" si="50"/>
        <v>3262500</v>
      </c>
      <c r="BM69" s="650" t="s">
        <v>859</v>
      </c>
      <c r="BN69" s="682">
        <f t="shared" si="31"/>
        <v>3262500</v>
      </c>
      <c r="BO69" s="239"/>
      <c r="BP69" s="176"/>
      <c r="BQ69" s="239">
        <f t="shared" si="87"/>
        <v>3262500</v>
      </c>
      <c r="BR69" s="176"/>
      <c r="BS69" s="176">
        <f t="shared" si="65"/>
        <v>3262500</v>
      </c>
      <c r="BT69" s="176"/>
      <c r="BU69" s="176"/>
      <c r="BV69" s="176"/>
      <c r="BW69" s="177">
        <f t="shared" si="88"/>
        <v>3262500</v>
      </c>
    </row>
    <row r="70" spans="1:75" s="163" customFormat="1" x14ac:dyDescent="0.25">
      <c r="A70" s="910"/>
      <c r="B70" s="237"/>
      <c r="C70" s="169"/>
      <c r="D70" s="169" t="s">
        <v>614</v>
      </c>
      <c r="E70" s="169" t="s">
        <v>152</v>
      </c>
      <c r="F70" s="231">
        <v>236000</v>
      </c>
      <c r="G70" s="544">
        <f t="shared" si="4"/>
        <v>10</v>
      </c>
      <c r="H70" s="239">
        <f t="shared" si="78"/>
        <v>2360000</v>
      </c>
      <c r="I70" s="239">
        <f>H70*0</f>
        <v>0</v>
      </c>
      <c r="J70" s="239">
        <f>H70*0</f>
        <v>0</v>
      </c>
      <c r="K70" s="239"/>
      <c r="L70" s="239"/>
      <c r="M70" s="239"/>
      <c r="N70" s="239">
        <f>H70</f>
        <v>2360000</v>
      </c>
      <c r="O70" s="239"/>
      <c r="P70" s="239"/>
      <c r="Q70" s="239"/>
      <c r="R70" s="239"/>
      <c r="S70" s="225">
        <f t="shared" si="79"/>
        <v>1</v>
      </c>
      <c r="T70" s="225">
        <f t="shared" si="80"/>
        <v>6</v>
      </c>
      <c r="U70" s="225">
        <f t="shared" si="81"/>
        <v>2.5</v>
      </c>
      <c r="V70" s="225">
        <f t="shared" si="82"/>
        <v>0.5</v>
      </c>
      <c r="W70" s="546">
        <f t="shared" si="83"/>
        <v>236000</v>
      </c>
      <c r="X70" s="546">
        <f t="shared" si="84"/>
        <v>1416000</v>
      </c>
      <c r="Y70" s="546">
        <f t="shared" si="85"/>
        <v>590000</v>
      </c>
      <c r="Z70" s="546">
        <f t="shared" si="86"/>
        <v>118000</v>
      </c>
      <c r="AA70" s="266">
        <v>0</v>
      </c>
      <c r="AB70" s="546">
        <f t="shared" si="45"/>
        <v>0</v>
      </c>
      <c r="AC70" s="266"/>
      <c r="AD70" s="545">
        <f t="shared" si="49"/>
        <v>0</v>
      </c>
      <c r="AE70" s="266"/>
      <c r="AF70" s="547">
        <f t="shared" si="7"/>
        <v>0</v>
      </c>
      <c r="AG70" s="266">
        <v>10</v>
      </c>
      <c r="AH70" s="547">
        <f t="shared" si="8"/>
        <v>2360000</v>
      </c>
      <c r="AI70" s="266"/>
      <c r="AJ70" s="547">
        <f t="shared" si="9"/>
        <v>0</v>
      </c>
      <c r="AK70" s="266">
        <v>0</v>
      </c>
      <c r="AL70" s="547">
        <f t="shared" si="10"/>
        <v>0</v>
      </c>
      <c r="AM70" s="266"/>
      <c r="AN70" s="547">
        <f t="shared" si="11"/>
        <v>0</v>
      </c>
      <c r="AO70" s="266"/>
      <c r="AP70" s="547">
        <f t="shared" si="12"/>
        <v>0</v>
      </c>
      <c r="AQ70" s="266">
        <v>0</v>
      </c>
      <c r="AR70" s="547">
        <f t="shared" si="13"/>
        <v>0</v>
      </c>
      <c r="AS70" s="266">
        <v>0</v>
      </c>
      <c r="AT70" s="547">
        <f t="shared" si="14"/>
        <v>0</v>
      </c>
      <c r="AU70" s="266"/>
      <c r="AV70" s="547">
        <f t="shared" si="15"/>
        <v>0</v>
      </c>
      <c r="AW70" s="266"/>
      <c r="AX70" s="547">
        <f t="shared" si="16"/>
        <v>0</v>
      </c>
      <c r="AY70" s="547"/>
      <c r="AZ70" s="547">
        <f t="shared" si="17"/>
        <v>0</v>
      </c>
      <c r="BA70" s="266"/>
      <c r="BB70" s="547">
        <f t="shared" si="18"/>
        <v>0</v>
      </c>
      <c r="BC70" s="266"/>
      <c r="BD70" s="547">
        <f t="shared" si="19"/>
        <v>0</v>
      </c>
      <c r="BE70" s="266"/>
      <c r="BF70" s="547">
        <f t="shared" si="20"/>
        <v>0</v>
      </c>
      <c r="BG70" s="266">
        <v>0</v>
      </c>
      <c r="BH70" s="547">
        <f t="shared" si="21"/>
        <v>0</v>
      </c>
      <c r="BI70" s="266"/>
      <c r="BJ70" s="547">
        <f t="shared" si="22"/>
        <v>0</v>
      </c>
      <c r="BK70" s="266">
        <f t="shared" si="50"/>
        <v>10</v>
      </c>
      <c r="BL70" s="547">
        <f t="shared" si="50"/>
        <v>2360000</v>
      </c>
      <c r="BM70" s="650" t="s">
        <v>859</v>
      </c>
      <c r="BN70" s="682">
        <f t="shared" si="31"/>
        <v>2360000</v>
      </c>
      <c r="BO70" s="239"/>
      <c r="BP70" s="176"/>
      <c r="BQ70" s="239">
        <f t="shared" si="87"/>
        <v>2360000</v>
      </c>
      <c r="BR70" s="176"/>
      <c r="BS70" s="176">
        <f t="shared" si="65"/>
        <v>2360000</v>
      </c>
      <c r="BT70" s="176"/>
      <c r="BU70" s="176"/>
      <c r="BV70" s="176"/>
      <c r="BW70" s="177">
        <f t="shared" si="88"/>
        <v>2360000</v>
      </c>
    </row>
    <row r="71" spans="1:75" s="163" customFormat="1" x14ac:dyDescent="0.25">
      <c r="A71" s="910"/>
      <c r="B71" s="237"/>
      <c r="C71" s="169"/>
      <c r="D71" s="169" t="s">
        <v>615</v>
      </c>
      <c r="E71" s="169" t="s">
        <v>152</v>
      </c>
      <c r="F71" s="231">
        <v>228000</v>
      </c>
      <c r="G71" s="544">
        <f t="shared" si="4"/>
        <v>3</v>
      </c>
      <c r="H71" s="239">
        <f t="shared" si="78"/>
        <v>684000</v>
      </c>
      <c r="I71" s="239">
        <f>H71*0</f>
        <v>0</v>
      </c>
      <c r="J71" s="239">
        <f>H71*0</f>
        <v>0</v>
      </c>
      <c r="K71" s="239"/>
      <c r="L71" s="239"/>
      <c r="M71" s="239"/>
      <c r="N71" s="239">
        <f>H71</f>
        <v>684000</v>
      </c>
      <c r="O71" s="239"/>
      <c r="P71" s="239"/>
      <c r="Q71" s="239"/>
      <c r="R71" s="239"/>
      <c r="S71" s="225">
        <f t="shared" si="79"/>
        <v>0.30000000000000004</v>
      </c>
      <c r="T71" s="225">
        <f t="shared" si="80"/>
        <v>1.7999999999999998</v>
      </c>
      <c r="U71" s="225">
        <f t="shared" si="81"/>
        <v>0.75</v>
      </c>
      <c r="V71" s="225">
        <f t="shared" si="82"/>
        <v>0.15000000000000002</v>
      </c>
      <c r="W71" s="546">
        <f t="shared" si="83"/>
        <v>68400.000000000015</v>
      </c>
      <c r="X71" s="546">
        <f t="shared" si="84"/>
        <v>410399.99999999994</v>
      </c>
      <c r="Y71" s="546">
        <f t="shared" si="85"/>
        <v>171000</v>
      </c>
      <c r="Z71" s="546">
        <f t="shared" si="86"/>
        <v>34200.000000000007</v>
      </c>
      <c r="AA71" s="266"/>
      <c r="AB71" s="546">
        <f t="shared" si="45"/>
        <v>0</v>
      </c>
      <c r="AC71" s="266">
        <v>1</v>
      </c>
      <c r="AD71" s="545">
        <f t="shared" si="49"/>
        <v>228000</v>
      </c>
      <c r="AE71" s="266"/>
      <c r="AF71" s="547">
        <f t="shared" si="7"/>
        <v>0</v>
      </c>
      <c r="AG71" s="266"/>
      <c r="AH71" s="547">
        <f t="shared" si="8"/>
        <v>0</v>
      </c>
      <c r="AI71" s="266">
        <v>0</v>
      </c>
      <c r="AJ71" s="547">
        <f t="shared" si="9"/>
        <v>0</v>
      </c>
      <c r="AK71" s="266">
        <v>0</v>
      </c>
      <c r="AL71" s="547">
        <f t="shared" si="10"/>
        <v>0</v>
      </c>
      <c r="AM71" s="266"/>
      <c r="AN71" s="547">
        <f t="shared" si="11"/>
        <v>0</v>
      </c>
      <c r="AO71" s="266">
        <v>2</v>
      </c>
      <c r="AP71" s="547">
        <f t="shared" si="12"/>
        <v>456000</v>
      </c>
      <c r="AQ71" s="266"/>
      <c r="AR71" s="547">
        <f t="shared" si="13"/>
        <v>0</v>
      </c>
      <c r="AS71" s="266">
        <v>0</v>
      </c>
      <c r="AT71" s="547">
        <f t="shared" si="14"/>
        <v>0</v>
      </c>
      <c r="AU71" s="266"/>
      <c r="AV71" s="547">
        <f t="shared" si="15"/>
        <v>0</v>
      </c>
      <c r="AW71" s="266">
        <v>0</v>
      </c>
      <c r="AX71" s="547">
        <f t="shared" si="16"/>
        <v>0</v>
      </c>
      <c r="AY71" s="547"/>
      <c r="AZ71" s="547">
        <f t="shared" si="17"/>
        <v>0</v>
      </c>
      <c r="BA71" s="266"/>
      <c r="BB71" s="547">
        <f t="shared" si="18"/>
        <v>0</v>
      </c>
      <c r="BC71" s="266">
        <v>0</v>
      </c>
      <c r="BD71" s="547">
        <f t="shared" si="19"/>
        <v>0</v>
      </c>
      <c r="BE71" s="266"/>
      <c r="BF71" s="547">
        <f t="shared" si="20"/>
        <v>0</v>
      </c>
      <c r="BG71" s="266">
        <v>0</v>
      </c>
      <c r="BH71" s="547">
        <f t="shared" si="21"/>
        <v>0</v>
      </c>
      <c r="BI71" s="266"/>
      <c r="BJ71" s="547">
        <f t="shared" si="22"/>
        <v>0</v>
      </c>
      <c r="BK71" s="266">
        <f t="shared" si="50"/>
        <v>3</v>
      </c>
      <c r="BL71" s="547">
        <f t="shared" si="50"/>
        <v>684000</v>
      </c>
      <c r="BM71" s="650" t="s">
        <v>859</v>
      </c>
      <c r="BN71" s="682">
        <f t="shared" si="31"/>
        <v>684000</v>
      </c>
      <c r="BO71" s="239"/>
      <c r="BP71" s="176"/>
      <c r="BQ71" s="239">
        <f t="shared" si="87"/>
        <v>684000</v>
      </c>
      <c r="BR71" s="176"/>
      <c r="BS71" s="176">
        <f t="shared" si="65"/>
        <v>684000</v>
      </c>
      <c r="BT71" s="176"/>
      <c r="BU71" s="176"/>
      <c r="BV71" s="176"/>
      <c r="BW71" s="177">
        <f t="shared" si="88"/>
        <v>684000</v>
      </c>
    </row>
    <row r="72" spans="1:75" s="163" customFormat="1" x14ac:dyDescent="0.25">
      <c r="A72" s="910"/>
      <c r="B72" s="237"/>
      <c r="C72" s="169"/>
      <c r="D72" s="169" t="s">
        <v>616</v>
      </c>
      <c r="E72" s="169" t="s">
        <v>152</v>
      </c>
      <c r="F72" s="231">
        <v>300000</v>
      </c>
      <c r="G72" s="544">
        <f t="shared" si="4"/>
        <v>45</v>
      </c>
      <c r="H72" s="239">
        <f t="shared" si="78"/>
        <v>13500000</v>
      </c>
      <c r="I72" s="239">
        <v>0</v>
      </c>
      <c r="J72" s="239">
        <v>0</v>
      </c>
      <c r="K72" s="239"/>
      <c r="L72" s="239"/>
      <c r="M72" s="239"/>
      <c r="N72" s="239"/>
      <c r="O72" s="239"/>
      <c r="P72" s="239"/>
      <c r="Q72" s="239">
        <v>0</v>
      </c>
      <c r="R72" s="239">
        <f>H72*1</f>
        <v>13500000</v>
      </c>
      <c r="S72" s="225">
        <f t="shared" si="79"/>
        <v>4.5</v>
      </c>
      <c r="T72" s="225">
        <f t="shared" si="80"/>
        <v>27</v>
      </c>
      <c r="U72" s="225">
        <f t="shared" si="81"/>
        <v>11.25</v>
      </c>
      <c r="V72" s="225">
        <f t="shared" si="82"/>
        <v>2.25</v>
      </c>
      <c r="W72" s="546">
        <f t="shared" si="83"/>
        <v>1350000</v>
      </c>
      <c r="X72" s="546">
        <f t="shared" si="84"/>
        <v>8100000</v>
      </c>
      <c r="Y72" s="546">
        <f t="shared" si="85"/>
        <v>3375000</v>
      </c>
      <c r="Z72" s="546">
        <f t="shared" si="86"/>
        <v>675000</v>
      </c>
      <c r="AA72" s="266">
        <v>3</v>
      </c>
      <c r="AB72" s="546">
        <f t="shared" si="45"/>
        <v>900000</v>
      </c>
      <c r="AC72" s="266">
        <v>3</v>
      </c>
      <c r="AD72" s="545">
        <f t="shared" si="49"/>
        <v>900000</v>
      </c>
      <c r="AE72" s="266">
        <v>3</v>
      </c>
      <c r="AF72" s="547">
        <f t="shared" si="7"/>
        <v>900000</v>
      </c>
      <c r="AG72" s="266">
        <v>8</v>
      </c>
      <c r="AH72" s="547">
        <f t="shared" si="8"/>
        <v>2400000</v>
      </c>
      <c r="AI72" s="266">
        <v>3</v>
      </c>
      <c r="AJ72" s="547">
        <f t="shared" si="9"/>
        <v>900000</v>
      </c>
      <c r="AK72" s="266">
        <v>3</v>
      </c>
      <c r="AL72" s="547">
        <f t="shared" si="10"/>
        <v>900000</v>
      </c>
      <c r="AM72" s="266">
        <v>0</v>
      </c>
      <c r="AN72" s="547">
        <f t="shared" si="11"/>
        <v>0</v>
      </c>
      <c r="AO72" s="266">
        <v>2</v>
      </c>
      <c r="AP72" s="547">
        <f t="shared" si="12"/>
        <v>600000</v>
      </c>
      <c r="AQ72" s="266">
        <v>2</v>
      </c>
      <c r="AR72" s="547">
        <f t="shared" si="13"/>
        <v>600000</v>
      </c>
      <c r="AS72" s="266">
        <v>3</v>
      </c>
      <c r="AT72" s="547">
        <f t="shared" si="14"/>
        <v>900000</v>
      </c>
      <c r="AU72" s="266">
        <v>2</v>
      </c>
      <c r="AV72" s="547">
        <f t="shared" si="15"/>
        <v>600000</v>
      </c>
      <c r="AW72" s="266">
        <v>2</v>
      </c>
      <c r="AX72" s="547">
        <f t="shared" si="16"/>
        <v>600000</v>
      </c>
      <c r="AY72" s="547">
        <v>1</v>
      </c>
      <c r="AZ72" s="547">
        <f t="shared" si="17"/>
        <v>300000</v>
      </c>
      <c r="BA72" s="266">
        <v>3</v>
      </c>
      <c r="BB72" s="547">
        <f t="shared" si="18"/>
        <v>900000</v>
      </c>
      <c r="BC72" s="266">
        <v>2</v>
      </c>
      <c r="BD72" s="547">
        <f t="shared" si="19"/>
        <v>600000</v>
      </c>
      <c r="BE72" s="266">
        <v>2</v>
      </c>
      <c r="BF72" s="547">
        <f t="shared" si="20"/>
        <v>600000</v>
      </c>
      <c r="BG72" s="266">
        <v>3</v>
      </c>
      <c r="BH72" s="547">
        <f t="shared" si="21"/>
        <v>900000</v>
      </c>
      <c r="BI72" s="266"/>
      <c r="BJ72" s="547">
        <f t="shared" si="22"/>
        <v>0</v>
      </c>
      <c r="BK72" s="266">
        <f t="shared" si="50"/>
        <v>45</v>
      </c>
      <c r="BL72" s="547">
        <f t="shared" si="50"/>
        <v>13500000</v>
      </c>
      <c r="BM72" s="550" t="s">
        <v>725</v>
      </c>
      <c r="BN72" s="682">
        <f t="shared" si="31"/>
        <v>13500000</v>
      </c>
      <c r="BO72" s="239"/>
      <c r="BP72" s="176"/>
      <c r="BQ72" s="239">
        <f t="shared" si="87"/>
        <v>13500000</v>
      </c>
      <c r="BR72" s="176"/>
      <c r="BS72" s="176">
        <f t="shared" si="65"/>
        <v>13500000</v>
      </c>
      <c r="BT72" s="176"/>
      <c r="BU72" s="176"/>
      <c r="BV72" s="176"/>
      <c r="BW72" s="177">
        <f t="shared" si="88"/>
        <v>13500000</v>
      </c>
    </row>
    <row r="73" spans="1:75" s="163" customFormat="1" x14ac:dyDescent="0.25">
      <c r="A73" s="910"/>
      <c r="B73" s="237"/>
      <c r="C73" s="169"/>
      <c r="D73" s="169" t="s">
        <v>617</v>
      </c>
      <c r="E73" s="169" t="s">
        <v>152</v>
      </c>
      <c r="F73" s="231">
        <v>85000</v>
      </c>
      <c r="G73" s="544">
        <f t="shared" si="4"/>
        <v>116</v>
      </c>
      <c r="H73" s="239">
        <f t="shared" si="78"/>
        <v>9860000</v>
      </c>
      <c r="I73" s="239">
        <v>0</v>
      </c>
      <c r="J73" s="239">
        <v>0</v>
      </c>
      <c r="K73" s="239"/>
      <c r="L73" s="239"/>
      <c r="M73" s="239"/>
      <c r="N73" s="239"/>
      <c r="O73" s="239"/>
      <c r="P73" s="239"/>
      <c r="Q73" s="239">
        <v>0</v>
      </c>
      <c r="R73" s="239">
        <f>H73*1</f>
        <v>9860000</v>
      </c>
      <c r="S73" s="225">
        <f t="shared" si="79"/>
        <v>11.600000000000001</v>
      </c>
      <c r="T73" s="225">
        <f t="shared" si="80"/>
        <v>69.599999999999994</v>
      </c>
      <c r="U73" s="225">
        <f t="shared" si="81"/>
        <v>29</v>
      </c>
      <c r="V73" s="225">
        <f t="shared" si="82"/>
        <v>5.8000000000000007</v>
      </c>
      <c r="W73" s="546">
        <f t="shared" si="83"/>
        <v>986000.00000000012</v>
      </c>
      <c r="X73" s="546">
        <f t="shared" si="84"/>
        <v>5915999.9999999991</v>
      </c>
      <c r="Y73" s="546">
        <f t="shared" si="85"/>
        <v>2465000</v>
      </c>
      <c r="Z73" s="546">
        <f t="shared" si="86"/>
        <v>493000.00000000006</v>
      </c>
      <c r="AA73" s="266">
        <v>10</v>
      </c>
      <c r="AB73" s="546">
        <f t="shared" si="45"/>
        <v>850000</v>
      </c>
      <c r="AC73" s="266">
        <v>5</v>
      </c>
      <c r="AD73" s="545">
        <f t="shared" si="49"/>
        <v>425000</v>
      </c>
      <c r="AE73" s="266">
        <v>10</v>
      </c>
      <c r="AF73" s="547">
        <f t="shared" si="7"/>
        <v>850000</v>
      </c>
      <c r="AG73" s="266">
        <v>5</v>
      </c>
      <c r="AH73" s="547">
        <f t="shared" si="8"/>
        <v>425000</v>
      </c>
      <c r="AI73" s="266">
        <v>5</v>
      </c>
      <c r="AJ73" s="547">
        <f t="shared" si="9"/>
        <v>425000</v>
      </c>
      <c r="AK73" s="266">
        <v>5</v>
      </c>
      <c r="AL73" s="547">
        <f t="shared" si="10"/>
        <v>425000</v>
      </c>
      <c r="AM73" s="266">
        <v>20</v>
      </c>
      <c r="AN73" s="547">
        <f t="shared" si="11"/>
        <v>1700000</v>
      </c>
      <c r="AO73" s="621">
        <v>0</v>
      </c>
      <c r="AP73" s="547">
        <f t="shared" si="12"/>
        <v>0</v>
      </c>
      <c r="AQ73" s="266">
        <v>5</v>
      </c>
      <c r="AR73" s="547">
        <f t="shared" si="13"/>
        <v>425000</v>
      </c>
      <c r="AS73" s="266">
        <v>10</v>
      </c>
      <c r="AT73" s="547">
        <f t="shared" si="14"/>
        <v>850000</v>
      </c>
      <c r="AU73" s="266">
        <v>5</v>
      </c>
      <c r="AV73" s="547">
        <f t="shared" si="15"/>
        <v>425000</v>
      </c>
      <c r="AW73" s="266">
        <v>5</v>
      </c>
      <c r="AX73" s="547">
        <f t="shared" si="16"/>
        <v>425000</v>
      </c>
      <c r="AY73" s="547">
        <v>1</v>
      </c>
      <c r="AZ73" s="547">
        <f t="shared" si="17"/>
        <v>85000</v>
      </c>
      <c r="BA73" s="266">
        <v>5</v>
      </c>
      <c r="BB73" s="547">
        <f t="shared" si="18"/>
        <v>425000</v>
      </c>
      <c r="BC73" s="266">
        <v>11</v>
      </c>
      <c r="BD73" s="547">
        <f t="shared" si="19"/>
        <v>935000</v>
      </c>
      <c r="BE73" s="266">
        <v>9</v>
      </c>
      <c r="BF73" s="547">
        <f t="shared" si="20"/>
        <v>765000</v>
      </c>
      <c r="BG73" s="266">
        <v>5</v>
      </c>
      <c r="BH73" s="547">
        <f t="shared" si="21"/>
        <v>425000</v>
      </c>
      <c r="BI73" s="266"/>
      <c r="BJ73" s="547">
        <f t="shared" si="22"/>
        <v>0</v>
      </c>
      <c r="BK73" s="266">
        <f t="shared" si="50"/>
        <v>116</v>
      </c>
      <c r="BL73" s="547">
        <f t="shared" si="50"/>
        <v>9860000</v>
      </c>
      <c r="BM73" s="550" t="s">
        <v>725</v>
      </c>
      <c r="BN73" s="682">
        <f t="shared" si="31"/>
        <v>9860000</v>
      </c>
      <c r="BO73" s="239"/>
      <c r="BP73" s="176"/>
      <c r="BQ73" s="239">
        <f t="shared" si="87"/>
        <v>9860000</v>
      </c>
      <c r="BR73" s="176"/>
      <c r="BS73" s="176">
        <f t="shared" si="65"/>
        <v>9860000</v>
      </c>
      <c r="BT73" s="176"/>
      <c r="BU73" s="176"/>
      <c r="BV73" s="176"/>
      <c r="BW73" s="177">
        <f t="shared" si="88"/>
        <v>9860000</v>
      </c>
    </row>
    <row r="74" spans="1:75" s="163" customFormat="1" x14ac:dyDescent="0.25">
      <c r="A74" s="910"/>
      <c r="B74" s="237"/>
      <c r="C74" s="169"/>
      <c r="D74" s="169" t="s">
        <v>618</v>
      </c>
      <c r="E74" s="169" t="s">
        <v>152</v>
      </c>
      <c r="F74" s="231">
        <v>41800</v>
      </c>
      <c r="G74" s="544">
        <f t="shared" si="4"/>
        <v>10</v>
      </c>
      <c r="H74" s="239">
        <f t="shared" si="78"/>
        <v>418000</v>
      </c>
      <c r="I74" s="239">
        <v>0</v>
      </c>
      <c r="J74" s="239">
        <v>0</v>
      </c>
      <c r="K74" s="239"/>
      <c r="L74" s="239"/>
      <c r="M74" s="239"/>
      <c r="N74" s="239"/>
      <c r="O74" s="239"/>
      <c r="P74" s="239"/>
      <c r="Q74" s="239">
        <v>0</v>
      </c>
      <c r="R74" s="239">
        <f>H74*1</f>
        <v>418000</v>
      </c>
      <c r="S74" s="225">
        <f t="shared" si="79"/>
        <v>1</v>
      </c>
      <c r="T74" s="225">
        <f t="shared" si="80"/>
        <v>6</v>
      </c>
      <c r="U74" s="225">
        <f t="shared" si="81"/>
        <v>2.5</v>
      </c>
      <c r="V74" s="225">
        <f t="shared" si="82"/>
        <v>0.5</v>
      </c>
      <c r="W74" s="546">
        <f t="shared" si="83"/>
        <v>41800</v>
      </c>
      <c r="X74" s="546">
        <f t="shared" si="84"/>
        <v>250800</v>
      </c>
      <c r="Y74" s="546">
        <f t="shared" si="85"/>
        <v>104500</v>
      </c>
      <c r="Z74" s="546">
        <f t="shared" si="86"/>
        <v>20900</v>
      </c>
      <c r="AA74" s="266">
        <v>1</v>
      </c>
      <c r="AB74" s="546">
        <f t="shared" si="45"/>
        <v>41800</v>
      </c>
      <c r="AC74" s="266">
        <v>1</v>
      </c>
      <c r="AD74" s="545">
        <f t="shared" si="49"/>
        <v>41800</v>
      </c>
      <c r="AE74" s="266">
        <v>1</v>
      </c>
      <c r="AF74" s="547">
        <f t="shared" si="7"/>
        <v>41800</v>
      </c>
      <c r="AG74" s="266">
        <v>1</v>
      </c>
      <c r="AH74" s="547">
        <f t="shared" si="8"/>
        <v>41800</v>
      </c>
      <c r="AI74" s="266">
        <v>0</v>
      </c>
      <c r="AJ74" s="547">
        <f t="shared" si="9"/>
        <v>0</v>
      </c>
      <c r="AK74" s="266">
        <v>0</v>
      </c>
      <c r="AL74" s="547">
        <f t="shared" si="10"/>
        <v>0</v>
      </c>
      <c r="AM74" s="266">
        <v>0</v>
      </c>
      <c r="AN74" s="547">
        <f t="shared" si="11"/>
        <v>0</v>
      </c>
      <c r="AO74" s="266">
        <v>0</v>
      </c>
      <c r="AP74" s="547">
        <f t="shared" si="12"/>
        <v>0</v>
      </c>
      <c r="AQ74" s="266">
        <v>0</v>
      </c>
      <c r="AR74" s="547">
        <f t="shared" si="13"/>
        <v>0</v>
      </c>
      <c r="AS74" s="266">
        <v>1</v>
      </c>
      <c r="AT74" s="547">
        <f t="shared" si="14"/>
        <v>41800</v>
      </c>
      <c r="AU74" s="266">
        <v>1</v>
      </c>
      <c r="AV74" s="547">
        <f t="shared" si="15"/>
        <v>41800</v>
      </c>
      <c r="AW74" s="266">
        <v>1</v>
      </c>
      <c r="AX74" s="547">
        <f t="shared" si="16"/>
        <v>41800</v>
      </c>
      <c r="AY74" s="547">
        <v>0</v>
      </c>
      <c r="AZ74" s="547">
        <f t="shared" si="17"/>
        <v>0</v>
      </c>
      <c r="BA74" s="266">
        <v>1</v>
      </c>
      <c r="BB74" s="547">
        <f t="shared" si="18"/>
        <v>41800</v>
      </c>
      <c r="BC74" s="266">
        <v>0</v>
      </c>
      <c r="BD74" s="547">
        <f t="shared" si="19"/>
        <v>0</v>
      </c>
      <c r="BE74" s="266">
        <v>1</v>
      </c>
      <c r="BF74" s="547">
        <f t="shared" si="20"/>
        <v>41800</v>
      </c>
      <c r="BG74" s="266">
        <v>1</v>
      </c>
      <c r="BH74" s="547">
        <f t="shared" si="21"/>
        <v>41800</v>
      </c>
      <c r="BI74" s="266"/>
      <c r="BJ74" s="547">
        <f t="shared" si="22"/>
        <v>0</v>
      </c>
      <c r="BK74" s="266">
        <f t="shared" si="50"/>
        <v>10</v>
      </c>
      <c r="BL74" s="547">
        <f t="shared" si="50"/>
        <v>418000</v>
      </c>
      <c r="BM74" s="550" t="s">
        <v>725</v>
      </c>
      <c r="BN74" s="682">
        <f t="shared" si="31"/>
        <v>418000</v>
      </c>
      <c r="BO74" s="239"/>
      <c r="BP74" s="176"/>
      <c r="BQ74" s="239">
        <f t="shared" si="87"/>
        <v>418000</v>
      </c>
      <c r="BR74" s="176"/>
      <c r="BS74" s="176">
        <f t="shared" si="65"/>
        <v>418000</v>
      </c>
      <c r="BT74" s="176"/>
      <c r="BU74" s="176"/>
      <c r="BV74" s="176"/>
      <c r="BW74" s="177">
        <f t="shared" si="88"/>
        <v>418000</v>
      </c>
    </row>
    <row r="75" spans="1:75" s="39" customFormat="1" x14ac:dyDescent="0.25">
      <c r="A75" s="910"/>
      <c r="B75" s="219"/>
      <c r="C75" s="38"/>
      <c r="D75" s="38" t="s">
        <v>754</v>
      </c>
      <c r="E75" s="38" t="s">
        <v>152</v>
      </c>
      <c r="F75" s="229"/>
      <c r="G75" s="222">
        <f t="shared" si="4"/>
        <v>0</v>
      </c>
      <c r="H75" s="230">
        <f t="shared" si="78"/>
        <v>0</v>
      </c>
      <c r="I75" s="230">
        <f>H75*0.1</f>
        <v>0</v>
      </c>
      <c r="J75" s="230">
        <f>H75*0.8</f>
        <v>0</v>
      </c>
      <c r="K75" s="230"/>
      <c r="L75" s="230"/>
      <c r="M75" s="230"/>
      <c r="N75" s="230">
        <f>H75</f>
        <v>0</v>
      </c>
      <c r="O75" s="230"/>
      <c r="P75" s="230"/>
      <c r="Q75" s="230">
        <f>0.1*H75</f>
        <v>0</v>
      </c>
      <c r="R75" s="230"/>
      <c r="S75" s="225">
        <f t="shared" si="79"/>
        <v>0</v>
      </c>
      <c r="T75" s="225">
        <f t="shared" si="80"/>
        <v>0</v>
      </c>
      <c r="U75" s="225">
        <f t="shared" si="81"/>
        <v>0</v>
      </c>
      <c r="V75" s="225">
        <f t="shared" si="82"/>
        <v>0</v>
      </c>
      <c r="W75" s="221">
        <f t="shared" si="83"/>
        <v>0</v>
      </c>
      <c r="X75" s="221">
        <f t="shared" si="84"/>
        <v>0</v>
      </c>
      <c r="Y75" s="221">
        <f t="shared" si="85"/>
        <v>0</v>
      </c>
      <c r="Z75" s="221">
        <f t="shared" si="86"/>
        <v>0</v>
      </c>
      <c r="AA75" s="224"/>
      <c r="AB75" s="221">
        <f t="shared" si="45"/>
        <v>0</v>
      </c>
      <c r="AC75" s="224"/>
      <c r="AD75" s="225">
        <f t="shared" si="49"/>
        <v>0</v>
      </c>
      <c r="AE75" s="224"/>
      <c r="AF75" s="53">
        <f t="shared" si="7"/>
        <v>0</v>
      </c>
      <c r="AG75" s="224"/>
      <c r="AH75" s="53">
        <f t="shared" si="8"/>
        <v>0</v>
      </c>
      <c r="AI75" s="224"/>
      <c r="AJ75" s="53">
        <f t="shared" si="9"/>
        <v>0</v>
      </c>
      <c r="AK75" s="224"/>
      <c r="AL75" s="53">
        <f t="shared" si="10"/>
        <v>0</v>
      </c>
      <c r="AM75" s="224"/>
      <c r="AN75" s="53">
        <f t="shared" si="11"/>
        <v>0</v>
      </c>
      <c r="AO75" s="224"/>
      <c r="AP75" s="53">
        <f t="shared" si="12"/>
        <v>0</v>
      </c>
      <c r="AQ75" s="224"/>
      <c r="AR75" s="53">
        <f t="shared" si="13"/>
        <v>0</v>
      </c>
      <c r="AS75" s="224"/>
      <c r="AT75" s="53">
        <f t="shared" si="14"/>
        <v>0</v>
      </c>
      <c r="AU75" s="224"/>
      <c r="AV75" s="53">
        <f t="shared" si="15"/>
        <v>0</v>
      </c>
      <c r="AW75" s="224"/>
      <c r="AX75" s="53">
        <f t="shared" si="16"/>
        <v>0</v>
      </c>
      <c r="AY75" s="53"/>
      <c r="AZ75" s="53">
        <f t="shared" si="17"/>
        <v>0</v>
      </c>
      <c r="BA75" s="224"/>
      <c r="BB75" s="53">
        <f t="shared" si="18"/>
        <v>0</v>
      </c>
      <c r="BC75" s="224">
        <v>0</v>
      </c>
      <c r="BD75" s="53">
        <f t="shared" si="19"/>
        <v>0</v>
      </c>
      <c r="BE75" s="224"/>
      <c r="BF75" s="53">
        <f t="shared" si="20"/>
        <v>0</v>
      </c>
      <c r="BG75" s="224">
        <v>0</v>
      </c>
      <c r="BH75" s="53">
        <f t="shared" si="21"/>
        <v>0</v>
      </c>
      <c r="BI75" s="224"/>
      <c r="BJ75" s="53">
        <f t="shared" si="22"/>
        <v>0</v>
      </c>
      <c r="BK75" s="224">
        <f t="shared" si="50"/>
        <v>0</v>
      </c>
      <c r="BL75" s="53">
        <f t="shared" si="50"/>
        <v>0</v>
      </c>
      <c r="BM75" s="650" t="s">
        <v>859</v>
      </c>
      <c r="BN75" s="682">
        <f t="shared" si="31"/>
        <v>0</v>
      </c>
      <c r="BO75" s="230"/>
      <c r="BP75" s="113"/>
      <c r="BQ75" s="230"/>
      <c r="BR75" s="113"/>
      <c r="BS75" s="113"/>
      <c r="BT75" s="113"/>
      <c r="BU75" s="113"/>
      <c r="BV75" s="113"/>
      <c r="BW75" s="217"/>
    </row>
    <row r="76" spans="1:75" s="39" customFormat="1" x14ac:dyDescent="0.25">
      <c r="A76" s="910"/>
      <c r="B76" s="219"/>
      <c r="C76" s="38"/>
      <c r="D76" s="38" t="s">
        <v>764</v>
      </c>
      <c r="E76" s="38" t="s">
        <v>605</v>
      </c>
      <c r="F76" s="229"/>
      <c r="G76" s="222">
        <f t="shared" si="4"/>
        <v>0</v>
      </c>
      <c r="H76" s="230">
        <f t="shared" si="78"/>
        <v>0</v>
      </c>
      <c r="I76" s="230">
        <f>H76*0.1</f>
        <v>0</v>
      </c>
      <c r="J76" s="230">
        <f>H76*0.8</f>
        <v>0</v>
      </c>
      <c r="K76" s="230"/>
      <c r="L76" s="230"/>
      <c r="M76" s="230"/>
      <c r="N76" s="230">
        <f>H76</f>
        <v>0</v>
      </c>
      <c r="O76" s="230"/>
      <c r="P76" s="230"/>
      <c r="Q76" s="230">
        <f>0.1*H76</f>
        <v>0</v>
      </c>
      <c r="R76" s="230"/>
      <c r="S76" s="225">
        <f t="shared" si="79"/>
        <v>0</v>
      </c>
      <c r="T76" s="225">
        <f t="shared" si="80"/>
        <v>0</v>
      </c>
      <c r="U76" s="225">
        <f t="shared" si="81"/>
        <v>0</v>
      </c>
      <c r="V76" s="225">
        <f t="shared" si="82"/>
        <v>0</v>
      </c>
      <c r="W76" s="221">
        <f t="shared" si="83"/>
        <v>0</v>
      </c>
      <c r="X76" s="221">
        <f t="shared" si="84"/>
        <v>0</v>
      </c>
      <c r="Y76" s="221">
        <f t="shared" si="85"/>
        <v>0</v>
      </c>
      <c r="Z76" s="221">
        <f t="shared" si="86"/>
        <v>0</v>
      </c>
      <c r="AA76" s="224"/>
      <c r="AB76" s="221">
        <f t="shared" si="45"/>
        <v>0</v>
      </c>
      <c r="AC76" s="224"/>
      <c r="AD76" s="225">
        <f t="shared" si="49"/>
        <v>0</v>
      </c>
      <c r="AE76" s="224"/>
      <c r="AF76" s="53">
        <f t="shared" si="7"/>
        <v>0</v>
      </c>
      <c r="AG76" s="224"/>
      <c r="AH76" s="53">
        <f t="shared" si="8"/>
        <v>0</v>
      </c>
      <c r="AI76" s="224"/>
      <c r="AJ76" s="53">
        <f t="shared" si="9"/>
        <v>0</v>
      </c>
      <c r="AK76" s="224"/>
      <c r="AL76" s="53">
        <f t="shared" si="10"/>
        <v>0</v>
      </c>
      <c r="AM76" s="224"/>
      <c r="AN76" s="53">
        <f t="shared" si="11"/>
        <v>0</v>
      </c>
      <c r="AO76" s="224"/>
      <c r="AP76" s="53">
        <f t="shared" si="12"/>
        <v>0</v>
      </c>
      <c r="AQ76" s="224"/>
      <c r="AR76" s="53">
        <f t="shared" si="13"/>
        <v>0</v>
      </c>
      <c r="AS76" s="224">
        <v>0</v>
      </c>
      <c r="AT76" s="53">
        <f t="shared" si="14"/>
        <v>0</v>
      </c>
      <c r="AU76" s="224"/>
      <c r="AV76" s="53">
        <f t="shared" si="15"/>
        <v>0</v>
      </c>
      <c r="AW76" s="224"/>
      <c r="AX76" s="53">
        <f t="shared" si="16"/>
        <v>0</v>
      </c>
      <c r="AY76" s="53"/>
      <c r="AZ76" s="53">
        <f t="shared" si="17"/>
        <v>0</v>
      </c>
      <c r="BA76" s="224"/>
      <c r="BB76" s="53">
        <f t="shared" si="18"/>
        <v>0</v>
      </c>
      <c r="BC76" s="224"/>
      <c r="BD76" s="53">
        <f t="shared" si="19"/>
        <v>0</v>
      </c>
      <c r="BE76" s="224"/>
      <c r="BF76" s="53">
        <f t="shared" si="20"/>
        <v>0</v>
      </c>
      <c r="BG76" s="224"/>
      <c r="BH76" s="53">
        <f t="shared" si="21"/>
        <v>0</v>
      </c>
      <c r="BI76" s="224"/>
      <c r="BJ76" s="53">
        <f t="shared" si="22"/>
        <v>0</v>
      </c>
      <c r="BK76" s="224">
        <f t="shared" si="50"/>
        <v>0</v>
      </c>
      <c r="BL76" s="53">
        <f t="shared" si="50"/>
        <v>0</v>
      </c>
      <c r="BM76" s="650" t="s">
        <v>859</v>
      </c>
      <c r="BN76" s="682">
        <f t="shared" si="31"/>
        <v>0</v>
      </c>
      <c r="BO76" s="230"/>
      <c r="BP76" s="113"/>
      <c r="BQ76" s="230"/>
      <c r="BR76" s="113"/>
      <c r="BS76" s="113"/>
      <c r="BT76" s="113"/>
      <c r="BU76" s="113"/>
      <c r="BV76" s="113"/>
      <c r="BW76" s="217"/>
    </row>
    <row r="77" spans="1:75" s="39" customFormat="1" x14ac:dyDescent="0.25">
      <c r="A77" s="910"/>
      <c r="B77" s="261"/>
      <c r="C77" s="242"/>
      <c r="D77" s="233" t="s">
        <v>3</v>
      </c>
      <c r="E77" s="242"/>
      <c r="F77" s="242"/>
      <c r="G77" s="235">
        <f t="shared" ref="G77:G135" si="89">BK77</f>
        <v>808.5</v>
      </c>
      <c r="H77" s="262">
        <f t="shared" ref="H77:Z77" si="90">SUM(H64:H74)</f>
        <v>145174500</v>
      </c>
      <c r="I77" s="263">
        <f t="shared" si="90"/>
        <v>5396000</v>
      </c>
      <c r="J77" s="263">
        <f t="shared" si="90"/>
        <v>21584000</v>
      </c>
      <c r="K77" s="263">
        <f t="shared" si="90"/>
        <v>0</v>
      </c>
      <c r="L77" s="263">
        <f t="shared" si="90"/>
        <v>0</v>
      </c>
      <c r="M77" s="263">
        <f t="shared" si="90"/>
        <v>0</v>
      </c>
      <c r="N77" s="263">
        <f t="shared" si="90"/>
        <v>94416500</v>
      </c>
      <c r="O77" s="263">
        <f t="shared" si="90"/>
        <v>0</v>
      </c>
      <c r="P77" s="263">
        <f t="shared" si="90"/>
        <v>0</v>
      </c>
      <c r="Q77" s="263">
        <f t="shared" si="90"/>
        <v>0</v>
      </c>
      <c r="R77" s="263">
        <f t="shared" si="90"/>
        <v>23778000</v>
      </c>
      <c r="S77" s="264">
        <f t="shared" si="90"/>
        <v>80.849999999999994</v>
      </c>
      <c r="T77" s="264">
        <f t="shared" si="90"/>
        <v>485.1</v>
      </c>
      <c r="U77" s="264">
        <f t="shared" si="90"/>
        <v>202.125</v>
      </c>
      <c r="V77" s="264">
        <f t="shared" si="90"/>
        <v>40.424999999999997</v>
      </c>
      <c r="W77" s="264">
        <f t="shared" si="90"/>
        <v>14517450</v>
      </c>
      <c r="X77" s="264">
        <f t="shared" si="90"/>
        <v>87104700</v>
      </c>
      <c r="Y77" s="264">
        <f t="shared" si="90"/>
        <v>36293625</v>
      </c>
      <c r="Z77" s="264">
        <f t="shared" si="90"/>
        <v>7258725</v>
      </c>
      <c r="AA77" s="265">
        <f>SUM(AA64:AA76)</f>
        <v>81</v>
      </c>
      <c r="AB77" s="265">
        <f t="shared" ref="AB77:BJ77" si="91">SUM(AB64:AB76)</f>
        <v>13797800</v>
      </c>
      <c r="AC77" s="265">
        <f t="shared" si="91"/>
        <v>18</v>
      </c>
      <c r="AD77" s="265">
        <f t="shared" si="91"/>
        <v>3034800</v>
      </c>
      <c r="AE77" s="265">
        <f t="shared" si="91"/>
        <v>45</v>
      </c>
      <c r="AF77" s="265">
        <f t="shared" si="91"/>
        <v>7409300</v>
      </c>
      <c r="AG77" s="265">
        <f t="shared" si="91"/>
        <v>51.5</v>
      </c>
      <c r="AH77" s="265">
        <f t="shared" si="91"/>
        <v>9226800</v>
      </c>
      <c r="AI77" s="265">
        <f t="shared" si="91"/>
        <v>33</v>
      </c>
      <c r="AJ77" s="265">
        <f t="shared" si="91"/>
        <v>5355000</v>
      </c>
      <c r="AK77" s="265">
        <f t="shared" si="91"/>
        <v>20</v>
      </c>
      <c r="AL77" s="265">
        <f t="shared" si="91"/>
        <v>3531000</v>
      </c>
      <c r="AM77" s="265">
        <f t="shared" si="91"/>
        <v>42</v>
      </c>
      <c r="AN77" s="265">
        <f t="shared" si="91"/>
        <v>7695000</v>
      </c>
      <c r="AO77" s="265">
        <f t="shared" si="91"/>
        <v>44</v>
      </c>
      <c r="AP77" s="265">
        <f t="shared" si="91"/>
        <v>12176000</v>
      </c>
      <c r="AQ77" s="265">
        <f t="shared" si="91"/>
        <v>24</v>
      </c>
      <c r="AR77" s="265">
        <f t="shared" si="91"/>
        <v>3631000</v>
      </c>
      <c r="AS77" s="265">
        <f t="shared" si="91"/>
        <v>74</v>
      </c>
      <c r="AT77" s="265">
        <f t="shared" si="91"/>
        <v>12181800</v>
      </c>
      <c r="AU77" s="265">
        <f t="shared" si="91"/>
        <v>55</v>
      </c>
      <c r="AV77" s="265">
        <f t="shared" si="91"/>
        <v>9401800</v>
      </c>
      <c r="AW77" s="265">
        <f t="shared" si="91"/>
        <v>28</v>
      </c>
      <c r="AX77" s="265">
        <f t="shared" si="91"/>
        <v>5501800</v>
      </c>
      <c r="AY77" s="265">
        <f t="shared" si="91"/>
        <v>42</v>
      </c>
      <c r="AZ77" s="265">
        <f t="shared" si="91"/>
        <v>7815000</v>
      </c>
      <c r="BA77" s="265">
        <f t="shared" si="91"/>
        <v>65</v>
      </c>
      <c r="BB77" s="265">
        <f t="shared" si="91"/>
        <v>11167800</v>
      </c>
      <c r="BC77" s="265">
        <f t="shared" si="91"/>
        <v>75</v>
      </c>
      <c r="BD77" s="265">
        <f t="shared" si="91"/>
        <v>12916000</v>
      </c>
      <c r="BE77" s="265">
        <f t="shared" si="91"/>
        <v>32</v>
      </c>
      <c r="BF77" s="265">
        <f t="shared" si="91"/>
        <v>6966800</v>
      </c>
      <c r="BG77" s="265">
        <f t="shared" si="91"/>
        <v>79</v>
      </c>
      <c r="BH77" s="265">
        <f t="shared" si="91"/>
        <v>13366800</v>
      </c>
      <c r="BI77" s="265">
        <f t="shared" si="91"/>
        <v>0</v>
      </c>
      <c r="BJ77" s="265">
        <f t="shared" si="91"/>
        <v>0</v>
      </c>
      <c r="BK77" s="265">
        <f t="shared" si="50"/>
        <v>808.5</v>
      </c>
      <c r="BL77" s="265">
        <f t="shared" si="50"/>
        <v>145174500</v>
      </c>
      <c r="BM77" s="311"/>
      <c r="BN77" s="682">
        <f t="shared" si="31"/>
        <v>145174500</v>
      </c>
      <c r="BO77" s="541">
        <f t="shared" ref="BO77:BW77" si="92">SUM(BO64:BO74)</f>
        <v>0</v>
      </c>
      <c r="BP77" s="541">
        <f t="shared" si="92"/>
        <v>0</v>
      </c>
      <c r="BQ77" s="541">
        <f t="shared" si="92"/>
        <v>145174500</v>
      </c>
      <c r="BR77" s="541">
        <f t="shared" si="92"/>
        <v>0</v>
      </c>
      <c r="BS77" s="541">
        <f t="shared" si="92"/>
        <v>145174500</v>
      </c>
      <c r="BT77" s="541">
        <f t="shared" si="92"/>
        <v>0</v>
      </c>
      <c r="BU77" s="541">
        <f t="shared" si="92"/>
        <v>0</v>
      </c>
      <c r="BV77" s="541">
        <f t="shared" si="92"/>
        <v>0</v>
      </c>
      <c r="BW77" s="541">
        <f t="shared" si="92"/>
        <v>145174500</v>
      </c>
    </row>
    <row r="78" spans="1:75" s="39" customFormat="1" ht="35.450000000000003" customHeight="1" x14ac:dyDescent="0.25">
      <c r="A78" s="910"/>
      <c r="B78" s="219"/>
      <c r="C78" s="38">
        <v>21340</v>
      </c>
      <c r="D78" s="211" t="s">
        <v>849</v>
      </c>
      <c r="E78" s="38"/>
      <c r="F78" s="229"/>
      <c r="G78" s="222">
        <f t="shared" si="89"/>
        <v>0</v>
      </c>
      <c r="H78" s="230">
        <f t="shared" ref="H78:H86" si="93">G78*F78</f>
        <v>0</v>
      </c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24"/>
      <c r="T78" s="224"/>
      <c r="U78" s="224"/>
      <c r="V78" s="224"/>
      <c r="W78" s="53"/>
      <c r="X78" s="53"/>
      <c r="Y78" s="53"/>
      <c r="Z78" s="53"/>
      <c r="AA78" s="224"/>
      <c r="AB78" s="221">
        <f t="shared" si="45"/>
        <v>0</v>
      </c>
      <c r="AC78" s="224"/>
      <c r="AD78" s="225">
        <f t="shared" si="49"/>
        <v>0</v>
      </c>
      <c r="AE78" s="224"/>
      <c r="AF78" s="53">
        <f t="shared" ref="AF78:AF130" si="94">AE78*F78</f>
        <v>0</v>
      </c>
      <c r="AG78" s="224"/>
      <c r="AH78" s="53">
        <f t="shared" ref="AH78:AH130" si="95">AG78*F78</f>
        <v>0</v>
      </c>
      <c r="AI78" s="224"/>
      <c r="AJ78" s="53">
        <f t="shared" ref="AJ78:AJ130" si="96">AI78*F78</f>
        <v>0</v>
      </c>
      <c r="AK78" s="224"/>
      <c r="AL78" s="53">
        <f t="shared" ref="AL78:AL130" si="97">AK78*F78</f>
        <v>0</v>
      </c>
      <c r="AM78" s="224"/>
      <c r="AN78" s="53">
        <f t="shared" ref="AN78:AN130" si="98">AM78*F78</f>
        <v>0</v>
      </c>
      <c r="AO78" s="224"/>
      <c r="AP78" s="53">
        <f t="shared" ref="AP78:AP130" si="99">AO78*F78</f>
        <v>0</v>
      </c>
      <c r="AQ78" s="224"/>
      <c r="AR78" s="53">
        <f t="shared" ref="AR78:AR130" si="100">AQ78*F78</f>
        <v>0</v>
      </c>
      <c r="AS78" s="224"/>
      <c r="AT78" s="53">
        <f t="shared" ref="AT78:AT130" si="101">AS78*F78</f>
        <v>0</v>
      </c>
      <c r="AU78" s="224"/>
      <c r="AV78" s="53">
        <f t="shared" ref="AV78:AV130" si="102">AU78*F78</f>
        <v>0</v>
      </c>
      <c r="AW78" s="224"/>
      <c r="AX78" s="53">
        <f t="shared" ref="AX78:AX130" si="103">AW78*F78</f>
        <v>0</v>
      </c>
      <c r="AY78" s="53"/>
      <c r="AZ78" s="53">
        <f t="shared" ref="AZ78:AZ130" si="104">AY78*F78</f>
        <v>0</v>
      </c>
      <c r="BA78" s="224"/>
      <c r="BB78" s="53">
        <f t="shared" ref="BB78:BB130" si="105">BA78*F78</f>
        <v>0</v>
      </c>
      <c r="BC78" s="224"/>
      <c r="BD78" s="53">
        <f t="shared" ref="BD78:BD130" si="106">BC78*F78</f>
        <v>0</v>
      </c>
      <c r="BE78" s="224"/>
      <c r="BF78" s="53">
        <f t="shared" ref="BF78:BF130" si="107">BE78*F78</f>
        <v>0</v>
      </c>
      <c r="BG78" s="224"/>
      <c r="BH78" s="53">
        <f t="shared" ref="BH78:BH130" si="108">BG78*F78</f>
        <v>0</v>
      </c>
      <c r="BI78" s="224"/>
      <c r="BJ78" s="53">
        <f t="shared" ref="BJ78:BJ130" si="109">BI78*F78</f>
        <v>0</v>
      </c>
      <c r="BK78" s="224">
        <f t="shared" si="50"/>
        <v>0</v>
      </c>
      <c r="BL78" s="53">
        <f t="shared" si="50"/>
        <v>0</v>
      </c>
      <c r="BM78" s="307"/>
      <c r="BN78" s="682">
        <f t="shared" si="31"/>
        <v>0</v>
      </c>
      <c r="BO78" s="230">
        <f>H78</f>
        <v>0</v>
      </c>
      <c r="BP78" s="113"/>
      <c r="BQ78" s="113"/>
      <c r="BR78" s="113"/>
      <c r="BS78" s="113">
        <f t="shared" si="65"/>
        <v>0</v>
      </c>
      <c r="BT78" s="113"/>
      <c r="BU78" s="113"/>
      <c r="BV78" s="113">
        <f>BT78+BU78</f>
        <v>0</v>
      </c>
      <c r="BW78" s="217">
        <f t="shared" ref="BW78:BW86" si="110">BS78+BV78</f>
        <v>0</v>
      </c>
    </row>
    <row r="79" spans="1:75" s="39" customFormat="1" x14ac:dyDescent="0.25">
      <c r="A79" s="910"/>
      <c r="B79" s="219"/>
      <c r="C79" s="38"/>
      <c r="D79" s="38" t="s">
        <v>899</v>
      </c>
      <c r="E79" s="38" t="s">
        <v>152</v>
      </c>
      <c r="F79" s="229">
        <v>6000</v>
      </c>
      <c r="G79" s="222">
        <f t="shared" si="89"/>
        <v>378</v>
      </c>
      <c r="H79" s="230">
        <f t="shared" si="93"/>
        <v>2268000</v>
      </c>
      <c r="I79" s="230">
        <f>H79*0.1</f>
        <v>226800</v>
      </c>
      <c r="J79" s="230">
        <f>H79*0.8</f>
        <v>1814400</v>
      </c>
      <c r="K79" s="230"/>
      <c r="L79" s="230"/>
      <c r="M79" s="230"/>
      <c r="N79" s="230"/>
      <c r="O79" s="230"/>
      <c r="P79" s="230"/>
      <c r="Q79" s="230">
        <f>0.1*H79</f>
        <v>226800</v>
      </c>
      <c r="R79" s="230"/>
      <c r="S79" s="225">
        <f t="shared" ref="S79" si="111">G79*0.1</f>
        <v>37.800000000000004</v>
      </c>
      <c r="T79" s="225">
        <f t="shared" ref="T79" si="112">G79*0.6</f>
        <v>226.79999999999998</v>
      </c>
      <c r="U79" s="225">
        <f t="shared" ref="U79" si="113">G79*0.25</f>
        <v>94.5</v>
      </c>
      <c r="V79" s="225">
        <f t="shared" ref="V79" si="114">G79*0.05</f>
        <v>18.900000000000002</v>
      </c>
      <c r="W79" s="221">
        <f>S79*F79</f>
        <v>226800.00000000003</v>
      </c>
      <c r="X79" s="221">
        <f>T79*F79</f>
        <v>1360800</v>
      </c>
      <c r="Y79" s="221">
        <f>U79*F79</f>
        <v>567000</v>
      </c>
      <c r="Z79" s="221">
        <f>V79*F79</f>
        <v>113400.00000000001</v>
      </c>
      <c r="AA79" s="224">
        <v>10</v>
      </c>
      <c r="AB79" s="221">
        <f t="shared" si="45"/>
        <v>60000</v>
      </c>
      <c r="AC79" s="224">
        <v>30</v>
      </c>
      <c r="AD79" s="225">
        <f t="shared" si="49"/>
        <v>180000</v>
      </c>
      <c r="AE79" s="224">
        <v>20</v>
      </c>
      <c r="AF79" s="53">
        <f t="shared" si="94"/>
        <v>120000</v>
      </c>
      <c r="AG79" s="224">
        <v>30</v>
      </c>
      <c r="AH79" s="53">
        <f t="shared" si="95"/>
        <v>180000</v>
      </c>
      <c r="AI79" s="224">
        <v>15</v>
      </c>
      <c r="AJ79" s="53">
        <f t="shared" si="96"/>
        <v>90000</v>
      </c>
      <c r="AK79" s="224">
        <v>10</v>
      </c>
      <c r="AL79" s="53">
        <f t="shared" si="97"/>
        <v>60000</v>
      </c>
      <c r="AM79" s="224">
        <v>40</v>
      </c>
      <c r="AN79" s="53">
        <f t="shared" si="98"/>
        <v>240000</v>
      </c>
      <c r="AO79" s="224">
        <v>30</v>
      </c>
      <c r="AP79" s="53">
        <f t="shared" si="99"/>
        <v>180000</v>
      </c>
      <c r="AQ79" s="224">
        <v>12</v>
      </c>
      <c r="AR79" s="53">
        <f t="shared" si="100"/>
        <v>72000</v>
      </c>
      <c r="AS79" s="224"/>
      <c r="AT79" s="53">
        <f t="shared" si="101"/>
        <v>0</v>
      </c>
      <c r="AU79" s="630">
        <v>15</v>
      </c>
      <c r="AV79" s="53">
        <f t="shared" si="102"/>
        <v>90000</v>
      </c>
      <c r="AW79" s="224">
        <v>15</v>
      </c>
      <c r="AX79" s="53">
        <f t="shared" si="103"/>
        <v>90000</v>
      </c>
      <c r="AY79" s="53">
        <v>15</v>
      </c>
      <c r="AZ79" s="53">
        <f t="shared" si="104"/>
        <v>90000</v>
      </c>
      <c r="BA79" s="224">
        <v>10</v>
      </c>
      <c r="BB79" s="53">
        <f t="shared" si="105"/>
        <v>60000</v>
      </c>
      <c r="BC79" s="224">
        <v>20</v>
      </c>
      <c r="BD79" s="53">
        <f t="shared" si="106"/>
        <v>120000</v>
      </c>
      <c r="BE79" s="630">
        <f>50+20+16</f>
        <v>86</v>
      </c>
      <c r="BF79" s="53">
        <f t="shared" si="107"/>
        <v>516000</v>
      </c>
      <c r="BG79" s="630">
        <v>20</v>
      </c>
      <c r="BH79" s="53">
        <f t="shared" si="108"/>
        <v>120000</v>
      </c>
      <c r="BI79" s="224"/>
      <c r="BJ79" s="53">
        <f t="shared" si="109"/>
        <v>0</v>
      </c>
      <c r="BK79" s="224">
        <f t="shared" si="50"/>
        <v>378</v>
      </c>
      <c r="BL79" s="53">
        <f t="shared" si="50"/>
        <v>2268000</v>
      </c>
      <c r="BM79" s="306" t="s">
        <v>480</v>
      </c>
      <c r="BN79" s="682">
        <f t="shared" si="31"/>
        <v>2268000</v>
      </c>
      <c r="BO79" s="230"/>
      <c r="BP79" s="113"/>
      <c r="BQ79" s="113">
        <f t="shared" ref="BQ79:BQ86" si="115">H79</f>
        <v>2268000</v>
      </c>
      <c r="BR79" s="113"/>
      <c r="BS79" s="113">
        <f t="shared" si="65"/>
        <v>2268000</v>
      </c>
      <c r="BT79" s="113"/>
      <c r="BU79" s="113"/>
      <c r="BV79" s="113"/>
      <c r="BW79" s="217">
        <f t="shared" si="110"/>
        <v>2268000</v>
      </c>
    </row>
    <row r="80" spans="1:75" s="163" customFormat="1" ht="33" customHeight="1" x14ac:dyDescent="0.25">
      <c r="A80" s="910"/>
      <c r="B80" s="237"/>
      <c r="C80" s="169"/>
      <c r="D80" s="169" t="s">
        <v>635</v>
      </c>
      <c r="E80" s="169" t="s">
        <v>152</v>
      </c>
      <c r="F80" s="231">
        <v>9000</v>
      </c>
      <c r="G80" s="544">
        <f>BK80</f>
        <v>511</v>
      </c>
      <c r="H80" s="239">
        <f t="shared" si="93"/>
        <v>4599000</v>
      </c>
      <c r="I80" s="239">
        <f>H80*0.1</f>
        <v>459900</v>
      </c>
      <c r="J80" s="239">
        <f>H80*0.8</f>
        <v>3679200</v>
      </c>
      <c r="K80" s="239"/>
      <c r="L80" s="239"/>
      <c r="M80" s="239"/>
      <c r="N80" s="239"/>
      <c r="O80" s="239"/>
      <c r="P80" s="239"/>
      <c r="Q80" s="239">
        <f>0.1*H80</f>
        <v>459900</v>
      </c>
      <c r="R80" s="239"/>
      <c r="S80" s="225">
        <f t="shared" ref="S80:S86" si="116">G80*0.1</f>
        <v>51.1</v>
      </c>
      <c r="T80" s="225">
        <f t="shared" ref="T80:T86" si="117">G80*0.6</f>
        <v>306.59999999999997</v>
      </c>
      <c r="U80" s="225">
        <f t="shared" ref="U80:U86" si="118">G80*0.25</f>
        <v>127.75</v>
      </c>
      <c r="V80" s="225">
        <f t="shared" ref="V80:V86" si="119">G80*0.05</f>
        <v>25.55</v>
      </c>
      <c r="W80" s="546">
        <f t="shared" ref="W80:W86" si="120">S80*F80</f>
        <v>459900</v>
      </c>
      <c r="X80" s="546">
        <f t="shared" ref="X80:X86" si="121">T80*F80</f>
        <v>2759399.9999999995</v>
      </c>
      <c r="Y80" s="546">
        <f t="shared" ref="Y80:Y86" si="122">U80*F80</f>
        <v>1149750</v>
      </c>
      <c r="Z80" s="546">
        <f t="shared" ref="Z80:Z86" si="123">V80*F80</f>
        <v>229950</v>
      </c>
      <c r="AA80" s="621">
        <v>25</v>
      </c>
      <c r="AB80" s="546">
        <f>AA80*F80</f>
        <v>225000</v>
      </c>
      <c r="AC80" s="266">
        <v>40</v>
      </c>
      <c r="AD80" s="545">
        <f>AC80*F80</f>
        <v>360000</v>
      </c>
      <c r="AE80" s="621">
        <v>20</v>
      </c>
      <c r="AF80" s="547">
        <f>AE80*F80</f>
        <v>180000</v>
      </c>
      <c r="AG80" s="266">
        <v>25</v>
      </c>
      <c r="AH80" s="547">
        <f>AG80*F80</f>
        <v>225000</v>
      </c>
      <c r="AI80" s="266">
        <v>100</v>
      </c>
      <c r="AJ80" s="547">
        <f>AI80*F80</f>
        <v>900000</v>
      </c>
      <c r="AK80" s="266">
        <v>5</v>
      </c>
      <c r="AL80" s="547">
        <f>AK80*F80</f>
        <v>45000</v>
      </c>
      <c r="AM80" s="266">
        <v>40</v>
      </c>
      <c r="AN80" s="547">
        <f>AM80*F80</f>
        <v>360000</v>
      </c>
      <c r="AO80" s="266">
        <v>28</v>
      </c>
      <c r="AP80" s="547">
        <f>AO80*F80</f>
        <v>252000</v>
      </c>
      <c r="AQ80" s="266">
        <v>50</v>
      </c>
      <c r="AR80" s="547">
        <f>AQ80*F80</f>
        <v>450000</v>
      </c>
      <c r="AS80" s="621">
        <v>15</v>
      </c>
      <c r="AT80" s="547">
        <f>AS80*F80</f>
        <v>135000</v>
      </c>
      <c r="AU80" s="621">
        <v>21</v>
      </c>
      <c r="AV80" s="547">
        <f>AU80*F80</f>
        <v>189000</v>
      </c>
      <c r="AW80" s="266">
        <v>40</v>
      </c>
      <c r="AX80" s="547">
        <f>AW80*F80</f>
        <v>360000</v>
      </c>
      <c r="AY80" s="547">
        <v>25</v>
      </c>
      <c r="AZ80" s="547">
        <f>AY80*F80</f>
        <v>225000</v>
      </c>
      <c r="BA80" s="266">
        <v>10</v>
      </c>
      <c r="BB80" s="547">
        <f>BA80*F80</f>
        <v>90000</v>
      </c>
      <c r="BC80" s="266">
        <v>12</v>
      </c>
      <c r="BD80" s="547">
        <f>BC80*F80</f>
        <v>108000</v>
      </c>
      <c r="BE80" s="266">
        <v>50</v>
      </c>
      <c r="BF80" s="547">
        <f>BE80*F80</f>
        <v>450000</v>
      </c>
      <c r="BG80" s="266">
        <v>5</v>
      </c>
      <c r="BH80" s="547">
        <f>BG80*F80</f>
        <v>45000</v>
      </c>
      <c r="BI80" s="266"/>
      <c r="BJ80" s="547">
        <f>BI80*F80</f>
        <v>0</v>
      </c>
      <c r="BK80" s="266">
        <f>AA80+AC80+AE80+AG80+AI80+AK80+AM80+AO80+AQ80+AS80+AU80+AW80+AY80+BA80+BC80+BE80+BG80+BI80</f>
        <v>511</v>
      </c>
      <c r="BL80" s="547">
        <f>AB80+AD80+AF80+AH80+AJ80+AL80+AN80+AP80+AR80+AT80+AV80+AX80+AZ80+BB80+BD80+BF80+BH80+BJ80</f>
        <v>4599000</v>
      </c>
      <c r="BM80" s="550" t="s">
        <v>480</v>
      </c>
      <c r="BN80" s="682">
        <f t="shared" si="31"/>
        <v>4599000</v>
      </c>
      <c r="BO80" s="239"/>
      <c r="BP80" s="176"/>
      <c r="BQ80" s="176">
        <f t="shared" si="115"/>
        <v>4599000</v>
      </c>
      <c r="BR80" s="176"/>
      <c r="BS80" s="176">
        <f>BO80+BP80+BQ80+BR80</f>
        <v>4599000</v>
      </c>
      <c r="BT80" s="176"/>
      <c r="BU80" s="176"/>
      <c r="BV80" s="176"/>
      <c r="BW80" s="177">
        <f>BS80+BV80</f>
        <v>4599000</v>
      </c>
    </row>
    <row r="81" spans="1:83" s="163" customFormat="1" ht="18" customHeight="1" x14ac:dyDescent="0.25">
      <c r="A81" s="910"/>
      <c r="B81" s="237"/>
      <c r="C81" s="169"/>
      <c r="D81" s="169" t="s">
        <v>621</v>
      </c>
      <c r="E81" s="169" t="s">
        <v>152</v>
      </c>
      <c r="F81" s="231">
        <v>6000</v>
      </c>
      <c r="G81" s="544">
        <f t="shared" si="89"/>
        <v>270</v>
      </c>
      <c r="H81" s="239">
        <f t="shared" si="93"/>
        <v>1620000</v>
      </c>
      <c r="I81" s="239">
        <v>0</v>
      </c>
      <c r="J81" s="239">
        <v>0</v>
      </c>
      <c r="K81" s="239"/>
      <c r="L81" s="239"/>
      <c r="M81" s="239"/>
      <c r="N81" s="239"/>
      <c r="O81" s="239"/>
      <c r="P81" s="239"/>
      <c r="Q81" s="239">
        <v>0</v>
      </c>
      <c r="R81" s="239">
        <f>H81*1</f>
        <v>1620000</v>
      </c>
      <c r="S81" s="225">
        <f t="shared" si="116"/>
        <v>27</v>
      </c>
      <c r="T81" s="225">
        <f t="shared" si="117"/>
        <v>162</v>
      </c>
      <c r="U81" s="225">
        <f t="shared" si="118"/>
        <v>67.5</v>
      </c>
      <c r="V81" s="225">
        <f t="shared" si="119"/>
        <v>13.5</v>
      </c>
      <c r="W81" s="546">
        <f t="shared" si="120"/>
        <v>162000</v>
      </c>
      <c r="X81" s="546">
        <f t="shared" si="121"/>
        <v>972000</v>
      </c>
      <c r="Y81" s="546">
        <f t="shared" si="122"/>
        <v>405000</v>
      </c>
      <c r="Z81" s="546">
        <f t="shared" si="123"/>
        <v>81000</v>
      </c>
      <c r="AA81" s="266">
        <v>50</v>
      </c>
      <c r="AB81" s="546">
        <f t="shared" si="45"/>
        <v>300000</v>
      </c>
      <c r="AC81" s="266">
        <v>5</v>
      </c>
      <c r="AD81" s="545">
        <f t="shared" si="49"/>
        <v>30000</v>
      </c>
      <c r="AE81" s="266">
        <v>20</v>
      </c>
      <c r="AF81" s="547">
        <f t="shared" si="94"/>
        <v>120000</v>
      </c>
      <c r="AG81" s="266">
        <v>50</v>
      </c>
      <c r="AH81" s="547">
        <f t="shared" si="95"/>
        <v>300000</v>
      </c>
      <c r="AI81" s="266">
        <v>10</v>
      </c>
      <c r="AJ81" s="547">
        <f t="shared" si="96"/>
        <v>60000</v>
      </c>
      <c r="AK81" s="266">
        <v>10</v>
      </c>
      <c r="AL81" s="547">
        <f t="shared" si="97"/>
        <v>60000</v>
      </c>
      <c r="AM81" s="266">
        <v>15</v>
      </c>
      <c r="AN81" s="547">
        <f t="shared" si="98"/>
        <v>90000</v>
      </c>
      <c r="AO81" s="266">
        <v>0</v>
      </c>
      <c r="AP81" s="547">
        <f t="shared" si="99"/>
        <v>0</v>
      </c>
      <c r="AQ81" s="266">
        <v>5</v>
      </c>
      <c r="AR81" s="547">
        <f t="shared" si="100"/>
        <v>30000</v>
      </c>
      <c r="AS81" s="621">
        <v>20</v>
      </c>
      <c r="AT81" s="547">
        <f t="shared" si="101"/>
        <v>120000</v>
      </c>
      <c r="AU81" s="266">
        <v>10</v>
      </c>
      <c r="AV81" s="547">
        <f t="shared" si="102"/>
        <v>60000</v>
      </c>
      <c r="AW81" s="266">
        <v>20</v>
      </c>
      <c r="AX81" s="547">
        <f t="shared" si="103"/>
        <v>120000</v>
      </c>
      <c r="AY81" s="547">
        <v>10</v>
      </c>
      <c r="AZ81" s="547">
        <f t="shared" si="104"/>
        <v>60000</v>
      </c>
      <c r="BA81" s="266">
        <v>10</v>
      </c>
      <c r="BB81" s="547">
        <f t="shared" si="105"/>
        <v>60000</v>
      </c>
      <c r="BC81" s="266">
        <v>15</v>
      </c>
      <c r="BD81" s="547">
        <f t="shared" si="106"/>
        <v>90000</v>
      </c>
      <c r="BE81" s="266">
        <v>10</v>
      </c>
      <c r="BF81" s="547">
        <f t="shared" si="107"/>
        <v>60000</v>
      </c>
      <c r="BG81" s="266">
        <v>10</v>
      </c>
      <c r="BH81" s="547">
        <f t="shared" si="108"/>
        <v>60000</v>
      </c>
      <c r="BI81" s="266"/>
      <c r="BJ81" s="547">
        <f t="shared" si="109"/>
        <v>0</v>
      </c>
      <c r="BK81" s="266">
        <f t="shared" si="50"/>
        <v>270</v>
      </c>
      <c r="BL81" s="547">
        <f t="shared" si="50"/>
        <v>1620000</v>
      </c>
      <c r="BM81" s="550" t="s">
        <v>725</v>
      </c>
      <c r="BN81" s="682">
        <f t="shared" si="31"/>
        <v>1620000</v>
      </c>
      <c r="BO81" s="239"/>
      <c r="BP81" s="176"/>
      <c r="BQ81" s="176">
        <f t="shared" si="115"/>
        <v>1620000</v>
      </c>
      <c r="BR81" s="176"/>
      <c r="BS81" s="176">
        <f t="shared" si="65"/>
        <v>1620000</v>
      </c>
      <c r="BT81" s="176"/>
      <c r="BU81" s="176"/>
      <c r="BV81" s="176"/>
      <c r="BW81" s="177">
        <f t="shared" si="110"/>
        <v>1620000</v>
      </c>
    </row>
    <row r="82" spans="1:83" s="163" customFormat="1" ht="33.6" customHeight="1" x14ac:dyDescent="0.25">
      <c r="A82" s="910"/>
      <c r="B82" s="237"/>
      <c r="C82" s="169"/>
      <c r="D82" s="169" t="s">
        <v>712</v>
      </c>
      <c r="E82" s="169" t="s">
        <v>152</v>
      </c>
      <c r="F82" s="231">
        <v>9000</v>
      </c>
      <c r="G82" s="544">
        <f t="shared" si="89"/>
        <v>70</v>
      </c>
      <c r="H82" s="239">
        <f t="shared" si="93"/>
        <v>630000</v>
      </c>
      <c r="I82" s="239">
        <v>0</v>
      </c>
      <c r="J82" s="239">
        <v>0</v>
      </c>
      <c r="K82" s="239"/>
      <c r="L82" s="239"/>
      <c r="M82" s="239"/>
      <c r="N82" s="239"/>
      <c r="O82" s="239"/>
      <c r="P82" s="239"/>
      <c r="Q82" s="239">
        <v>0</v>
      </c>
      <c r="R82" s="239">
        <f>H82*1</f>
        <v>630000</v>
      </c>
      <c r="S82" s="225">
        <f t="shared" si="116"/>
        <v>7</v>
      </c>
      <c r="T82" s="225">
        <f t="shared" si="117"/>
        <v>42</v>
      </c>
      <c r="U82" s="225">
        <f t="shared" si="118"/>
        <v>17.5</v>
      </c>
      <c r="V82" s="225">
        <f t="shared" si="119"/>
        <v>3.5</v>
      </c>
      <c r="W82" s="546">
        <f t="shared" si="120"/>
        <v>63000</v>
      </c>
      <c r="X82" s="546">
        <f t="shared" si="121"/>
        <v>378000</v>
      </c>
      <c r="Y82" s="546">
        <f t="shared" si="122"/>
        <v>157500</v>
      </c>
      <c r="Z82" s="546">
        <f t="shared" si="123"/>
        <v>31500</v>
      </c>
      <c r="AA82" s="266">
        <v>4</v>
      </c>
      <c r="AB82" s="546">
        <f t="shared" si="45"/>
        <v>36000</v>
      </c>
      <c r="AC82" s="266">
        <v>3</v>
      </c>
      <c r="AD82" s="545">
        <f t="shared" si="49"/>
        <v>27000</v>
      </c>
      <c r="AE82" s="266">
        <v>3</v>
      </c>
      <c r="AF82" s="547">
        <f t="shared" si="94"/>
        <v>27000</v>
      </c>
      <c r="AG82" s="266">
        <v>5</v>
      </c>
      <c r="AH82" s="547">
        <f t="shared" si="95"/>
        <v>45000</v>
      </c>
      <c r="AI82" s="266">
        <v>3</v>
      </c>
      <c r="AJ82" s="547">
        <f t="shared" si="96"/>
        <v>27000</v>
      </c>
      <c r="AK82" s="266">
        <v>4</v>
      </c>
      <c r="AL82" s="547">
        <f t="shared" si="97"/>
        <v>36000</v>
      </c>
      <c r="AM82" s="266">
        <v>9</v>
      </c>
      <c r="AN82" s="547">
        <f t="shared" si="98"/>
        <v>81000</v>
      </c>
      <c r="AO82" s="266">
        <v>5</v>
      </c>
      <c r="AP82" s="547">
        <f t="shared" si="99"/>
        <v>45000</v>
      </c>
      <c r="AQ82" s="266">
        <v>2</v>
      </c>
      <c r="AR82" s="547">
        <f t="shared" si="100"/>
        <v>18000</v>
      </c>
      <c r="AS82" s="266">
        <v>3</v>
      </c>
      <c r="AT82" s="547">
        <f t="shared" si="101"/>
        <v>27000</v>
      </c>
      <c r="AU82" s="266">
        <v>5</v>
      </c>
      <c r="AV82" s="547">
        <f t="shared" si="102"/>
        <v>45000</v>
      </c>
      <c r="AW82" s="266">
        <v>2</v>
      </c>
      <c r="AX82" s="547">
        <f t="shared" si="103"/>
        <v>18000</v>
      </c>
      <c r="AY82" s="547">
        <v>6</v>
      </c>
      <c r="AZ82" s="547">
        <f t="shared" si="104"/>
        <v>54000</v>
      </c>
      <c r="BA82" s="266">
        <v>3</v>
      </c>
      <c r="BB82" s="547">
        <f t="shared" si="105"/>
        <v>27000</v>
      </c>
      <c r="BC82" s="266">
        <v>1</v>
      </c>
      <c r="BD82" s="547">
        <f t="shared" si="106"/>
        <v>9000</v>
      </c>
      <c r="BE82" s="266">
        <v>5</v>
      </c>
      <c r="BF82" s="547">
        <f t="shared" si="107"/>
        <v>45000</v>
      </c>
      <c r="BG82" s="621">
        <v>7</v>
      </c>
      <c r="BH82" s="547">
        <f t="shared" si="108"/>
        <v>63000</v>
      </c>
      <c r="BI82" s="266"/>
      <c r="BJ82" s="547">
        <f t="shared" si="109"/>
        <v>0</v>
      </c>
      <c r="BK82" s="266">
        <f t="shared" si="50"/>
        <v>70</v>
      </c>
      <c r="BL82" s="547">
        <f t="shared" si="50"/>
        <v>630000</v>
      </c>
      <c r="BM82" s="550" t="s">
        <v>725</v>
      </c>
      <c r="BN82" s="682">
        <f t="shared" si="31"/>
        <v>630000</v>
      </c>
      <c r="BO82" s="239"/>
      <c r="BP82" s="176"/>
      <c r="BQ82" s="176">
        <f t="shared" si="115"/>
        <v>630000</v>
      </c>
      <c r="BR82" s="176"/>
      <c r="BS82" s="176">
        <f t="shared" si="65"/>
        <v>630000</v>
      </c>
      <c r="BT82" s="176"/>
      <c r="BU82" s="176"/>
      <c r="BV82" s="176"/>
      <c r="BW82" s="177">
        <f t="shared" si="110"/>
        <v>630000</v>
      </c>
    </row>
    <row r="83" spans="1:83" s="163" customFormat="1" ht="33.6" customHeight="1" x14ac:dyDescent="0.25">
      <c r="A83" s="910"/>
      <c r="B83" s="237"/>
      <c r="C83" s="169"/>
      <c r="D83" s="169" t="s">
        <v>796</v>
      </c>
      <c r="E83" s="169" t="s">
        <v>152</v>
      </c>
      <c r="F83" s="231">
        <v>6000</v>
      </c>
      <c r="G83" s="544">
        <f t="shared" si="89"/>
        <v>33</v>
      </c>
      <c r="H83" s="239">
        <f t="shared" si="93"/>
        <v>198000</v>
      </c>
      <c r="I83" s="239"/>
      <c r="J83" s="239"/>
      <c r="K83" s="239"/>
      <c r="L83" s="239"/>
      <c r="M83" s="239"/>
      <c r="N83" s="239"/>
      <c r="O83" s="239"/>
      <c r="P83" s="239"/>
      <c r="Q83" s="239"/>
      <c r="R83" s="239">
        <f>H83*1</f>
        <v>198000</v>
      </c>
      <c r="S83" s="225">
        <f t="shared" si="116"/>
        <v>3.3000000000000003</v>
      </c>
      <c r="T83" s="225">
        <f t="shared" si="117"/>
        <v>19.8</v>
      </c>
      <c r="U83" s="225">
        <f t="shared" si="118"/>
        <v>8.25</v>
      </c>
      <c r="V83" s="225">
        <f t="shared" si="119"/>
        <v>1.6500000000000001</v>
      </c>
      <c r="W83" s="546">
        <f t="shared" si="120"/>
        <v>19800</v>
      </c>
      <c r="X83" s="546">
        <f t="shared" si="121"/>
        <v>118800</v>
      </c>
      <c r="Y83" s="546">
        <f t="shared" si="122"/>
        <v>49500</v>
      </c>
      <c r="Z83" s="546">
        <f t="shared" si="123"/>
        <v>9900</v>
      </c>
      <c r="AA83" s="266">
        <v>3</v>
      </c>
      <c r="AB83" s="546">
        <f t="shared" si="45"/>
        <v>18000</v>
      </c>
      <c r="AC83" s="266">
        <v>2</v>
      </c>
      <c r="AD83" s="545">
        <f t="shared" si="49"/>
        <v>12000</v>
      </c>
      <c r="AE83" s="266">
        <v>4</v>
      </c>
      <c r="AF83" s="547">
        <f t="shared" si="94"/>
        <v>24000</v>
      </c>
      <c r="AG83" s="266">
        <v>4</v>
      </c>
      <c r="AH83" s="547">
        <f t="shared" si="95"/>
        <v>24000</v>
      </c>
      <c r="AI83" s="266">
        <v>1</v>
      </c>
      <c r="AJ83" s="547">
        <f t="shared" si="96"/>
        <v>6000</v>
      </c>
      <c r="AK83" s="266">
        <v>2</v>
      </c>
      <c r="AL83" s="547">
        <f t="shared" si="97"/>
        <v>12000</v>
      </c>
      <c r="AM83" s="266">
        <v>1</v>
      </c>
      <c r="AN83" s="547">
        <f t="shared" si="98"/>
        <v>6000</v>
      </c>
      <c r="AO83" s="266">
        <v>1</v>
      </c>
      <c r="AP83" s="547">
        <f t="shared" si="99"/>
        <v>6000</v>
      </c>
      <c r="AQ83" s="266">
        <v>1</v>
      </c>
      <c r="AR83" s="547">
        <f>AQ83*F83</f>
        <v>6000</v>
      </c>
      <c r="AS83" s="266">
        <v>2</v>
      </c>
      <c r="AT83" s="547">
        <f t="shared" si="101"/>
        <v>12000</v>
      </c>
      <c r="AU83" s="266">
        <v>1</v>
      </c>
      <c r="AV83" s="547">
        <f t="shared" si="102"/>
        <v>6000</v>
      </c>
      <c r="AW83" s="266">
        <v>1</v>
      </c>
      <c r="AX83" s="547">
        <f t="shared" si="103"/>
        <v>6000</v>
      </c>
      <c r="AY83" s="547">
        <v>1</v>
      </c>
      <c r="AZ83" s="547">
        <f t="shared" si="104"/>
        <v>6000</v>
      </c>
      <c r="BA83" s="266">
        <v>4</v>
      </c>
      <c r="BB83" s="547">
        <f t="shared" si="105"/>
        <v>24000</v>
      </c>
      <c r="BC83" s="266">
        <v>2</v>
      </c>
      <c r="BD83" s="547">
        <f t="shared" si="106"/>
        <v>12000</v>
      </c>
      <c r="BE83" s="266">
        <v>1</v>
      </c>
      <c r="BF83" s="547">
        <f t="shared" si="107"/>
        <v>6000</v>
      </c>
      <c r="BG83" s="266">
        <v>2</v>
      </c>
      <c r="BH83" s="547">
        <f t="shared" si="108"/>
        <v>12000</v>
      </c>
      <c r="BI83" s="266"/>
      <c r="BJ83" s="547">
        <f t="shared" si="109"/>
        <v>0</v>
      </c>
      <c r="BK83" s="266">
        <f t="shared" si="50"/>
        <v>33</v>
      </c>
      <c r="BL83" s="547">
        <f t="shared" si="50"/>
        <v>198000</v>
      </c>
      <c r="BM83" s="550" t="s">
        <v>725</v>
      </c>
      <c r="BN83" s="682">
        <f t="shared" si="31"/>
        <v>198000</v>
      </c>
      <c r="BO83" s="239"/>
      <c r="BP83" s="176"/>
      <c r="BQ83" s="176">
        <f t="shared" si="115"/>
        <v>198000</v>
      </c>
      <c r="BR83" s="176"/>
      <c r="BS83" s="176">
        <f t="shared" si="65"/>
        <v>198000</v>
      </c>
      <c r="BT83" s="176"/>
      <c r="BU83" s="176"/>
      <c r="BV83" s="176"/>
      <c r="BW83" s="177">
        <f t="shared" si="110"/>
        <v>198000</v>
      </c>
    </row>
    <row r="84" spans="1:83" s="163" customFormat="1" ht="33.6" customHeight="1" x14ac:dyDescent="0.25">
      <c r="A84" s="910"/>
      <c r="B84" s="237"/>
      <c r="C84" s="169"/>
      <c r="D84" s="169" t="s">
        <v>797</v>
      </c>
      <c r="E84" s="169" t="s">
        <v>152</v>
      </c>
      <c r="F84" s="231">
        <v>6000</v>
      </c>
      <c r="G84" s="544">
        <f t="shared" si="89"/>
        <v>10</v>
      </c>
      <c r="H84" s="239">
        <f t="shared" si="93"/>
        <v>60000</v>
      </c>
      <c r="I84" s="239"/>
      <c r="J84" s="239"/>
      <c r="K84" s="239"/>
      <c r="L84" s="239"/>
      <c r="M84" s="239"/>
      <c r="N84" s="239"/>
      <c r="O84" s="239"/>
      <c r="P84" s="239"/>
      <c r="Q84" s="239"/>
      <c r="R84" s="239">
        <f>H84*1</f>
        <v>60000</v>
      </c>
      <c r="S84" s="225">
        <f t="shared" si="116"/>
        <v>1</v>
      </c>
      <c r="T84" s="225">
        <f t="shared" si="117"/>
        <v>6</v>
      </c>
      <c r="U84" s="225">
        <f t="shared" si="118"/>
        <v>2.5</v>
      </c>
      <c r="V84" s="225">
        <f t="shared" si="119"/>
        <v>0.5</v>
      </c>
      <c r="W84" s="546">
        <f t="shared" si="120"/>
        <v>6000</v>
      </c>
      <c r="X84" s="546">
        <f t="shared" si="121"/>
        <v>36000</v>
      </c>
      <c r="Y84" s="546">
        <f t="shared" si="122"/>
        <v>15000</v>
      </c>
      <c r="Z84" s="546">
        <f t="shared" si="123"/>
        <v>3000</v>
      </c>
      <c r="AA84" s="266">
        <v>3</v>
      </c>
      <c r="AB84" s="546">
        <f t="shared" si="45"/>
        <v>18000</v>
      </c>
      <c r="AC84" s="266">
        <v>0</v>
      </c>
      <c r="AD84" s="545">
        <f t="shared" si="49"/>
        <v>0</v>
      </c>
      <c r="AE84" s="266">
        <v>3</v>
      </c>
      <c r="AF84" s="547">
        <f t="shared" si="94"/>
        <v>18000</v>
      </c>
      <c r="AG84" s="266">
        <v>0</v>
      </c>
      <c r="AH84" s="547">
        <f t="shared" si="95"/>
        <v>0</v>
      </c>
      <c r="AI84" s="266">
        <v>0</v>
      </c>
      <c r="AJ84" s="547">
        <f t="shared" si="96"/>
        <v>0</v>
      </c>
      <c r="AK84" s="266">
        <v>0</v>
      </c>
      <c r="AL84" s="547">
        <f t="shared" si="97"/>
        <v>0</v>
      </c>
      <c r="AM84" s="266">
        <v>0</v>
      </c>
      <c r="AN84" s="547">
        <f t="shared" si="98"/>
        <v>0</v>
      </c>
      <c r="AO84" s="266">
        <v>0</v>
      </c>
      <c r="AP84" s="547">
        <f t="shared" si="99"/>
        <v>0</v>
      </c>
      <c r="AQ84" s="266">
        <v>0</v>
      </c>
      <c r="AR84" s="547"/>
      <c r="AS84" s="266">
        <v>0</v>
      </c>
      <c r="AT84" s="547">
        <f t="shared" si="101"/>
        <v>0</v>
      </c>
      <c r="AU84" s="266">
        <v>0</v>
      </c>
      <c r="AV84" s="547">
        <f t="shared" si="102"/>
        <v>0</v>
      </c>
      <c r="AW84" s="266">
        <v>0</v>
      </c>
      <c r="AX84" s="547">
        <f t="shared" si="103"/>
        <v>0</v>
      </c>
      <c r="AY84" s="547">
        <v>0</v>
      </c>
      <c r="AZ84" s="547">
        <f t="shared" si="104"/>
        <v>0</v>
      </c>
      <c r="BA84" s="266">
        <v>0</v>
      </c>
      <c r="BB84" s="547">
        <f t="shared" si="105"/>
        <v>0</v>
      </c>
      <c r="BC84" s="266">
        <v>4</v>
      </c>
      <c r="BD84" s="547">
        <f t="shared" si="106"/>
        <v>24000</v>
      </c>
      <c r="BE84" s="266"/>
      <c r="BF84" s="547"/>
      <c r="BG84" s="266"/>
      <c r="BH84" s="547"/>
      <c r="BI84" s="266"/>
      <c r="BJ84" s="547">
        <f t="shared" si="109"/>
        <v>0</v>
      </c>
      <c r="BK84" s="266">
        <f t="shared" si="50"/>
        <v>10</v>
      </c>
      <c r="BL84" s="547">
        <f t="shared" si="50"/>
        <v>60000</v>
      </c>
      <c r="BM84" s="550" t="s">
        <v>725</v>
      </c>
      <c r="BN84" s="682">
        <f t="shared" ref="BN84:BN136" si="124">BJ84+BH84+BF84+BD84+BB84+AZ84+AX84+AV84+AT84+AR84+AP84+AN84+AL84+AJ84+AH84+AF84+AD84+AB84</f>
        <v>60000</v>
      </c>
      <c r="BO84" s="239"/>
      <c r="BP84" s="176"/>
      <c r="BQ84" s="176">
        <f t="shared" si="115"/>
        <v>60000</v>
      </c>
      <c r="BR84" s="176"/>
      <c r="BS84" s="176">
        <f t="shared" si="65"/>
        <v>60000</v>
      </c>
      <c r="BT84" s="176"/>
      <c r="BU84" s="176"/>
      <c r="BV84" s="176"/>
      <c r="BW84" s="177">
        <f t="shared" si="110"/>
        <v>60000</v>
      </c>
    </row>
    <row r="85" spans="1:83" s="163" customFormat="1" ht="33.6" customHeight="1" x14ac:dyDescent="0.25">
      <c r="A85" s="910"/>
      <c r="B85" s="237"/>
      <c r="C85" s="169"/>
      <c r="D85" s="169" t="s">
        <v>798</v>
      </c>
      <c r="E85" s="169" t="s">
        <v>152</v>
      </c>
      <c r="F85" s="231">
        <v>9000</v>
      </c>
      <c r="G85" s="544">
        <f t="shared" si="89"/>
        <v>50</v>
      </c>
      <c r="H85" s="239">
        <f t="shared" si="93"/>
        <v>450000</v>
      </c>
      <c r="I85" s="239"/>
      <c r="J85" s="239"/>
      <c r="K85" s="239"/>
      <c r="L85" s="239"/>
      <c r="M85" s="239"/>
      <c r="N85" s="239"/>
      <c r="O85" s="239"/>
      <c r="P85" s="239"/>
      <c r="Q85" s="239"/>
      <c r="R85" s="239">
        <f>H85*1</f>
        <v>450000</v>
      </c>
      <c r="S85" s="225">
        <f t="shared" si="116"/>
        <v>5</v>
      </c>
      <c r="T85" s="225">
        <f t="shared" si="117"/>
        <v>30</v>
      </c>
      <c r="U85" s="225">
        <f t="shared" si="118"/>
        <v>12.5</v>
      </c>
      <c r="V85" s="225">
        <f t="shared" si="119"/>
        <v>2.5</v>
      </c>
      <c r="W85" s="546">
        <f t="shared" si="120"/>
        <v>45000</v>
      </c>
      <c r="X85" s="546">
        <f t="shared" si="121"/>
        <v>270000</v>
      </c>
      <c r="Y85" s="546">
        <f t="shared" si="122"/>
        <v>112500</v>
      </c>
      <c r="Z85" s="546">
        <f t="shared" si="123"/>
        <v>22500</v>
      </c>
      <c r="AA85" s="266">
        <v>3</v>
      </c>
      <c r="AB85" s="546">
        <f t="shared" si="45"/>
        <v>27000</v>
      </c>
      <c r="AC85" s="266">
        <v>2</v>
      </c>
      <c r="AD85" s="545">
        <f t="shared" si="49"/>
        <v>18000</v>
      </c>
      <c r="AE85" s="266">
        <v>3</v>
      </c>
      <c r="AF85" s="547">
        <f t="shared" si="94"/>
        <v>27000</v>
      </c>
      <c r="AG85" s="266">
        <v>2</v>
      </c>
      <c r="AH85" s="547">
        <f t="shared" si="95"/>
        <v>18000</v>
      </c>
      <c r="AI85" s="266">
        <v>2</v>
      </c>
      <c r="AJ85" s="547">
        <f t="shared" si="96"/>
        <v>18000</v>
      </c>
      <c r="AK85" s="266">
        <v>3</v>
      </c>
      <c r="AL85" s="547">
        <f t="shared" si="97"/>
        <v>27000</v>
      </c>
      <c r="AM85" s="266">
        <v>2</v>
      </c>
      <c r="AN85" s="547">
        <f t="shared" si="98"/>
        <v>18000</v>
      </c>
      <c r="AO85" s="266">
        <v>3</v>
      </c>
      <c r="AP85" s="547">
        <f t="shared" si="99"/>
        <v>27000</v>
      </c>
      <c r="AQ85" s="266">
        <v>2</v>
      </c>
      <c r="AR85" s="547">
        <f>AQ85*F85</f>
        <v>18000</v>
      </c>
      <c r="AS85" s="266">
        <v>4</v>
      </c>
      <c r="AT85" s="547">
        <f t="shared" si="101"/>
        <v>36000</v>
      </c>
      <c r="AU85" s="266">
        <v>4</v>
      </c>
      <c r="AV85" s="547">
        <f t="shared" si="102"/>
        <v>36000</v>
      </c>
      <c r="AW85" s="266">
        <v>4</v>
      </c>
      <c r="AX85" s="547">
        <f t="shared" si="103"/>
        <v>36000</v>
      </c>
      <c r="AY85" s="547">
        <v>2</v>
      </c>
      <c r="AZ85" s="547">
        <f t="shared" si="104"/>
        <v>18000</v>
      </c>
      <c r="BA85" s="266">
        <v>4</v>
      </c>
      <c r="BB85" s="547">
        <f t="shared" si="105"/>
        <v>36000</v>
      </c>
      <c r="BC85" s="266">
        <v>4</v>
      </c>
      <c r="BD85" s="547">
        <f t="shared" si="106"/>
        <v>36000</v>
      </c>
      <c r="BE85" s="266">
        <v>2</v>
      </c>
      <c r="BF85" s="547">
        <f>BE85*F85</f>
        <v>18000</v>
      </c>
      <c r="BG85" s="266">
        <v>4</v>
      </c>
      <c r="BH85" s="547">
        <f>BG85*F85</f>
        <v>36000</v>
      </c>
      <c r="BI85" s="266"/>
      <c r="BJ85" s="547">
        <f t="shared" si="109"/>
        <v>0</v>
      </c>
      <c r="BK85" s="266">
        <f>AA85+AC85+AE85+AG85+AI85+AK85+AM85+AO85+AQ85+AS85+AU85+AW85+AY85+BA85+BC85+BE85+BG85+BI85</f>
        <v>50</v>
      </c>
      <c r="BL85" s="547">
        <f>AB85+AD85+AF85+AH85+AJ85+AL85+AN85+AP85+AR85+AT85+AV85+AX85+AZ85+BB85+BD85+BF85+BH85+BJ85</f>
        <v>450000</v>
      </c>
      <c r="BM85" s="550" t="s">
        <v>725</v>
      </c>
      <c r="BN85" s="682">
        <f t="shared" si="124"/>
        <v>450000</v>
      </c>
      <c r="BO85" s="239"/>
      <c r="BP85" s="176"/>
      <c r="BQ85" s="176">
        <f t="shared" si="115"/>
        <v>450000</v>
      </c>
      <c r="BR85" s="176"/>
      <c r="BS85" s="176">
        <f t="shared" si="65"/>
        <v>450000</v>
      </c>
      <c r="BT85" s="176"/>
      <c r="BU85" s="176"/>
      <c r="BV85" s="176"/>
      <c r="BW85" s="177">
        <f t="shared" si="110"/>
        <v>450000</v>
      </c>
    </row>
    <row r="86" spans="1:83" s="163" customFormat="1" ht="18" customHeight="1" x14ac:dyDescent="0.25">
      <c r="A86" s="910"/>
      <c r="B86" s="237"/>
      <c r="C86" s="169"/>
      <c r="D86" s="629" t="s">
        <v>632</v>
      </c>
      <c r="E86" s="169" t="s">
        <v>152</v>
      </c>
      <c r="F86" s="231">
        <v>6000</v>
      </c>
      <c r="G86" s="222">
        <f t="shared" si="89"/>
        <v>92</v>
      </c>
      <c r="H86" s="230">
        <f t="shared" si="93"/>
        <v>552000</v>
      </c>
      <c r="I86" s="239">
        <f>H86*0.1</f>
        <v>55200</v>
      </c>
      <c r="J86" s="239">
        <f>H86*0.8</f>
        <v>441600</v>
      </c>
      <c r="K86" s="239"/>
      <c r="L86" s="239"/>
      <c r="M86" s="239"/>
      <c r="N86" s="239"/>
      <c r="O86" s="239"/>
      <c r="P86" s="239"/>
      <c r="Q86" s="239">
        <f>0.1*H86</f>
        <v>55200</v>
      </c>
      <c r="R86" s="239"/>
      <c r="S86" s="225">
        <f t="shared" si="116"/>
        <v>9.2000000000000011</v>
      </c>
      <c r="T86" s="225">
        <f t="shared" si="117"/>
        <v>55.199999999999996</v>
      </c>
      <c r="U86" s="225">
        <f t="shared" si="118"/>
        <v>23</v>
      </c>
      <c r="V86" s="225">
        <f t="shared" si="119"/>
        <v>4.6000000000000005</v>
      </c>
      <c r="W86" s="221">
        <f t="shared" si="120"/>
        <v>55200.000000000007</v>
      </c>
      <c r="X86" s="221">
        <f t="shared" si="121"/>
        <v>331200</v>
      </c>
      <c r="Y86" s="221">
        <f t="shared" si="122"/>
        <v>138000</v>
      </c>
      <c r="Z86" s="221">
        <f t="shared" si="123"/>
        <v>27600.000000000004</v>
      </c>
      <c r="AA86" s="266">
        <v>22</v>
      </c>
      <c r="AB86" s="221">
        <f t="shared" si="45"/>
        <v>132000</v>
      </c>
      <c r="AC86" s="266"/>
      <c r="AD86" s="225">
        <f t="shared" si="49"/>
        <v>0</v>
      </c>
      <c r="AE86" s="266">
        <v>10</v>
      </c>
      <c r="AF86" s="53">
        <f t="shared" si="94"/>
        <v>60000</v>
      </c>
      <c r="AG86" s="266">
        <v>20</v>
      </c>
      <c r="AH86" s="53">
        <f t="shared" si="95"/>
        <v>120000</v>
      </c>
      <c r="AI86" s="266">
        <v>20</v>
      </c>
      <c r="AJ86" s="53">
        <f t="shared" si="96"/>
        <v>120000</v>
      </c>
      <c r="AK86" s="266"/>
      <c r="AL86" s="53">
        <f t="shared" si="97"/>
        <v>0</v>
      </c>
      <c r="AM86" s="266">
        <v>0</v>
      </c>
      <c r="AN86" s="53">
        <f t="shared" si="98"/>
        <v>0</v>
      </c>
      <c r="AO86" s="266"/>
      <c r="AP86" s="53">
        <f t="shared" si="99"/>
        <v>0</v>
      </c>
      <c r="AQ86" s="266"/>
      <c r="AR86" s="53">
        <f t="shared" si="100"/>
        <v>0</v>
      </c>
      <c r="AS86" s="266">
        <v>14</v>
      </c>
      <c r="AT86" s="53">
        <f t="shared" si="101"/>
        <v>84000</v>
      </c>
      <c r="AU86" s="266"/>
      <c r="AV86" s="53">
        <f t="shared" si="102"/>
        <v>0</v>
      </c>
      <c r="AW86" s="621">
        <v>1</v>
      </c>
      <c r="AX86" s="53">
        <f t="shared" si="103"/>
        <v>6000</v>
      </c>
      <c r="AY86" s="53"/>
      <c r="AZ86" s="53">
        <f t="shared" si="104"/>
        <v>0</v>
      </c>
      <c r="BA86" s="266">
        <v>5</v>
      </c>
      <c r="BB86" s="53">
        <f t="shared" si="105"/>
        <v>30000</v>
      </c>
      <c r="BC86" s="621">
        <v>0</v>
      </c>
      <c r="BD86" s="53">
        <f t="shared" si="106"/>
        <v>0</v>
      </c>
      <c r="BE86" s="224">
        <v>0</v>
      </c>
      <c r="BF86" s="53">
        <f t="shared" si="107"/>
        <v>0</v>
      </c>
      <c r="BG86" s="266">
        <v>0</v>
      </c>
      <c r="BH86" s="53">
        <f t="shared" si="108"/>
        <v>0</v>
      </c>
      <c r="BI86" s="266"/>
      <c r="BJ86" s="53">
        <f t="shared" si="109"/>
        <v>0</v>
      </c>
      <c r="BK86" s="224">
        <f t="shared" si="50"/>
        <v>92</v>
      </c>
      <c r="BL86" s="53">
        <f t="shared" si="50"/>
        <v>552000</v>
      </c>
      <c r="BM86" s="306" t="s">
        <v>480</v>
      </c>
      <c r="BN86" s="682">
        <f t="shared" si="124"/>
        <v>552000</v>
      </c>
      <c r="BO86" s="230"/>
      <c r="BP86" s="113"/>
      <c r="BQ86" s="113">
        <f t="shared" si="115"/>
        <v>552000</v>
      </c>
      <c r="BR86" s="113"/>
      <c r="BS86" s="113">
        <f t="shared" si="65"/>
        <v>552000</v>
      </c>
      <c r="BT86" s="113"/>
      <c r="BU86" s="113"/>
      <c r="BV86" s="113"/>
      <c r="BW86" s="217">
        <f t="shared" si="110"/>
        <v>552000</v>
      </c>
      <c r="BX86" s="39"/>
      <c r="BY86" s="39"/>
      <c r="BZ86" s="39"/>
      <c r="CA86" s="39"/>
      <c r="CB86" s="39"/>
      <c r="CC86" s="39"/>
      <c r="CD86" s="39"/>
      <c r="CE86" s="39"/>
    </row>
    <row r="87" spans="1:83" s="39" customFormat="1" ht="18" customHeight="1" x14ac:dyDescent="0.25">
      <c r="A87" s="910"/>
      <c r="B87" s="240"/>
      <c r="C87" s="241"/>
      <c r="D87" s="233" t="s">
        <v>3</v>
      </c>
      <c r="E87" s="241"/>
      <c r="F87" s="243"/>
      <c r="G87" s="235">
        <f t="shared" si="89"/>
        <v>1414</v>
      </c>
      <c r="H87" s="206">
        <f t="shared" ref="H87:BM87" si="125">SUM(H79:H86)</f>
        <v>10377000</v>
      </c>
      <c r="I87" s="243">
        <f>SUM(I79:I86)</f>
        <v>741900</v>
      </c>
      <c r="J87" s="243">
        <f t="shared" ref="J87:R87" si="126">SUM(J79:J86)</f>
        <v>5935200</v>
      </c>
      <c r="K87" s="243">
        <f t="shared" si="126"/>
        <v>0</v>
      </c>
      <c r="L87" s="243">
        <f t="shared" si="126"/>
        <v>0</v>
      </c>
      <c r="M87" s="243">
        <f t="shared" si="126"/>
        <v>0</v>
      </c>
      <c r="N87" s="243">
        <f t="shared" si="126"/>
        <v>0</v>
      </c>
      <c r="O87" s="243">
        <f t="shared" si="126"/>
        <v>0</v>
      </c>
      <c r="P87" s="243">
        <f t="shared" si="126"/>
        <v>0</v>
      </c>
      <c r="Q87" s="243">
        <f t="shared" si="126"/>
        <v>741900</v>
      </c>
      <c r="R87" s="243">
        <f t="shared" si="126"/>
        <v>2958000</v>
      </c>
      <c r="S87" s="244">
        <f t="shared" si="125"/>
        <v>141.39999999999998</v>
      </c>
      <c r="T87" s="244">
        <f t="shared" si="125"/>
        <v>848.4</v>
      </c>
      <c r="U87" s="244">
        <f t="shared" si="125"/>
        <v>353.5</v>
      </c>
      <c r="V87" s="244">
        <f t="shared" si="125"/>
        <v>70.699999999999989</v>
      </c>
      <c r="W87" s="244">
        <f t="shared" si="125"/>
        <v>1037700</v>
      </c>
      <c r="X87" s="244">
        <f t="shared" si="125"/>
        <v>6226200</v>
      </c>
      <c r="Y87" s="244">
        <f t="shared" si="125"/>
        <v>2594250</v>
      </c>
      <c r="Z87" s="244">
        <f t="shared" si="125"/>
        <v>518850</v>
      </c>
      <c r="AA87" s="244">
        <f t="shared" si="125"/>
        <v>120</v>
      </c>
      <c r="AB87" s="244">
        <f t="shared" si="125"/>
        <v>816000</v>
      </c>
      <c r="AC87" s="244">
        <f t="shared" si="125"/>
        <v>82</v>
      </c>
      <c r="AD87" s="244">
        <f t="shared" si="125"/>
        <v>627000</v>
      </c>
      <c r="AE87" s="244">
        <f t="shared" si="125"/>
        <v>83</v>
      </c>
      <c r="AF87" s="244">
        <f t="shared" si="125"/>
        <v>576000</v>
      </c>
      <c r="AG87" s="244">
        <f t="shared" si="125"/>
        <v>136</v>
      </c>
      <c r="AH87" s="244">
        <f t="shared" si="125"/>
        <v>912000</v>
      </c>
      <c r="AI87" s="244">
        <f t="shared" si="125"/>
        <v>151</v>
      </c>
      <c r="AJ87" s="244">
        <f t="shared" si="125"/>
        <v>1221000</v>
      </c>
      <c r="AK87" s="244">
        <f t="shared" si="125"/>
        <v>34</v>
      </c>
      <c r="AL87" s="244">
        <f t="shared" si="125"/>
        <v>240000</v>
      </c>
      <c r="AM87" s="244">
        <f t="shared" si="125"/>
        <v>107</v>
      </c>
      <c r="AN87" s="244">
        <f t="shared" si="125"/>
        <v>795000</v>
      </c>
      <c r="AO87" s="244">
        <f t="shared" si="125"/>
        <v>67</v>
      </c>
      <c r="AP87" s="244">
        <f t="shared" si="125"/>
        <v>510000</v>
      </c>
      <c r="AQ87" s="244">
        <f t="shared" si="125"/>
        <v>72</v>
      </c>
      <c r="AR87" s="244">
        <f t="shared" si="125"/>
        <v>594000</v>
      </c>
      <c r="AS87" s="244">
        <f t="shared" si="125"/>
        <v>58</v>
      </c>
      <c r="AT87" s="244">
        <f t="shared" si="125"/>
        <v>414000</v>
      </c>
      <c r="AU87" s="244">
        <f t="shared" si="125"/>
        <v>56</v>
      </c>
      <c r="AV87" s="244">
        <f t="shared" si="125"/>
        <v>426000</v>
      </c>
      <c r="AW87" s="244">
        <f t="shared" si="125"/>
        <v>83</v>
      </c>
      <c r="AX87" s="244">
        <f t="shared" si="125"/>
        <v>636000</v>
      </c>
      <c r="AY87" s="244">
        <f t="shared" si="125"/>
        <v>59</v>
      </c>
      <c r="AZ87" s="244">
        <f t="shared" si="125"/>
        <v>453000</v>
      </c>
      <c r="BA87" s="244">
        <f t="shared" si="125"/>
        <v>46</v>
      </c>
      <c r="BB87" s="244">
        <f t="shared" si="125"/>
        <v>327000</v>
      </c>
      <c r="BC87" s="244">
        <f t="shared" si="125"/>
        <v>58</v>
      </c>
      <c r="BD87" s="244">
        <f t="shared" si="125"/>
        <v>399000</v>
      </c>
      <c r="BE87" s="244">
        <f t="shared" si="125"/>
        <v>154</v>
      </c>
      <c r="BF87" s="244">
        <f t="shared" si="125"/>
        <v>1095000</v>
      </c>
      <c r="BG87" s="244">
        <f t="shared" si="125"/>
        <v>48</v>
      </c>
      <c r="BH87" s="244">
        <f t="shared" si="125"/>
        <v>336000</v>
      </c>
      <c r="BI87" s="244">
        <f t="shared" si="125"/>
        <v>0</v>
      </c>
      <c r="BJ87" s="244">
        <f t="shared" si="125"/>
        <v>0</v>
      </c>
      <c r="BK87" s="244">
        <f t="shared" si="50"/>
        <v>1414</v>
      </c>
      <c r="BL87" s="244">
        <f t="shared" si="50"/>
        <v>10377000</v>
      </c>
      <c r="BM87" s="300">
        <f t="shared" si="125"/>
        <v>0</v>
      </c>
      <c r="BN87" s="682">
        <f t="shared" si="124"/>
        <v>10377000</v>
      </c>
      <c r="BO87" s="206">
        <f t="shared" ref="BO87:BW87" si="127">SUM(BO79:BO86)</f>
        <v>0</v>
      </c>
      <c r="BP87" s="206">
        <f t="shared" si="127"/>
        <v>0</v>
      </c>
      <c r="BQ87" s="206">
        <f t="shared" si="127"/>
        <v>10377000</v>
      </c>
      <c r="BR87" s="206">
        <f t="shared" si="127"/>
        <v>0</v>
      </c>
      <c r="BS87" s="206">
        <f t="shared" si="127"/>
        <v>10377000</v>
      </c>
      <c r="BT87" s="206">
        <f t="shared" si="127"/>
        <v>0</v>
      </c>
      <c r="BU87" s="206">
        <f t="shared" si="127"/>
        <v>0</v>
      </c>
      <c r="BV87" s="206">
        <f t="shared" si="127"/>
        <v>0</v>
      </c>
      <c r="BW87" s="206">
        <f t="shared" si="127"/>
        <v>10377000</v>
      </c>
    </row>
    <row r="88" spans="1:83" s="269" customFormat="1" ht="18" customHeight="1" x14ac:dyDescent="0.25">
      <c r="A88" s="910"/>
      <c r="B88" s="219"/>
      <c r="C88" s="38">
        <v>21350</v>
      </c>
      <c r="D88" s="211" t="s">
        <v>154</v>
      </c>
      <c r="E88" s="38"/>
      <c r="F88" s="229"/>
      <c r="G88" s="222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67"/>
      <c r="T88" s="267"/>
      <c r="U88" s="267"/>
      <c r="V88" s="267"/>
      <c r="W88" s="76"/>
      <c r="X88" s="76"/>
      <c r="Y88" s="76"/>
      <c r="Z88" s="76"/>
      <c r="AA88" s="267"/>
      <c r="AB88" s="221">
        <f t="shared" si="45"/>
        <v>0</v>
      </c>
      <c r="AC88" s="267"/>
      <c r="AD88" s="225">
        <f t="shared" si="49"/>
        <v>0</v>
      </c>
      <c r="AE88" s="267"/>
      <c r="AF88" s="53">
        <f t="shared" si="94"/>
        <v>0</v>
      </c>
      <c r="AG88" s="267"/>
      <c r="AH88" s="53">
        <f t="shared" si="95"/>
        <v>0</v>
      </c>
      <c r="AI88" s="267"/>
      <c r="AJ88" s="53">
        <f t="shared" si="96"/>
        <v>0</v>
      </c>
      <c r="AK88" s="267"/>
      <c r="AL88" s="53">
        <f t="shared" si="97"/>
        <v>0</v>
      </c>
      <c r="AM88" s="267"/>
      <c r="AN88" s="53">
        <f t="shared" si="98"/>
        <v>0</v>
      </c>
      <c r="AO88" s="267"/>
      <c r="AP88" s="53">
        <f t="shared" si="99"/>
        <v>0</v>
      </c>
      <c r="AQ88" s="267"/>
      <c r="AR88" s="53">
        <f t="shared" si="100"/>
        <v>0</v>
      </c>
      <c r="AS88" s="267"/>
      <c r="AT88" s="53">
        <f t="shared" si="101"/>
        <v>0</v>
      </c>
      <c r="AU88" s="267"/>
      <c r="AV88" s="53">
        <f t="shared" si="102"/>
        <v>0</v>
      </c>
      <c r="AW88" s="267"/>
      <c r="AX88" s="53">
        <f t="shared" si="103"/>
        <v>0</v>
      </c>
      <c r="AY88" s="76"/>
      <c r="AZ88" s="53">
        <f t="shared" si="104"/>
        <v>0</v>
      </c>
      <c r="BA88" s="267"/>
      <c r="BB88" s="53">
        <f t="shared" si="105"/>
        <v>0</v>
      </c>
      <c r="BC88" s="267"/>
      <c r="BD88" s="53">
        <f t="shared" si="106"/>
        <v>0</v>
      </c>
      <c r="BE88" s="267"/>
      <c r="BF88" s="53">
        <f t="shared" si="107"/>
        <v>0</v>
      </c>
      <c r="BG88" s="267"/>
      <c r="BH88" s="53">
        <f t="shared" si="108"/>
        <v>0</v>
      </c>
      <c r="BI88" s="267"/>
      <c r="BJ88" s="53">
        <f t="shared" si="109"/>
        <v>0</v>
      </c>
      <c r="BK88" s="224"/>
      <c r="BL88" s="53"/>
      <c r="BM88" s="312"/>
      <c r="BN88" s="682">
        <f t="shared" si="124"/>
        <v>0</v>
      </c>
      <c r="BO88" s="230">
        <f>H88</f>
        <v>0</v>
      </c>
      <c r="BP88" s="270"/>
      <c r="BQ88" s="270"/>
      <c r="BR88" s="270"/>
      <c r="BS88" s="113">
        <f t="shared" si="65"/>
        <v>0</v>
      </c>
      <c r="BT88" s="270"/>
      <c r="BU88" s="270"/>
      <c r="BV88" s="113">
        <f>BT88+BU88</f>
        <v>0</v>
      </c>
      <c r="BW88" s="217">
        <f>BS88+BV88</f>
        <v>0</v>
      </c>
    </row>
    <row r="89" spans="1:83" s="273" customFormat="1" ht="18" customHeight="1" x14ac:dyDescent="0.25">
      <c r="A89" s="910"/>
      <c r="B89" s="237"/>
      <c r="C89" s="169"/>
      <c r="D89" s="169" t="s">
        <v>655</v>
      </c>
      <c r="E89" s="169" t="s">
        <v>152</v>
      </c>
      <c r="F89" s="231">
        <v>3000</v>
      </c>
      <c r="G89" s="544">
        <f t="shared" si="89"/>
        <v>50</v>
      </c>
      <c r="H89" s="239">
        <f t="shared" ref="H89:H108" si="128">G89*F89</f>
        <v>150000</v>
      </c>
      <c r="I89" s="239">
        <v>0</v>
      </c>
      <c r="J89" s="239">
        <v>0</v>
      </c>
      <c r="K89" s="239"/>
      <c r="L89" s="239"/>
      <c r="M89" s="239"/>
      <c r="N89" s="239"/>
      <c r="O89" s="239"/>
      <c r="P89" s="239"/>
      <c r="Q89" s="239">
        <v>0</v>
      </c>
      <c r="R89" s="239">
        <f>H89*1</f>
        <v>150000</v>
      </c>
      <c r="S89" s="225">
        <f t="shared" ref="S89" si="129">G89*0.1</f>
        <v>5</v>
      </c>
      <c r="T89" s="225">
        <f t="shared" ref="T89" si="130">G89*0.6</f>
        <v>30</v>
      </c>
      <c r="U89" s="225">
        <f t="shared" ref="U89" si="131">G89*0.25</f>
        <v>12.5</v>
      </c>
      <c r="V89" s="225">
        <f t="shared" ref="V89" si="132">G89*0.05</f>
        <v>2.5</v>
      </c>
      <c r="W89" s="546">
        <f>S89*F89</f>
        <v>15000</v>
      </c>
      <c r="X89" s="546">
        <f>T89*F89</f>
        <v>90000</v>
      </c>
      <c r="Y89" s="546">
        <f>U89*F89</f>
        <v>37500</v>
      </c>
      <c r="Z89" s="546">
        <f>V89*F89</f>
        <v>7500</v>
      </c>
      <c r="AA89" s="272">
        <v>14</v>
      </c>
      <c r="AB89" s="546">
        <f t="shared" si="45"/>
        <v>42000</v>
      </c>
      <c r="AC89" s="272"/>
      <c r="AD89" s="545">
        <f t="shared" si="49"/>
        <v>0</v>
      </c>
      <c r="AE89" s="272">
        <v>0</v>
      </c>
      <c r="AF89" s="547">
        <f t="shared" si="94"/>
        <v>0</v>
      </c>
      <c r="AG89" s="272">
        <v>0</v>
      </c>
      <c r="AH89" s="547">
        <f t="shared" si="95"/>
        <v>0</v>
      </c>
      <c r="AI89" s="272">
        <v>2</v>
      </c>
      <c r="AJ89" s="547">
        <f t="shared" si="96"/>
        <v>6000</v>
      </c>
      <c r="AK89" s="272">
        <v>0</v>
      </c>
      <c r="AL89" s="547">
        <f t="shared" si="97"/>
        <v>0</v>
      </c>
      <c r="AM89" s="272">
        <v>0</v>
      </c>
      <c r="AN89" s="547">
        <f t="shared" si="98"/>
        <v>0</v>
      </c>
      <c r="AO89" s="272">
        <v>0</v>
      </c>
      <c r="AP89" s="547">
        <f t="shared" si="99"/>
        <v>0</v>
      </c>
      <c r="AQ89" s="272">
        <v>0</v>
      </c>
      <c r="AR89" s="547">
        <f t="shared" si="100"/>
        <v>0</v>
      </c>
      <c r="AS89" s="272">
        <v>0</v>
      </c>
      <c r="AT89" s="547">
        <f t="shared" si="101"/>
        <v>0</v>
      </c>
      <c r="AU89" s="272">
        <v>0</v>
      </c>
      <c r="AV89" s="547">
        <f t="shared" si="102"/>
        <v>0</v>
      </c>
      <c r="AW89" s="272">
        <v>4</v>
      </c>
      <c r="AX89" s="547">
        <f t="shared" si="103"/>
        <v>12000</v>
      </c>
      <c r="AY89" s="274">
        <v>0</v>
      </c>
      <c r="AZ89" s="547">
        <f t="shared" si="104"/>
        <v>0</v>
      </c>
      <c r="BA89" s="272">
        <v>4</v>
      </c>
      <c r="BB89" s="547">
        <f t="shared" si="105"/>
        <v>12000</v>
      </c>
      <c r="BC89" s="272">
        <v>0</v>
      </c>
      <c r="BD89" s="547">
        <f t="shared" si="106"/>
        <v>0</v>
      </c>
      <c r="BE89" s="272">
        <v>0</v>
      </c>
      <c r="BF89" s="547">
        <f t="shared" si="107"/>
        <v>0</v>
      </c>
      <c r="BG89" s="272">
        <v>26</v>
      </c>
      <c r="BH89" s="547">
        <f t="shared" si="108"/>
        <v>78000</v>
      </c>
      <c r="BI89" s="272"/>
      <c r="BJ89" s="547">
        <f t="shared" si="109"/>
        <v>0</v>
      </c>
      <c r="BK89" s="266">
        <f t="shared" si="50"/>
        <v>50</v>
      </c>
      <c r="BL89" s="547">
        <f t="shared" si="50"/>
        <v>150000</v>
      </c>
      <c r="BM89" s="550" t="s">
        <v>725</v>
      </c>
      <c r="BN89" s="682">
        <f t="shared" si="124"/>
        <v>150000</v>
      </c>
      <c r="BO89" s="239"/>
      <c r="BP89" s="551"/>
      <c r="BQ89" s="551">
        <f>H89</f>
        <v>150000</v>
      </c>
      <c r="BR89" s="551"/>
      <c r="BS89" s="176">
        <f>BO89+BP89+BQ89+BR89</f>
        <v>150000</v>
      </c>
      <c r="BT89" s="551"/>
      <c r="BU89" s="551"/>
      <c r="BV89" s="176"/>
      <c r="BW89" s="177">
        <f>BS89+BT89+BU89+BV89</f>
        <v>150000</v>
      </c>
    </row>
    <row r="90" spans="1:83" s="273" customFormat="1" ht="18" customHeight="1" x14ac:dyDescent="0.25">
      <c r="A90" s="910"/>
      <c r="B90" s="237"/>
      <c r="C90" s="169"/>
      <c r="D90" s="169" t="s">
        <v>622</v>
      </c>
      <c r="E90" s="169" t="s">
        <v>152</v>
      </c>
      <c r="F90" s="231">
        <v>3000</v>
      </c>
      <c r="G90" s="544">
        <f t="shared" si="89"/>
        <v>332</v>
      </c>
      <c r="H90" s="239">
        <f t="shared" si="128"/>
        <v>996000</v>
      </c>
      <c r="I90" s="239">
        <v>0</v>
      </c>
      <c r="J90" s="239">
        <v>0</v>
      </c>
      <c r="K90" s="239"/>
      <c r="L90" s="239"/>
      <c r="M90" s="239"/>
      <c r="N90" s="239"/>
      <c r="O90" s="239"/>
      <c r="P90" s="239"/>
      <c r="Q90" s="239">
        <v>0</v>
      </c>
      <c r="R90" s="239">
        <f>H90*1</f>
        <v>996000</v>
      </c>
      <c r="S90" s="225">
        <f t="shared" ref="S90:S108" si="133">G90*0.1</f>
        <v>33.200000000000003</v>
      </c>
      <c r="T90" s="225">
        <f t="shared" ref="T90:T108" si="134">G90*0.6</f>
        <v>199.2</v>
      </c>
      <c r="U90" s="225">
        <f t="shared" ref="U90:U108" si="135">G90*0.25</f>
        <v>83</v>
      </c>
      <c r="V90" s="225">
        <f t="shared" ref="V90:V108" si="136">G90*0.05</f>
        <v>16.600000000000001</v>
      </c>
      <c r="W90" s="546">
        <f t="shared" ref="W90:W108" si="137">S90*F90</f>
        <v>99600.000000000015</v>
      </c>
      <c r="X90" s="546">
        <f t="shared" ref="X90:X108" si="138">T90*F90</f>
        <v>597600</v>
      </c>
      <c r="Y90" s="546">
        <f t="shared" ref="Y90:Y108" si="139">U90*F90</f>
        <v>249000</v>
      </c>
      <c r="Z90" s="546">
        <f t="shared" ref="Z90:Z108" si="140">V90*F90</f>
        <v>49800.000000000007</v>
      </c>
      <c r="AA90" s="272">
        <v>15</v>
      </c>
      <c r="AB90" s="546">
        <f t="shared" si="45"/>
        <v>45000</v>
      </c>
      <c r="AC90" s="272">
        <v>15</v>
      </c>
      <c r="AD90" s="545">
        <f t="shared" si="49"/>
        <v>45000</v>
      </c>
      <c r="AE90" s="272">
        <v>15</v>
      </c>
      <c r="AF90" s="547">
        <f t="shared" si="94"/>
        <v>45000</v>
      </c>
      <c r="AG90" s="272">
        <v>15</v>
      </c>
      <c r="AH90" s="547">
        <f t="shared" si="95"/>
        <v>45000</v>
      </c>
      <c r="AI90" s="272">
        <v>15</v>
      </c>
      <c r="AJ90" s="547">
        <f t="shared" si="96"/>
        <v>45000</v>
      </c>
      <c r="AK90" s="272">
        <v>25</v>
      </c>
      <c r="AL90" s="547">
        <f t="shared" si="97"/>
        <v>75000</v>
      </c>
      <c r="AM90" s="272">
        <v>15</v>
      </c>
      <c r="AN90" s="547">
        <f t="shared" si="98"/>
        <v>45000</v>
      </c>
      <c r="AO90" s="272">
        <v>10</v>
      </c>
      <c r="AP90" s="547">
        <f t="shared" si="99"/>
        <v>30000</v>
      </c>
      <c r="AQ90" s="272">
        <v>15</v>
      </c>
      <c r="AR90" s="547">
        <f t="shared" si="100"/>
        <v>45000</v>
      </c>
      <c r="AS90" s="272">
        <v>15</v>
      </c>
      <c r="AT90" s="547">
        <f t="shared" si="101"/>
        <v>45000</v>
      </c>
      <c r="AU90" s="272">
        <v>15</v>
      </c>
      <c r="AV90" s="547">
        <f t="shared" si="102"/>
        <v>45000</v>
      </c>
      <c r="AW90" s="272">
        <v>20</v>
      </c>
      <c r="AX90" s="547">
        <f t="shared" si="103"/>
        <v>60000</v>
      </c>
      <c r="AY90" s="274">
        <v>15</v>
      </c>
      <c r="AZ90" s="547">
        <f t="shared" si="104"/>
        <v>45000</v>
      </c>
      <c r="BA90" s="272">
        <v>20</v>
      </c>
      <c r="BB90" s="547">
        <f t="shared" si="105"/>
        <v>60000</v>
      </c>
      <c r="BC90" s="272">
        <v>20</v>
      </c>
      <c r="BD90" s="547">
        <f t="shared" si="106"/>
        <v>60000</v>
      </c>
      <c r="BE90" s="272">
        <v>30</v>
      </c>
      <c r="BF90" s="547">
        <f t="shared" si="107"/>
        <v>90000</v>
      </c>
      <c r="BG90" s="627">
        <v>57</v>
      </c>
      <c r="BH90" s="547">
        <f t="shared" si="108"/>
        <v>171000</v>
      </c>
      <c r="BI90" s="272"/>
      <c r="BJ90" s="547">
        <f t="shared" si="109"/>
        <v>0</v>
      </c>
      <c r="BK90" s="266">
        <f t="shared" si="50"/>
        <v>332</v>
      </c>
      <c r="BL90" s="547">
        <f t="shared" si="50"/>
        <v>996000</v>
      </c>
      <c r="BM90" s="550" t="s">
        <v>725</v>
      </c>
      <c r="BN90" s="682">
        <f t="shared" si="124"/>
        <v>996000</v>
      </c>
      <c r="BO90" s="239"/>
      <c r="BP90" s="551"/>
      <c r="BQ90" s="551">
        <f t="shared" ref="BQ90:BQ108" si="141">H90</f>
        <v>996000</v>
      </c>
      <c r="BR90" s="551"/>
      <c r="BS90" s="176">
        <f t="shared" ref="BS90:BS108" si="142">BO90+BP90+BQ90+BR90</f>
        <v>996000</v>
      </c>
      <c r="BT90" s="551"/>
      <c r="BU90" s="551"/>
      <c r="BV90" s="176"/>
      <c r="BW90" s="177">
        <f t="shared" ref="BW90:BW108" si="143">BS90+BT90+BU90+BV90</f>
        <v>996000</v>
      </c>
    </row>
    <row r="91" spans="1:83" s="273" customFormat="1" ht="18" customHeight="1" x14ac:dyDescent="0.25">
      <c r="A91" s="910"/>
      <c r="B91" s="237"/>
      <c r="C91" s="169"/>
      <c r="D91" s="639" t="s">
        <v>619</v>
      </c>
      <c r="E91" s="169" t="s">
        <v>152</v>
      </c>
      <c r="F91" s="231">
        <v>10000</v>
      </c>
      <c r="G91" s="544">
        <f t="shared" si="89"/>
        <v>391</v>
      </c>
      <c r="H91" s="239">
        <f t="shared" si="128"/>
        <v>3910000</v>
      </c>
      <c r="I91" s="239">
        <f t="shared" ref="I91:I99" si="144">H91*0.1</f>
        <v>391000</v>
      </c>
      <c r="J91" s="239">
        <f t="shared" ref="J91:J99" si="145">H91*0.8</f>
        <v>3128000</v>
      </c>
      <c r="K91" s="239"/>
      <c r="L91" s="239"/>
      <c r="M91" s="239"/>
      <c r="N91" s="239"/>
      <c r="O91" s="239"/>
      <c r="P91" s="239"/>
      <c r="Q91" s="239">
        <f t="shared" ref="Q91:Q99" si="146">H91*0.1</f>
        <v>391000</v>
      </c>
      <c r="R91" s="239"/>
      <c r="S91" s="225">
        <f t="shared" si="133"/>
        <v>39.1</v>
      </c>
      <c r="T91" s="225">
        <f t="shared" si="134"/>
        <v>234.6</v>
      </c>
      <c r="U91" s="225">
        <f t="shared" si="135"/>
        <v>97.75</v>
      </c>
      <c r="V91" s="225">
        <f t="shared" si="136"/>
        <v>19.55</v>
      </c>
      <c r="W91" s="546">
        <f t="shared" si="137"/>
        <v>391000</v>
      </c>
      <c r="X91" s="546">
        <f t="shared" si="138"/>
        <v>2346000</v>
      </c>
      <c r="Y91" s="546">
        <f t="shared" si="139"/>
        <v>977500</v>
      </c>
      <c r="Z91" s="546">
        <f t="shared" si="140"/>
        <v>195500</v>
      </c>
      <c r="AA91" s="272">
        <v>5</v>
      </c>
      <c r="AB91" s="546">
        <f t="shared" si="45"/>
        <v>50000</v>
      </c>
      <c r="AC91" s="627">
        <v>10</v>
      </c>
      <c r="AD91" s="545">
        <f t="shared" si="49"/>
        <v>100000</v>
      </c>
      <c r="AE91" s="627">
        <v>250</v>
      </c>
      <c r="AF91" s="547">
        <f t="shared" si="94"/>
        <v>2500000</v>
      </c>
      <c r="AG91" s="272">
        <v>0</v>
      </c>
      <c r="AH91" s="547">
        <f t="shared" si="95"/>
        <v>0</v>
      </c>
      <c r="AI91" s="272">
        <v>12</v>
      </c>
      <c r="AJ91" s="547">
        <f t="shared" si="96"/>
        <v>120000</v>
      </c>
      <c r="AK91" s="627">
        <v>7</v>
      </c>
      <c r="AL91" s="547">
        <f t="shared" si="97"/>
        <v>70000</v>
      </c>
      <c r="AM91" s="272">
        <v>0</v>
      </c>
      <c r="AN91" s="547">
        <f t="shared" si="98"/>
        <v>0</v>
      </c>
      <c r="AO91" s="272">
        <v>5</v>
      </c>
      <c r="AP91" s="547">
        <f t="shared" si="99"/>
        <v>50000</v>
      </c>
      <c r="AQ91" s="272"/>
      <c r="AR91" s="547">
        <f t="shared" si="100"/>
        <v>0</v>
      </c>
      <c r="AS91" s="627">
        <v>5</v>
      </c>
      <c r="AT91" s="547">
        <f t="shared" si="101"/>
        <v>50000</v>
      </c>
      <c r="AU91" s="268">
        <v>15</v>
      </c>
      <c r="AV91" s="254">
        <f t="shared" si="102"/>
        <v>150000</v>
      </c>
      <c r="AW91" s="272">
        <v>5</v>
      </c>
      <c r="AX91" s="547">
        <f t="shared" si="103"/>
        <v>50000</v>
      </c>
      <c r="AY91" s="274">
        <v>50</v>
      </c>
      <c r="AZ91" s="547">
        <f t="shared" si="104"/>
        <v>500000</v>
      </c>
      <c r="BA91" s="272">
        <v>5</v>
      </c>
      <c r="BB91" s="547">
        <f t="shared" si="105"/>
        <v>50000</v>
      </c>
      <c r="BC91" s="627">
        <v>0</v>
      </c>
      <c r="BD91" s="547">
        <f t="shared" si="106"/>
        <v>0</v>
      </c>
      <c r="BE91" s="272">
        <v>10</v>
      </c>
      <c r="BF91" s="547">
        <f t="shared" si="107"/>
        <v>100000</v>
      </c>
      <c r="BG91" s="627">
        <v>12</v>
      </c>
      <c r="BH91" s="547">
        <f t="shared" si="108"/>
        <v>120000</v>
      </c>
      <c r="BI91" s="272"/>
      <c r="BJ91" s="547">
        <f t="shared" si="109"/>
        <v>0</v>
      </c>
      <c r="BK91" s="266">
        <f t="shared" si="50"/>
        <v>391</v>
      </c>
      <c r="BL91" s="547">
        <f t="shared" si="50"/>
        <v>3910000</v>
      </c>
      <c r="BM91" s="550" t="s">
        <v>480</v>
      </c>
      <c r="BN91" s="682">
        <f t="shared" si="124"/>
        <v>3910000</v>
      </c>
      <c r="BO91" s="239"/>
      <c r="BP91" s="551"/>
      <c r="BQ91" s="551">
        <f t="shared" si="141"/>
        <v>3910000</v>
      </c>
      <c r="BR91" s="551"/>
      <c r="BS91" s="176">
        <f t="shared" si="142"/>
        <v>3910000</v>
      </c>
      <c r="BT91" s="551"/>
      <c r="BU91" s="551"/>
      <c r="BV91" s="176"/>
      <c r="BW91" s="177">
        <f t="shared" si="143"/>
        <v>3910000</v>
      </c>
    </row>
    <row r="92" spans="1:83" s="273" customFormat="1" ht="19.149999999999999" customHeight="1" x14ac:dyDescent="0.25">
      <c r="A92" s="910"/>
      <c r="B92" s="237"/>
      <c r="C92" s="169"/>
      <c r="D92" s="639" t="s">
        <v>623</v>
      </c>
      <c r="E92" s="169" t="s">
        <v>152</v>
      </c>
      <c r="F92" s="626">
        <v>4000</v>
      </c>
      <c r="G92" s="544">
        <f t="shared" si="89"/>
        <v>348</v>
      </c>
      <c r="H92" s="239">
        <f t="shared" si="128"/>
        <v>1392000</v>
      </c>
      <c r="I92" s="239">
        <f t="shared" si="144"/>
        <v>139200</v>
      </c>
      <c r="J92" s="239">
        <f t="shared" si="145"/>
        <v>1113600</v>
      </c>
      <c r="K92" s="239"/>
      <c r="L92" s="239"/>
      <c r="M92" s="239"/>
      <c r="N92" s="239"/>
      <c r="O92" s="239"/>
      <c r="P92" s="239"/>
      <c r="Q92" s="239">
        <f t="shared" si="146"/>
        <v>139200</v>
      </c>
      <c r="R92" s="239"/>
      <c r="S92" s="225">
        <f t="shared" si="133"/>
        <v>34.800000000000004</v>
      </c>
      <c r="T92" s="225">
        <f t="shared" si="134"/>
        <v>208.79999999999998</v>
      </c>
      <c r="U92" s="225">
        <f t="shared" si="135"/>
        <v>87</v>
      </c>
      <c r="V92" s="225">
        <f t="shared" si="136"/>
        <v>17.400000000000002</v>
      </c>
      <c r="W92" s="546">
        <f t="shared" si="137"/>
        <v>139200.00000000003</v>
      </c>
      <c r="X92" s="546">
        <f t="shared" si="138"/>
        <v>835199.99999999988</v>
      </c>
      <c r="Y92" s="546">
        <f t="shared" si="139"/>
        <v>348000</v>
      </c>
      <c r="Z92" s="546">
        <f t="shared" si="140"/>
        <v>69600.000000000015</v>
      </c>
      <c r="AA92" s="272">
        <v>1</v>
      </c>
      <c r="AB92" s="546">
        <f t="shared" si="45"/>
        <v>4000</v>
      </c>
      <c r="AC92" s="627">
        <v>20</v>
      </c>
      <c r="AD92" s="545">
        <f t="shared" si="49"/>
        <v>80000</v>
      </c>
      <c r="AE92" s="272">
        <v>8</v>
      </c>
      <c r="AF92" s="547">
        <f t="shared" si="94"/>
        <v>32000</v>
      </c>
      <c r="AG92" s="272">
        <v>50</v>
      </c>
      <c r="AH92" s="547">
        <f t="shared" si="95"/>
        <v>200000</v>
      </c>
      <c r="AI92" s="272">
        <v>60</v>
      </c>
      <c r="AJ92" s="547">
        <f t="shared" si="96"/>
        <v>240000</v>
      </c>
      <c r="AK92" s="627">
        <v>20</v>
      </c>
      <c r="AL92" s="547">
        <f t="shared" si="97"/>
        <v>80000</v>
      </c>
      <c r="AM92" s="272">
        <v>100</v>
      </c>
      <c r="AN92" s="547">
        <f t="shared" si="98"/>
        <v>400000</v>
      </c>
      <c r="AO92" s="272"/>
      <c r="AP92" s="547">
        <f t="shared" si="99"/>
        <v>0</v>
      </c>
      <c r="AQ92" s="272">
        <v>20</v>
      </c>
      <c r="AR92" s="547">
        <f t="shared" si="100"/>
        <v>80000</v>
      </c>
      <c r="AS92" s="272">
        <v>3</v>
      </c>
      <c r="AT92" s="547">
        <f t="shared" si="101"/>
        <v>12000</v>
      </c>
      <c r="AU92" s="272">
        <v>10</v>
      </c>
      <c r="AV92" s="547">
        <f t="shared" si="102"/>
        <v>40000</v>
      </c>
      <c r="AW92" s="272">
        <v>4</v>
      </c>
      <c r="AX92" s="547">
        <f t="shared" si="103"/>
        <v>16000</v>
      </c>
      <c r="AY92" s="274">
        <v>30</v>
      </c>
      <c r="AZ92" s="547">
        <f t="shared" si="104"/>
        <v>120000</v>
      </c>
      <c r="BA92" s="272">
        <v>5</v>
      </c>
      <c r="BB92" s="547">
        <f t="shared" si="105"/>
        <v>20000</v>
      </c>
      <c r="BC92" s="272">
        <v>5</v>
      </c>
      <c r="BD92" s="547">
        <f t="shared" si="106"/>
        <v>20000</v>
      </c>
      <c r="BE92" s="272">
        <v>0</v>
      </c>
      <c r="BF92" s="547">
        <f t="shared" si="107"/>
        <v>0</v>
      </c>
      <c r="BG92" s="627">
        <v>12</v>
      </c>
      <c r="BH92" s="547">
        <f t="shared" si="108"/>
        <v>48000</v>
      </c>
      <c r="BI92" s="272"/>
      <c r="BJ92" s="547">
        <f t="shared" si="109"/>
        <v>0</v>
      </c>
      <c r="BK92" s="266">
        <f t="shared" si="50"/>
        <v>348</v>
      </c>
      <c r="BL92" s="547">
        <f t="shared" si="50"/>
        <v>1392000</v>
      </c>
      <c r="BM92" s="550" t="s">
        <v>480</v>
      </c>
      <c r="BN92" s="682">
        <f t="shared" si="124"/>
        <v>1392000</v>
      </c>
      <c r="BO92" s="239"/>
      <c r="BP92" s="551"/>
      <c r="BQ92" s="551">
        <f t="shared" si="141"/>
        <v>1392000</v>
      </c>
      <c r="BR92" s="551"/>
      <c r="BS92" s="176">
        <f t="shared" si="142"/>
        <v>1392000</v>
      </c>
      <c r="BT92" s="551"/>
      <c r="BU92" s="551"/>
      <c r="BV92" s="176"/>
      <c r="BW92" s="177">
        <f t="shared" si="143"/>
        <v>1392000</v>
      </c>
    </row>
    <row r="93" spans="1:83" s="273" customFormat="1" ht="18" customHeight="1" x14ac:dyDescent="0.25">
      <c r="A93" s="910"/>
      <c r="C93" s="169"/>
      <c r="D93" s="639" t="s">
        <v>624</v>
      </c>
      <c r="E93" s="169" t="s">
        <v>152</v>
      </c>
      <c r="F93" s="231">
        <v>9000</v>
      </c>
      <c r="G93" s="544">
        <f t="shared" si="89"/>
        <v>387</v>
      </c>
      <c r="H93" s="239">
        <f t="shared" si="128"/>
        <v>3483000</v>
      </c>
      <c r="I93" s="239">
        <f t="shared" si="144"/>
        <v>348300</v>
      </c>
      <c r="J93" s="239">
        <f t="shared" si="145"/>
        <v>2786400</v>
      </c>
      <c r="K93" s="239"/>
      <c r="L93" s="239"/>
      <c r="M93" s="239"/>
      <c r="N93" s="239"/>
      <c r="O93" s="239"/>
      <c r="P93" s="239"/>
      <c r="Q93" s="239">
        <f t="shared" si="146"/>
        <v>348300</v>
      </c>
      <c r="R93" s="239"/>
      <c r="S93" s="225">
        <f t="shared" si="133"/>
        <v>38.700000000000003</v>
      </c>
      <c r="T93" s="225">
        <f t="shared" si="134"/>
        <v>232.2</v>
      </c>
      <c r="U93" s="225">
        <f t="shared" si="135"/>
        <v>96.75</v>
      </c>
      <c r="V93" s="225">
        <f t="shared" si="136"/>
        <v>19.350000000000001</v>
      </c>
      <c r="W93" s="546">
        <f t="shared" si="137"/>
        <v>348300</v>
      </c>
      <c r="X93" s="546">
        <f t="shared" si="138"/>
        <v>2089800</v>
      </c>
      <c r="Y93" s="546">
        <f t="shared" si="139"/>
        <v>870750</v>
      </c>
      <c r="Z93" s="546">
        <f t="shared" si="140"/>
        <v>174150</v>
      </c>
      <c r="AA93" s="627">
        <v>20</v>
      </c>
      <c r="AB93" s="546">
        <f t="shared" ref="AB93:AB130" si="147">AA93*F93</f>
        <v>180000</v>
      </c>
      <c r="AC93" s="627">
        <v>20</v>
      </c>
      <c r="AD93" s="545">
        <f t="shared" ref="AD93:AD130" si="148">AC93*F93</f>
        <v>180000</v>
      </c>
      <c r="AE93" s="627">
        <v>0</v>
      </c>
      <c r="AF93" s="547">
        <f t="shared" si="94"/>
        <v>0</v>
      </c>
      <c r="AG93" s="272">
        <v>50</v>
      </c>
      <c r="AH93" s="547">
        <f t="shared" si="95"/>
        <v>450000</v>
      </c>
      <c r="AI93" s="272">
        <v>80</v>
      </c>
      <c r="AJ93" s="547">
        <f t="shared" si="96"/>
        <v>720000</v>
      </c>
      <c r="AK93" s="272">
        <v>5</v>
      </c>
      <c r="AL93" s="547">
        <f t="shared" si="97"/>
        <v>45000</v>
      </c>
      <c r="AM93" s="272">
        <v>75</v>
      </c>
      <c r="AN93" s="547">
        <f t="shared" si="98"/>
        <v>675000</v>
      </c>
      <c r="AO93" s="272">
        <v>0</v>
      </c>
      <c r="AP93" s="547">
        <f t="shared" si="99"/>
        <v>0</v>
      </c>
      <c r="AQ93" s="272">
        <v>9</v>
      </c>
      <c r="AR93" s="547">
        <f t="shared" si="100"/>
        <v>81000</v>
      </c>
      <c r="AS93" s="272">
        <v>21</v>
      </c>
      <c r="AT93" s="547">
        <f t="shared" si="101"/>
        <v>189000</v>
      </c>
      <c r="AU93" s="272">
        <v>0</v>
      </c>
      <c r="AV93" s="547">
        <f t="shared" si="102"/>
        <v>0</v>
      </c>
      <c r="AW93" s="627">
        <v>1</v>
      </c>
      <c r="AX93" s="547">
        <f t="shared" si="103"/>
        <v>9000</v>
      </c>
      <c r="AY93" s="274">
        <v>26</v>
      </c>
      <c r="AZ93" s="547">
        <f t="shared" si="104"/>
        <v>234000</v>
      </c>
      <c r="BA93" s="272">
        <v>10</v>
      </c>
      <c r="BB93" s="547">
        <f t="shared" si="105"/>
        <v>90000</v>
      </c>
      <c r="BC93" s="627">
        <v>0</v>
      </c>
      <c r="BD93" s="547">
        <f t="shared" si="106"/>
        <v>0</v>
      </c>
      <c r="BE93" s="272">
        <v>50</v>
      </c>
      <c r="BF93" s="547">
        <f t="shared" si="107"/>
        <v>450000</v>
      </c>
      <c r="BG93" s="627">
        <v>20</v>
      </c>
      <c r="BH93" s="547">
        <f t="shared" si="108"/>
        <v>180000</v>
      </c>
      <c r="BI93" s="272"/>
      <c r="BJ93" s="547">
        <f t="shared" si="109"/>
        <v>0</v>
      </c>
      <c r="BK93" s="266">
        <f t="shared" si="50"/>
        <v>387</v>
      </c>
      <c r="BL93" s="547">
        <f t="shared" si="50"/>
        <v>3483000</v>
      </c>
      <c r="BM93" s="550" t="s">
        <v>480</v>
      </c>
      <c r="BN93" s="682">
        <f t="shared" si="124"/>
        <v>3483000</v>
      </c>
      <c r="BO93" s="239"/>
      <c r="BP93" s="551"/>
      <c r="BQ93" s="551">
        <f t="shared" si="141"/>
        <v>3483000</v>
      </c>
      <c r="BR93" s="551"/>
      <c r="BS93" s="176">
        <f t="shared" si="142"/>
        <v>3483000</v>
      </c>
      <c r="BT93" s="551"/>
      <c r="BU93" s="551"/>
      <c r="BV93" s="176"/>
      <c r="BW93" s="177">
        <f t="shared" si="143"/>
        <v>3483000</v>
      </c>
    </row>
    <row r="94" spans="1:83" s="273" customFormat="1" ht="18" customHeight="1" x14ac:dyDescent="0.25">
      <c r="A94" s="910"/>
      <c r="B94" s="237"/>
      <c r="C94" s="169"/>
      <c r="D94" s="639" t="s">
        <v>625</v>
      </c>
      <c r="E94" s="169" t="s">
        <v>152</v>
      </c>
      <c r="F94" s="231">
        <v>9000</v>
      </c>
      <c r="G94" s="544">
        <f t="shared" si="89"/>
        <v>255</v>
      </c>
      <c r="H94" s="239">
        <f t="shared" si="128"/>
        <v>2295000</v>
      </c>
      <c r="I94" s="239">
        <f t="shared" si="144"/>
        <v>229500</v>
      </c>
      <c r="J94" s="239">
        <f t="shared" si="145"/>
        <v>1836000</v>
      </c>
      <c r="K94" s="239"/>
      <c r="L94" s="239"/>
      <c r="M94" s="239"/>
      <c r="N94" s="239"/>
      <c r="O94" s="239"/>
      <c r="P94" s="239"/>
      <c r="Q94" s="239">
        <f t="shared" si="146"/>
        <v>229500</v>
      </c>
      <c r="R94" s="239"/>
      <c r="S94" s="225">
        <f t="shared" si="133"/>
        <v>25.5</v>
      </c>
      <c r="T94" s="225">
        <f t="shared" si="134"/>
        <v>153</v>
      </c>
      <c r="U94" s="225">
        <f t="shared" si="135"/>
        <v>63.75</v>
      </c>
      <c r="V94" s="225">
        <f t="shared" si="136"/>
        <v>12.75</v>
      </c>
      <c r="W94" s="546">
        <f t="shared" si="137"/>
        <v>229500</v>
      </c>
      <c r="X94" s="546">
        <f t="shared" si="138"/>
        <v>1377000</v>
      </c>
      <c r="Y94" s="546">
        <f t="shared" si="139"/>
        <v>573750</v>
      </c>
      <c r="Z94" s="546">
        <f t="shared" si="140"/>
        <v>114750</v>
      </c>
      <c r="AA94" s="272">
        <v>10</v>
      </c>
      <c r="AB94" s="546">
        <f t="shared" si="147"/>
        <v>90000</v>
      </c>
      <c r="AC94" s="755">
        <v>0</v>
      </c>
      <c r="AD94" s="545">
        <f t="shared" si="148"/>
        <v>0</v>
      </c>
      <c r="AE94" s="272">
        <v>40</v>
      </c>
      <c r="AF94" s="547">
        <f t="shared" si="94"/>
        <v>360000</v>
      </c>
      <c r="AG94" s="272">
        <v>10</v>
      </c>
      <c r="AH94" s="547">
        <f t="shared" si="95"/>
        <v>90000</v>
      </c>
      <c r="AI94" s="272">
        <v>50</v>
      </c>
      <c r="AJ94" s="547">
        <f t="shared" si="96"/>
        <v>450000</v>
      </c>
      <c r="AK94" s="272">
        <v>4</v>
      </c>
      <c r="AL94" s="547">
        <f t="shared" si="97"/>
        <v>36000</v>
      </c>
      <c r="AM94" s="272">
        <v>0</v>
      </c>
      <c r="AN94" s="547">
        <f t="shared" si="98"/>
        <v>0</v>
      </c>
      <c r="AO94" s="627">
        <v>0</v>
      </c>
      <c r="AP94" s="547">
        <f t="shared" si="99"/>
        <v>0</v>
      </c>
      <c r="AQ94" s="272"/>
      <c r="AR94" s="547">
        <f t="shared" si="100"/>
        <v>0</v>
      </c>
      <c r="AS94" s="627">
        <v>0</v>
      </c>
      <c r="AT94" s="547">
        <f t="shared" si="101"/>
        <v>0</v>
      </c>
      <c r="AU94" s="272">
        <v>48</v>
      </c>
      <c r="AV94" s="547">
        <f t="shared" si="102"/>
        <v>432000</v>
      </c>
      <c r="AW94" s="272">
        <v>50</v>
      </c>
      <c r="AX94" s="547">
        <f t="shared" si="103"/>
        <v>450000</v>
      </c>
      <c r="AY94" s="274">
        <v>20</v>
      </c>
      <c r="AZ94" s="547">
        <f t="shared" si="104"/>
        <v>180000</v>
      </c>
      <c r="BA94" s="272">
        <v>10</v>
      </c>
      <c r="BB94" s="547">
        <f t="shared" si="105"/>
        <v>90000</v>
      </c>
      <c r="BC94" s="627">
        <v>12</v>
      </c>
      <c r="BD94" s="547">
        <f t="shared" si="106"/>
        <v>108000</v>
      </c>
      <c r="BE94" s="627">
        <v>0</v>
      </c>
      <c r="BF94" s="547">
        <f t="shared" si="107"/>
        <v>0</v>
      </c>
      <c r="BG94" s="272">
        <v>1</v>
      </c>
      <c r="BH94" s="547">
        <f t="shared" si="108"/>
        <v>9000</v>
      </c>
      <c r="BI94" s="272"/>
      <c r="BJ94" s="547">
        <f t="shared" si="109"/>
        <v>0</v>
      </c>
      <c r="BK94" s="266">
        <f t="shared" si="50"/>
        <v>255</v>
      </c>
      <c r="BL94" s="547">
        <f t="shared" si="50"/>
        <v>2295000</v>
      </c>
      <c r="BM94" s="550" t="s">
        <v>480</v>
      </c>
      <c r="BN94" s="682">
        <f t="shared" si="124"/>
        <v>2295000</v>
      </c>
      <c r="BO94" s="239"/>
      <c r="BP94" s="551"/>
      <c r="BQ94" s="551">
        <f t="shared" si="141"/>
        <v>2295000</v>
      </c>
      <c r="BR94" s="551"/>
      <c r="BS94" s="176">
        <f t="shared" si="142"/>
        <v>2295000</v>
      </c>
      <c r="BT94" s="551"/>
      <c r="BU94" s="551"/>
      <c r="BV94" s="176"/>
      <c r="BW94" s="177">
        <f t="shared" si="143"/>
        <v>2295000</v>
      </c>
    </row>
    <row r="95" spans="1:83" s="273" customFormat="1" ht="18" customHeight="1" x14ac:dyDescent="0.25">
      <c r="A95" s="910"/>
      <c r="B95" s="237"/>
      <c r="C95" s="169"/>
      <c r="D95" s="639" t="s">
        <v>626</v>
      </c>
      <c r="E95" s="169" t="s">
        <v>152</v>
      </c>
      <c r="F95" s="231">
        <v>9000</v>
      </c>
      <c r="G95" s="544">
        <f t="shared" si="89"/>
        <v>90</v>
      </c>
      <c r="H95" s="239">
        <f t="shared" si="128"/>
        <v>810000</v>
      </c>
      <c r="I95" s="239">
        <f t="shared" si="144"/>
        <v>81000</v>
      </c>
      <c r="J95" s="239">
        <f t="shared" si="145"/>
        <v>648000</v>
      </c>
      <c r="K95" s="239"/>
      <c r="L95" s="239"/>
      <c r="M95" s="239"/>
      <c r="N95" s="239"/>
      <c r="O95" s="239"/>
      <c r="P95" s="239"/>
      <c r="Q95" s="239">
        <f t="shared" si="146"/>
        <v>81000</v>
      </c>
      <c r="R95" s="239"/>
      <c r="S95" s="225">
        <f t="shared" si="133"/>
        <v>9</v>
      </c>
      <c r="T95" s="225">
        <f t="shared" si="134"/>
        <v>54</v>
      </c>
      <c r="U95" s="225">
        <f t="shared" si="135"/>
        <v>22.5</v>
      </c>
      <c r="V95" s="225">
        <f t="shared" si="136"/>
        <v>4.5</v>
      </c>
      <c r="W95" s="546">
        <f t="shared" si="137"/>
        <v>81000</v>
      </c>
      <c r="X95" s="546">
        <f t="shared" si="138"/>
        <v>486000</v>
      </c>
      <c r="Y95" s="546">
        <f t="shared" si="139"/>
        <v>202500</v>
      </c>
      <c r="Z95" s="546">
        <f t="shared" si="140"/>
        <v>40500</v>
      </c>
      <c r="AA95" s="272">
        <v>10</v>
      </c>
      <c r="AB95" s="546">
        <f t="shared" si="147"/>
        <v>90000</v>
      </c>
      <c r="AC95" s="755">
        <v>0</v>
      </c>
      <c r="AD95" s="545">
        <f t="shared" si="148"/>
        <v>0</v>
      </c>
      <c r="AE95" s="272"/>
      <c r="AF95" s="547">
        <f t="shared" si="94"/>
        <v>0</v>
      </c>
      <c r="AG95" s="272">
        <v>10</v>
      </c>
      <c r="AH95" s="547">
        <f t="shared" si="95"/>
        <v>90000</v>
      </c>
      <c r="AI95" s="627">
        <v>10</v>
      </c>
      <c r="AJ95" s="547">
        <f t="shared" si="96"/>
        <v>90000</v>
      </c>
      <c r="AK95" s="272">
        <v>5</v>
      </c>
      <c r="AL95" s="547">
        <f t="shared" si="97"/>
        <v>45000</v>
      </c>
      <c r="AM95" s="272">
        <v>0</v>
      </c>
      <c r="AN95" s="547">
        <f t="shared" si="98"/>
        <v>0</v>
      </c>
      <c r="AO95" s="272">
        <v>5</v>
      </c>
      <c r="AP95" s="547">
        <f t="shared" si="99"/>
        <v>45000</v>
      </c>
      <c r="AQ95" s="272"/>
      <c r="AR95" s="547">
        <f t="shared" si="100"/>
        <v>0</v>
      </c>
      <c r="AS95" s="627">
        <v>0</v>
      </c>
      <c r="AT95" s="547">
        <f t="shared" si="101"/>
        <v>0</v>
      </c>
      <c r="AU95" s="272">
        <v>16</v>
      </c>
      <c r="AV95" s="547">
        <f t="shared" si="102"/>
        <v>144000</v>
      </c>
      <c r="AW95" s="272">
        <v>2</v>
      </c>
      <c r="AX95" s="547">
        <f t="shared" si="103"/>
        <v>18000</v>
      </c>
      <c r="AY95" s="274">
        <v>20</v>
      </c>
      <c r="AZ95" s="547">
        <f t="shared" si="104"/>
        <v>180000</v>
      </c>
      <c r="BA95" s="272"/>
      <c r="BB95" s="547">
        <f t="shared" si="105"/>
        <v>0</v>
      </c>
      <c r="BC95" s="627">
        <v>12</v>
      </c>
      <c r="BD95" s="547">
        <f t="shared" si="106"/>
        <v>108000</v>
      </c>
      <c r="BE95" s="627">
        <v>0</v>
      </c>
      <c r="BF95" s="547">
        <f t="shared" si="107"/>
        <v>0</v>
      </c>
      <c r="BG95" s="272">
        <v>0</v>
      </c>
      <c r="BH95" s="547">
        <f t="shared" si="108"/>
        <v>0</v>
      </c>
      <c r="BI95" s="272"/>
      <c r="BJ95" s="547">
        <f t="shared" si="109"/>
        <v>0</v>
      </c>
      <c r="BK95" s="266">
        <f t="shared" si="50"/>
        <v>90</v>
      </c>
      <c r="BL95" s="547">
        <f t="shared" si="50"/>
        <v>810000</v>
      </c>
      <c r="BM95" s="550" t="s">
        <v>480</v>
      </c>
      <c r="BN95" s="682">
        <f t="shared" si="124"/>
        <v>810000</v>
      </c>
      <c r="BO95" s="239"/>
      <c r="BP95" s="551"/>
      <c r="BQ95" s="551">
        <f t="shared" si="141"/>
        <v>810000</v>
      </c>
      <c r="BR95" s="551"/>
      <c r="BS95" s="176">
        <f t="shared" si="142"/>
        <v>810000</v>
      </c>
      <c r="BT95" s="551"/>
      <c r="BU95" s="551"/>
      <c r="BV95" s="176"/>
      <c r="BW95" s="177">
        <f t="shared" si="143"/>
        <v>810000</v>
      </c>
    </row>
    <row r="96" spans="1:83" s="273" customFormat="1" ht="17.25" customHeight="1" x14ac:dyDescent="0.25">
      <c r="A96" s="910"/>
      <c r="B96" s="237"/>
      <c r="C96" s="169"/>
      <c r="D96" s="622" t="s">
        <v>634</v>
      </c>
      <c r="E96" s="169" t="s">
        <v>152</v>
      </c>
      <c r="F96" s="231">
        <v>9000</v>
      </c>
      <c r="G96" s="544">
        <f t="shared" si="89"/>
        <v>86</v>
      </c>
      <c r="H96" s="239">
        <f t="shared" si="128"/>
        <v>774000</v>
      </c>
      <c r="I96" s="239">
        <f t="shared" si="144"/>
        <v>77400</v>
      </c>
      <c r="J96" s="239">
        <f t="shared" si="145"/>
        <v>619200</v>
      </c>
      <c r="K96" s="239"/>
      <c r="L96" s="239"/>
      <c r="M96" s="239"/>
      <c r="N96" s="239"/>
      <c r="O96" s="239"/>
      <c r="P96" s="239"/>
      <c r="Q96" s="239">
        <f t="shared" si="146"/>
        <v>77400</v>
      </c>
      <c r="R96" s="239"/>
      <c r="S96" s="225">
        <f t="shared" si="133"/>
        <v>8.6</v>
      </c>
      <c r="T96" s="225">
        <f t="shared" si="134"/>
        <v>51.6</v>
      </c>
      <c r="U96" s="225">
        <f t="shared" si="135"/>
        <v>21.5</v>
      </c>
      <c r="V96" s="225">
        <f t="shared" si="136"/>
        <v>4.3</v>
      </c>
      <c r="W96" s="546">
        <f t="shared" si="137"/>
        <v>77400</v>
      </c>
      <c r="X96" s="546">
        <f t="shared" si="138"/>
        <v>464400</v>
      </c>
      <c r="Y96" s="546">
        <f t="shared" si="139"/>
        <v>193500</v>
      </c>
      <c r="Z96" s="546">
        <f t="shared" si="140"/>
        <v>38700</v>
      </c>
      <c r="AA96" s="272">
        <v>20</v>
      </c>
      <c r="AB96" s="546">
        <f t="shared" si="147"/>
        <v>180000</v>
      </c>
      <c r="AC96" s="272"/>
      <c r="AD96" s="545">
        <f t="shared" si="148"/>
        <v>0</v>
      </c>
      <c r="AE96" s="272">
        <v>5</v>
      </c>
      <c r="AF96" s="547">
        <f t="shared" si="94"/>
        <v>45000</v>
      </c>
      <c r="AG96" s="272">
        <v>20</v>
      </c>
      <c r="AH96" s="547">
        <f t="shared" si="95"/>
        <v>180000</v>
      </c>
      <c r="AI96" s="627">
        <v>0</v>
      </c>
      <c r="AJ96" s="547">
        <f t="shared" si="96"/>
        <v>0</v>
      </c>
      <c r="AK96" s="272">
        <v>0</v>
      </c>
      <c r="AL96" s="547">
        <f t="shared" si="97"/>
        <v>0</v>
      </c>
      <c r="AM96" s="272">
        <v>0</v>
      </c>
      <c r="AN96" s="547">
        <f t="shared" si="98"/>
        <v>0</v>
      </c>
      <c r="AO96" s="272">
        <v>5</v>
      </c>
      <c r="AP96" s="547">
        <f t="shared" si="99"/>
        <v>45000</v>
      </c>
      <c r="AQ96" s="272"/>
      <c r="AR96" s="547">
        <f t="shared" si="100"/>
        <v>0</v>
      </c>
      <c r="AS96" s="272">
        <v>0</v>
      </c>
      <c r="AT96" s="547">
        <f t="shared" si="101"/>
        <v>0</v>
      </c>
      <c r="AU96" s="272"/>
      <c r="AV96" s="547">
        <f t="shared" si="102"/>
        <v>0</v>
      </c>
      <c r="AW96" s="272">
        <v>5</v>
      </c>
      <c r="AX96" s="547">
        <f t="shared" si="103"/>
        <v>45000</v>
      </c>
      <c r="AY96" s="274">
        <v>0</v>
      </c>
      <c r="AZ96" s="547">
        <f t="shared" si="104"/>
        <v>0</v>
      </c>
      <c r="BA96" s="272">
        <v>0</v>
      </c>
      <c r="BB96" s="547">
        <f t="shared" si="105"/>
        <v>0</v>
      </c>
      <c r="BC96" s="272">
        <v>20</v>
      </c>
      <c r="BD96" s="547">
        <f t="shared" si="106"/>
        <v>180000</v>
      </c>
      <c r="BE96" s="272">
        <v>10</v>
      </c>
      <c r="BF96" s="547">
        <f t="shared" si="107"/>
        <v>90000</v>
      </c>
      <c r="BG96" s="272">
        <v>1</v>
      </c>
      <c r="BH96" s="547">
        <f t="shared" si="108"/>
        <v>9000</v>
      </c>
      <c r="BI96" s="272"/>
      <c r="BJ96" s="547">
        <f t="shared" si="109"/>
        <v>0</v>
      </c>
      <c r="BK96" s="266">
        <f t="shared" ref="BK96:BL130" si="149">AA96+AC96+AE96+AG96+AI96+AK96+AM96+AO96+AQ96+AS96+AU96+AW96+AY96+BA96+BC96+BE96+BG96+BI96</f>
        <v>86</v>
      </c>
      <c r="BL96" s="547">
        <f t="shared" si="149"/>
        <v>774000</v>
      </c>
      <c r="BM96" s="550" t="s">
        <v>480</v>
      </c>
      <c r="BN96" s="682">
        <f t="shared" si="124"/>
        <v>774000</v>
      </c>
      <c r="BO96" s="239"/>
      <c r="BP96" s="551"/>
      <c r="BQ96" s="551">
        <f t="shared" si="141"/>
        <v>774000</v>
      </c>
      <c r="BR96" s="551"/>
      <c r="BS96" s="176">
        <f t="shared" si="142"/>
        <v>774000</v>
      </c>
      <c r="BT96" s="551"/>
      <c r="BU96" s="551"/>
      <c r="BV96" s="176"/>
      <c r="BW96" s="177">
        <f t="shared" si="143"/>
        <v>774000</v>
      </c>
    </row>
    <row r="97" spans="1:83" s="273" customFormat="1" ht="18" customHeight="1" x14ac:dyDescent="0.25">
      <c r="A97" s="910"/>
      <c r="B97" s="237"/>
      <c r="C97" s="169"/>
      <c r="D97" s="639" t="s">
        <v>628</v>
      </c>
      <c r="E97" s="169" t="s">
        <v>152</v>
      </c>
      <c r="F97" s="231">
        <v>80000</v>
      </c>
      <c r="G97" s="544">
        <f>BK97</f>
        <v>227</v>
      </c>
      <c r="H97" s="239">
        <f t="shared" si="128"/>
        <v>18160000</v>
      </c>
      <c r="I97" s="239">
        <f>H97*0.1</f>
        <v>1816000</v>
      </c>
      <c r="J97" s="239">
        <f>H97*0.8</f>
        <v>14528000</v>
      </c>
      <c r="K97" s="239"/>
      <c r="L97" s="239"/>
      <c r="M97" s="239"/>
      <c r="N97" s="239"/>
      <c r="O97" s="239"/>
      <c r="P97" s="239"/>
      <c r="Q97" s="239">
        <f>H97*0.1</f>
        <v>1816000</v>
      </c>
      <c r="R97" s="239"/>
      <c r="S97" s="225">
        <f t="shared" si="133"/>
        <v>22.700000000000003</v>
      </c>
      <c r="T97" s="225">
        <f t="shared" si="134"/>
        <v>136.19999999999999</v>
      </c>
      <c r="U97" s="225">
        <f t="shared" si="135"/>
        <v>56.75</v>
      </c>
      <c r="V97" s="225">
        <f t="shared" si="136"/>
        <v>11.350000000000001</v>
      </c>
      <c r="W97" s="546">
        <f t="shared" si="137"/>
        <v>1816000.0000000002</v>
      </c>
      <c r="X97" s="546">
        <f t="shared" si="138"/>
        <v>10896000</v>
      </c>
      <c r="Y97" s="546">
        <f t="shared" si="139"/>
        <v>4540000</v>
      </c>
      <c r="Z97" s="546">
        <f t="shared" si="140"/>
        <v>908000.00000000012</v>
      </c>
      <c r="AA97" s="272"/>
      <c r="AB97" s="546">
        <f>AA97*F97</f>
        <v>0</v>
      </c>
      <c r="AC97" s="627">
        <v>30</v>
      </c>
      <c r="AD97" s="545">
        <f>AC97*F97</f>
        <v>2400000</v>
      </c>
      <c r="AE97" s="272"/>
      <c r="AF97" s="547">
        <f>AE97*F97</f>
        <v>0</v>
      </c>
      <c r="AG97" s="272">
        <v>20</v>
      </c>
      <c r="AH97" s="689">
        <f>AG97*F97</f>
        <v>1600000</v>
      </c>
      <c r="AI97" s="272">
        <v>10</v>
      </c>
      <c r="AJ97" s="547">
        <f>AI97*F97</f>
        <v>800000</v>
      </c>
      <c r="AK97" s="272">
        <v>10</v>
      </c>
      <c r="AL97" s="547">
        <f>AK97*F97</f>
        <v>800000</v>
      </c>
      <c r="AM97" s="272">
        <v>5</v>
      </c>
      <c r="AN97" s="547">
        <f>AM97*F97</f>
        <v>400000</v>
      </c>
      <c r="AO97" s="627">
        <v>8</v>
      </c>
      <c r="AP97" s="547">
        <f>AO97*F97</f>
        <v>640000</v>
      </c>
      <c r="AQ97" s="272">
        <v>5</v>
      </c>
      <c r="AR97" s="547">
        <f>AQ97*F97</f>
        <v>400000</v>
      </c>
      <c r="AS97" s="272"/>
      <c r="AT97" s="547">
        <f>AS97*F97</f>
        <v>0</v>
      </c>
      <c r="AU97" s="627">
        <v>44</v>
      </c>
      <c r="AV97" s="547">
        <f>AU97*F97</f>
        <v>3520000</v>
      </c>
      <c r="AW97" s="272">
        <v>30</v>
      </c>
      <c r="AX97" s="547">
        <f>AW97*F97</f>
        <v>2400000</v>
      </c>
      <c r="AY97" s="757">
        <v>33</v>
      </c>
      <c r="AZ97" s="547">
        <f>AY97*F97</f>
        <v>2640000</v>
      </c>
      <c r="BA97" s="627">
        <v>2</v>
      </c>
      <c r="BB97" s="547">
        <f>BA97*F97</f>
        <v>160000</v>
      </c>
      <c r="BC97" s="627">
        <v>0</v>
      </c>
      <c r="BD97" s="547">
        <f>BC97*F97</f>
        <v>0</v>
      </c>
      <c r="BE97" s="272">
        <v>10</v>
      </c>
      <c r="BF97" s="547">
        <f>BE97*F97</f>
        <v>800000</v>
      </c>
      <c r="BG97" s="627">
        <v>20</v>
      </c>
      <c r="BH97" s="547">
        <f>BG97*F97</f>
        <v>1600000</v>
      </c>
      <c r="BI97" s="272"/>
      <c r="BJ97" s="547">
        <f>BI97*F97</f>
        <v>0</v>
      </c>
      <c r="BK97" s="266">
        <f>AA97+AC97+AE97+AG97+AI97+AK97+AM97+AO97+AQ97+AS97+AU97+AW97+AY97+BA97+BC97+BE97+BG97+BI97</f>
        <v>227</v>
      </c>
      <c r="BL97" s="547">
        <f>AB97+AD97+AF97+AH97+AJ97+AL97+AN97+AP97+AR97+AT97+AV97+AX97+AZ97+BB97+BD97+BF97+BH97+BJ97</f>
        <v>18160000</v>
      </c>
      <c r="BM97" s="550" t="s">
        <v>480</v>
      </c>
      <c r="BN97" s="682">
        <f t="shared" si="124"/>
        <v>18160000</v>
      </c>
      <c r="BO97" s="239"/>
      <c r="BP97" s="551"/>
      <c r="BQ97" s="551">
        <f>H97</f>
        <v>18160000</v>
      </c>
      <c r="BR97" s="551"/>
      <c r="BS97" s="176">
        <f>BO97+BP97+BQ97+BR97</f>
        <v>18160000</v>
      </c>
      <c r="BT97" s="551"/>
      <c r="BU97" s="551"/>
      <c r="BV97" s="176"/>
      <c r="BW97" s="177">
        <f>BS97+BT97+BU97+BV97</f>
        <v>18160000</v>
      </c>
    </row>
    <row r="98" spans="1:83" s="273" customFormat="1" ht="20.25" customHeight="1" x14ac:dyDescent="0.25">
      <c r="A98" s="910"/>
      <c r="B98" s="237"/>
      <c r="C98" s="169"/>
      <c r="D98" s="639" t="s">
        <v>630</v>
      </c>
      <c r="E98" s="169" t="s">
        <v>152</v>
      </c>
      <c r="F98" s="231">
        <v>22000</v>
      </c>
      <c r="G98" s="544">
        <f>BK98</f>
        <v>9</v>
      </c>
      <c r="H98" s="239">
        <f t="shared" si="128"/>
        <v>198000</v>
      </c>
      <c r="I98" s="239">
        <f>H98*0.1</f>
        <v>19800</v>
      </c>
      <c r="J98" s="239">
        <f>H98*0.8</f>
        <v>158400</v>
      </c>
      <c r="K98" s="239"/>
      <c r="L98" s="239"/>
      <c r="M98" s="239"/>
      <c r="N98" s="239"/>
      <c r="O98" s="239"/>
      <c r="P98" s="239"/>
      <c r="Q98" s="239">
        <f>H98*0.1</f>
        <v>19800</v>
      </c>
      <c r="R98" s="239"/>
      <c r="S98" s="225">
        <f t="shared" si="133"/>
        <v>0.9</v>
      </c>
      <c r="T98" s="225">
        <f t="shared" si="134"/>
        <v>5.3999999999999995</v>
      </c>
      <c r="U98" s="225">
        <f t="shared" si="135"/>
        <v>2.25</v>
      </c>
      <c r="V98" s="225">
        <f t="shared" si="136"/>
        <v>0.45</v>
      </c>
      <c r="W98" s="546">
        <f t="shared" si="137"/>
        <v>19800</v>
      </c>
      <c r="X98" s="546">
        <f t="shared" si="138"/>
        <v>118799.99999999999</v>
      </c>
      <c r="Y98" s="546">
        <f t="shared" si="139"/>
        <v>49500</v>
      </c>
      <c r="Z98" s="546">
        <f t="shared" si="140"/>
        <v>9900</v>
      </c>
      <c r="AA98" s="272">
        <v>5</v>
      </c>
      <c r="AB98" s="546">
        <f>AA98*F98</f>
        <v>110000</v>
      </c>
      <c r="AC98" s="272">
        <v>4</v>
      </c>
      <c r="AD98" s="545">
        <f>AC98*F98</f>
        <v>88000</v>
      </c>
      <c r="AE98" s="272"/>
      <c r="AF98" s="547">
        <f>AE98*F98</f>
        <v>0</v>
      </c>
      <c r="AG98" s="268">
        <v>0</v>
      </c>
      <c r="AH98" s="547">
        <f>AG98*F98</f>
        <v>0</v>
      </c>
      <c r="AI98" s="272"/>
      <c r="AJ98" s="547">
        <f>AI98*F98</f>
        <v>0</v>
      </c>
      <c r="AK98" s="272">
        <v>0</v>
      </c>
      <c r="AL98" s="547">
        <f>AK98*F98</f>
        <v>0</v>
      </c>
      <c r="AM98" s="627">
        <v>0</v>
      </c>
      <c r="AN98" s="547">
        <f>AM98*F98</f>
        <v>0</v>
      </c>
      <c r="AO98" s="627">
        <v>0</v>
      </c>
      <c r="AP98" s="547">
        <f>AO98*F98</f>
        <v>0</v>
      </c>
      <c r="AQ98" s="272"/>
      <c r="AR98" s="547">
        <f>AQ98*F98</f>
        <v>0</v>
      </c>
      <c r="AS98" s="627">
        <v>0</v>
      </c>
      <c r="AT98" s="547">
        <f>AS98*F98</f>
        <v>0</v>
      </c>
      <c r="AU98" s="272"/>
      <c r="AV98" s="547">
        <f>AU98*F98</f>
        <v>0</v>
      </c>
      <c r="AW98" s="627">
        <v>0</v>
      </c>
      <c r="AX98" s="547">
        <f>AW98*F98</f>
        <v>0</v>
      </c>
      <c r="AY98" s="274">
        <v>0</v>
      </c>
      <c r="AZ98" s="547">
        <f>AY98*F98</f>
        <v>0</v>
      </c>
      <c r="BA98" s="272"/>
      <c r="BB98" s="547">
        <f>BA98*F98</f>
        <v>0</v>
      </c>
      <c r="BC98" s="627">
        <v>0</v>
      </c>
      <c r="BD98" s="547">
        <f>BC98*F98</f>
        <v>0</v>
      </c>
      <c r="BE98" s="272">
        <v>0</v>
      </c>
      <c r="BF98" s="547">
        <f>BE98*F98</f>
        <v>0</v>
      </c>
      <c r="BG98" s="272">
        <v>0</v>
      </c>
      <c r="BH98" s="547">
        <f>BG98*F98</f>
        <v>0</v>
      </c>
      <c r="BI98" s="272"/>
      <c r="BJ98" s="547">
        <f>BI98*F98</f>
        <v>0</v>
      </c>
      <c r="BK98" s="266">
        <f>AA98+AC98+AE98+AG98+AI98+AK98+AM98+AO98+AQ98+AS98+AU98+AW98+AY98+BA98+BC98+BE98+BG98+BI98</f>
        <v>9</v>
      </c>
      <c r="BL98" s="547">
        <f>AB98+AD98+AF98+AH98+AJ98+AL98+AN98+AP98+AR98+AT98+AV98+AX98+AZ98+BB98+BD98+BF98+BH98+BJ98</f>
        <v>198000</v>
      </c>
      <c r="BM98" s="550" t="s">
        <v>480</v>
      </c>
      <c r="BN98" s="682">
        <f t="shared" si="124"/>
        <v>198000</v>
      </c>
      <c r="BO98" s="239"/>
      <c r="BP98" s="551"/>
      <c r="BQ98" s="551">
        <f>H98</f>
        <v>198000</v>
      </c>
      <c r="BR98" s="551"/>
      <c r="BS98" s="176">
        <f>BO98+BP98+BQ98+BR98</f>
        <v>198000</v>
      </c>
      <c r="BT98" s="551"/>
      <c r="BU98" s="551"/>
      <c r="BV98" s="176"/>
      <c r="BW98" s="177">
        <f>BS98+BT98+BU98+BV98</f>
        <v>198000</v>
      </c>
    </row>
    <row r="99" spans="1:83" s="273" customFormat="1" ht="18" customHeight="1" x14ac:dyDescent="0.25">
      <c r="A99" s="910"/>
      <c r="B99" s="237"/>
      <c r="C99" s="169"/>
      <c r="D99" s="132" t="s">
        <v>866</v>
      </c>
      <c r="E99" s="169" t="s">
        <v>152</v>
      </c>
      <c r="F99" s="231">
        <v>9000</v>
      </c>
      <c r="G99" s="544">
        <f t="shared" si="89"/>
        <v>10</v>
      </c>
      <c r="H99" s="239">
        <f t="shared" si="128"/>
        <v>90000</v>
      </c>
      <c r="I99" s="239">
        <f t="shared" si="144"/>
        <v>9000</v>
      </c>
      <c r="J99" s="239">
        <f t="shared" si="145"/>
        <v>72000</v>
      </c>
      <c r="K99" s="239"/>
      <c r="L99" s="239"/>
      <c r="M99" s="239"/>
      <c r="N99" s="239"/>
      <c r="O99" s="239"/>
      <c r="P99" s="239"/>
      <c r="Q99" s="239">
        <f t="shared" si="146"/>
        <v>9000</v>
      </c>
      <c r="R99" s="239"/>
      <c r="S99" s="225">
        <f t="shared" si="133"/>
        <v>1</v>
      </c>
      <c r="T99" s="225">
        <f t="shared" si="134"/>
        <v>6</v>
      </c>
      <c r="U99" s="225">
        <f t="shared" si="135"/>
        <v>2.5</v>
      </c>
      <c r="V99" s="225">
        <f t="shared" si="136"/>
        <v>0.5</v>
      </c>
      <c r="W99" s="546">
        <f t="shared" si="137"/>
        <v>9000</v>
      </c>
      <c r="X99" s="546">
        <f t="shared" si="138"/>
        <v>54000</v>
      </c>
      <c r="Y99" s="546">
        <f t="shared" si="139"/>
        <v>22500</v>
      </c>
      <c r="Z99" s="546">
        <f t="shared" si="140"/>
        <v>4500</v>
      </c>
      <c r="AA99" s="272"/>
      <c r="AB99" s="546">
        <f t="shared" si="147"/>
        <v>0</v>
      </c>
      <c r="AC99" s="272">
        <v>0</v>
      </c>
      <c r="AD99" s="545">
        <f t="shared" si="148"/>
        <v>0</v>
      </c>
      <c r="AE99" s="272"/>
      <c r="AF99" s="547">
        <f t="shared" si="94"/>
        <v>0</v>
      </c>
      <c r="AG99" s="272">
        <v>2</v>
      </c>
      <c r="AH99" s="547">
        <f t="shared" si="95"/>
        <v>18000</v>
      </c>
      <c r="AI99" s="272">
        <v>0</v>
      </c>
      <c r="AJ99" s="547">
        <f t="shared" si="96"/>
        <v>0</v>
      </c>
      <c r="AK99" s="272">
        <v>0</v>
      </c>
      <c r="AL99" s="547">
        <f t="shared" si="97"/>
        <v>0</v>
      </c>
      <c r="AM99" s="272">
        <v>8</v>
      </c>
      <c r="AN99" s="547">
        <f t="shared" si="98"/>
        <v>72000</v>
      </c>
      <c r="AO99" s="272"/>
      <c r="AP99" s="547">
        <f t="shared" si="99"/>
        <v>0</v>
      </c>
      <c r="AQ99" s="272"/>
      <c r="AR99" s="547">
        <f t="shared" si="100"/>
        <v>0</v>
      </c>
      <c r="AS99" s="272">
        <v>0</v>
      </c>
      <c r="AT99" s="547">
        <f t="shared" si="101"/>
        <v>0</v>
      </c>
      <c r="AU99" s="272"/>
      <c r="AV99" s="547">
        <f t="shared" si="102"/>
        <v>0</v>
      </c>
      <c r="AW99" s="272"/>
      <c r="AX99" s="547">
        <f t="shared" si="103"/>
        <v>0</v>
      </c>
      <c r="AY99" s="274">
        <v>0</v>
      </c>
      <c r="AZ99" s="547">
        <f t="shared" si="104"/>
        <v>0</v>
      </c>
      <c r="BA99" s="272"/>
      <c r="BB99" s="547">
        <f t="shared" si="105"/>
        <v>0</v>
      </c>
      <c r="BC99" s="272">
        <v>0</v>
      </c>
      <c r="BD99" s="547">
        <f t="shared" si="106"/>
        <v>0</v>
      </c>
      <c r="BE99" s="272">
        <v>0</v>
      </c>
      <c r="BF99" s="547">
        <f t="shared" si="107"/>
        <v>0</v>
      </c>
      <c r="BG99" s="272">
        <v>0</v>
      </c>
      <c r="BH99" s="547">
        <f t="shared" si="108"/>
        <v>0</v>
      </c>
      <c r="BI99" s="272"/>
      <c r="BJ99" s="547">
        <f t="shared" si="109"/>
        <v>0</v>
      </c>
      <c r="BK99" s="266">
        <f t="shared" si="149"/>
        <v>10</v>
      </c>
      <c r="BL99" s="547">
        <f t="shared" si="149"/>
        <v>90000</v>
      </c>
      <c r="BM99" s="550" t="s">
        <v>480</v>
      </c>
      <c r="BN99" s="682">
        <f t="shared" si="124"/>
        <v>90000</v>
      </c>
      <c r="BO99" s="239"/>
      <c r="BP99" s="551"/>
      <c r="BQ99" s="551">
        <f t="shared" si="141"/>
        <v>90000</v>
      </c>
      <c r="BR99" s="551"/>
      <c r="BS99" s="176">
        <f t="shared" si="142"/>
        <v>90000</v>
      </c>
      <c r="BT99" s="551"/>
      <c r="BU99" s="551"/>
      <c r="BV99" s="176"/>
      <c r="BW99" s="177">
        <f t="shared" si="143"/>
        <v>90000</v>
      </c>
    </row>
    <row r="100" spans="1:83" s="273" customFormat="1" ht="18" customHeight="1" x14ac:dyDescent="0.25">
      <c r="A100" s="910"/>
      <c r="B100" s="237"/>
      <c r="C100" s="169"/>
      <c r="D100" s="169" t="s">
        <v>627</v>
      </c>
      <c r="E100" s="169" t="s">
        <v>152</v>
      </c>
      <c r="F100" s="231">
        <v>88800</v>
      </c>
      <c r="G100" s="544">
        <f t="shared" si="89"/>
        <v>168</v>
      </c>
      <c r="H100" s="239">
        <f t="shared" si="128"/>
        <v>14918400</v>
      </c>
      <c r="I100" s="239"/>
      <c r="J100" s="239"/>
      <c r="K100" s="239"/>
      <c r="L100" s="239"/>
      <c r="M100" s="239"/>
      <c r="N100" s="239"/>
      <c r="O100" s="239"/>
      <c r="P100" s="239"/>
      <c r="Q100" s="239"/>
      <c r="R100" s="239">
        <f>H100*1</f>
        <v>14918400</v>
      </c>
      <c r="S100" s="225">
        <f t="shared" si="133"/>
        <v>16.8</v>
      </c>
      <c r="T100" s="225">
        <f t="shared" si="134"/>
        <v>100.8</v>
      </c>
      <c r="U100" s="225">
        <f t="shared" si="135"/>
        <v>42</v>
      </c>
      <c r="V100" s="225">
        <f t="shared" si="136"/>
        <v>8.4</v>
      </c>
      <c r="W100" s="546">
        <f t="shared" si="137"/>
        <v>1491840</v>
      </c>
      <c r="X100" s="546">
        <f t="shared" si="138"/>
        <v>8951040</v>
      </c>
      <c r="Y100" s="546">
        <f t="shared" si="139"/>
        <v>3729600</v>
      </c>
      <c r="Z100" s="546">
        <f t="shared" si="140"/>
        <v>745920</v>
      </c>
      <c r="AA100" s="272">
        <v>10</v>
      </c>
      <c r="AB100" s="546">
        <f t="shared" si="147"/>
        <v>888000</v>
      </c>
      <c r="AC100" s="272">
        <v>10</v>
      </c>
      <c r="AD100" s="545">
        <f t="shared" si="148"/>
        <v>888000</v>
      </c>
      <c r="AE100" s="272">
        <v>10</v>
      </c>
      <c r="AF100" s="547">
        <f t="shared" si="94"/>
        <v>888000</v>
      </c>
      <c r="AG100" s="272">
        <v>15</v>
      </c>
      <c r="AH100" s="547">
        <f t="shared" si="95"/>
        <v>1332000</v>
      </c>
      <c r="AI100" s="272">
        <v>10</v>
      </c>
      <c r="AJ100" s="547">
        <f t="shared" si="96"/>
        <v>888000</v>
      </c>
      <c r="AK100" s="272">
        <v>10</v>
      </c>
      <c r="AL100" s="547">
        <f t="shared" si="97"/>
        <v>888000</v>
      </c>
      <c r="AM100" s="272">
        <v>10</v>
      </c>
      <c r="AN100" s="547">
        <f t="shared" si="98"/>
        <v>888000</v>
      </c>
      <c r="AO100" s="272">
        <v>12</v>
      </c>
      <c r="AP100" s="547">
        <f t="shared" si="99"/>
        <v>1065600</v>
      </c>
      <c r="AQ100" s="272">
        <v>5</v>
      </c>
      <c r="AR100" s="547">
        <f t="shared" si="100"/>
        <v>444000</v>
      </c>
      <c r="AS100" s="272">
        <v>10</v>
      </c>
      <c r="AT100" s="547">
        <f t="shared" si="101"/>
        <v>888000</v>
      </c>
      <c r="AU100" s="272">
        <v>10</v>
      </c>
      <c r="AV100" s="547">
        <f t="shared" si="102"/>
        <v>888000</v>
      </c>
      <c r="AW100" s="272">
        <v>10</v>
      </c>
      <c r="AX100" s="547">
        <f t="shared" si="103"/>
        <v>888000</v>
      </c>
      <c r="AY100" s="274">
        <v>10</v>
      </c>
      <c r="AZ100" s="547">
        <f t="shared" si="104"/>
        <v>888000</v>
      </c>
      <c r="BA100" s="272">
        <v>10</v>
      </c>
      <c r="BB100" s="547">
        <f t="shared" si="105"/>
        <v>888000</v>
      </c>
      <c r="BC100" s="272">
        <v>10</v>
      </c>
      <c r="BD100" s="547">
        <f t="shared" si="106"/>
        <v>888000</v>
      </c>
      <c r="BE100" s="272">
        <v>6</v>
      </c>
      <c r="BF100" s="547">
        <f t="shared" si="107"/>
        <v>532800</v>
      </c>
      <c r="BG100" s="272">
        <v>10</v>
      </c>
      <c r="BH100" s="547">
        <f t="shared" si="108"/>
        <v>888000</v>
      </c>
      <c r="BI100" s="272"/>
      <c r="BJ100" s="547">
        <f t="shared" si="109"/>
        <v>0</v>
      </c>
      <c r="BK100" s="266">
        <f t="shared" si="149"/>
        <v>168</v>
      </c>
      <c r="BL100" s="547">
        <f t="shared" si="149"/>
        <v>14918400</v>
      </c>
      <c r="BM100" s="550" t="s">
        <v>725</v>
      </c>
      <c r="BN100" s="682">
        <f t="shared" si="124"/>
        <v>14918400</v>
      </c>
      <c r="BO100" s="239"/>
      <c r="BP100" s="551"/>
      <c r="BQ100" s="551">
        <f t="shared" si="141"/>
        <v>14918400</v>
      </c>
      <c r="BR100" s="551"/>
      <c r="BS100" s="176">
        <f t="shared" si="142"/>
        <v>14918400</v>
      </c>
      <c r="BT100" s="551"/>
      <c r="BU100" s="551"/>
      <c r="BV100" s="176"/>
      <c r="BW100" s="177">
        <f t="shared" si="143"/>
        <v>14918400</v>
      </c>
    </row>
    <row r="101" spans="1:83" s="273" customFormat="1" ht="18" customHeight="1" x14ac:dyDescent="0.25">
      <c r="A101" s="910"/>
      <c r="B101" s="237"/>
      <c r="C101" s="169"/>
      <c r="D101" s="169" t="s">
        <v>687</v>
      </c>
      <c r="E101" s="169" t="s">
        <v>152</v>
      </c>
      <c r="F101" s="231">
        <v>48300</v>
      </c>
      <c r="G101" s="544">
        <f t="shared" si="89"/>
        <v>26</v>
      </c>
      <c r="H101" s="239">
        <f t="shared" si="128"/>
        <v>1255800</v>
      </c>
      <c r="I101" s="239"/>
      <c r="J101" s="239"/>
      <c r="K101" s="239"/>
      <c r="L101" s="239"/>
      <c r="M101" s="239"/>
      <c r="N101" s="239"/>
      <c r="O101" s="239"/>
      <c r="P101" s="239"/>
      <c r="Q101" s="239"/>
      <c r="R101" s="239">
        <f>H101*1</f>
        <v>1255800</v>
      </c>
      <c r="S101" s="225">
        <f t="shared" si="133"/>
        <v>2.6</v>
      </c>
      <c r="T101" s="225">
        <f t="shared" si="134"/>
        <v>15.6</v>
      </c>
      <c r="U101" s="225">
        <f t="shared" si="135"/>
        <v>6.5</v>
      </c>
      <c r="V101" s="225">
        <f t="shared" si="136"/>
        <v>1.3</v>
      </c>
      <c r="W101" s="546">
        <f t="shared" si="137"/>
        <v>125580</v>
      </c>
      <c r="X101" s="546">
        <f t="shared" si="138"/>
        <v>753480</v>
      </c>
      <c r="Y101" s="546">
        <f t="shared" si="139"/>
        <v>313950</v>
      </c>
      <c r="Z101" s="546">
        <f t="shared" si="140"/>
        <v>62790</v>
      </c>
      <c r="AA101" s="272">
        <v>1</v>
      </c>
      <c r="AB101" s="546">
        <f t="shared" si="147"/>
        <v>48300</v>
      </c>
      <c r="AC101" s="272">
        <v>1</v>
      </c>
      <c r="AD101" s="545">
        <f t="shared" si="148"/>
        <v>48300</v>
      </c>
      <c r="AE101" s="272">
        <v>2</v>
      </c>
      <c r="AF101" s="547">
        <f t="shared" si="94"/>
        <v>96600</v>
      </c>
      <c r="AG101" s="272">
        <v>1</v>
      </c>
      <c r="AH101" s="547">
        <f t="shared" si="95"/>
        <v>48300</v>
      </c>
      <c r="AI101" s="272">
        <v>1</v>
      </c>
      <c r="AJ101" s="547">
        <f t="shared" si="96"/>
        <v>48300</v>
      </c>
      <c r="AK101" s="272">
        <v>2</v>
      </c>
      <c r="AL101" s="547">
        <f t="shared" si="97"/>
        <v>96600</v>
      </c>
      <c r="AM101" s="272">
        <v>1</v>
      </c>
      <c r="AN101" s="547">
        <f t="shared" si="98"/>
        <v>48300</v>
      </c>
      <c r="AO101" s="272">
        <v>2</v>
      </c>
      <c r="AP101" s="547">
        <f t="shared" si="99"/>
        <v>96600</v>
      </c>
      <c r="AQ101" s="272">
        <v>1</v>
      </c>
      <c r="AR101" s="547">
        <f t="shared" si="100"/>
        <v>48300</v>
      </c>
      <c r="AS101" s="272">
        <v>1</v>
      </c>
      <c r="AT101" s="547">
        <f t="shared" si="101"/>
        <v>48300</v>
      </c>
      <c r="AU101" s="272">
        <v>2</v>
      </c>
      <c r="AV101" s="547">
        <f t="shared" si="102"/>
        <v>96600</v>
      </c>
      <c r="AW101" s="272">
        <v>2</v>
      </c>
      <c r="AX101" s="547">
        <f t="shared" si="103"/>
        <v>96600</v>
      </c>
      <c r="AY101" s="274">
        <v>2</v>
      </c>
      <c r="AZ101" s="547">
        <f t="shared" si="104"/>
        <v>96600</v>
      </c>
      <c r="BA101" s="272">
        <v>1</v>
      </c>
      <c r="BB101" s="547">
        <f t="shared" si="105"/>
        <v>48300</v>
      </c>
      <c r="BC101" s="272">
        <v>2</v>
      </c>
      <c r="BD101" s="547">
        <f t="shared" si="106"/>
        <v>96600</v>
      </c>
      <c r="BE101" s="272">
        <v>2</v>
      </c>
      <c r="BF101" s="547">
        <f t="shared" si="107"/>
        <v>96600</v>
      </c>
      <c r="BG101" s="272">
        <v>2</v>
      </c>
      <c r="BH101" s="547">
        <f t="shared" si="108"/>
        <v>96600</v>
      </c>
      <c r="BI101" s="272"/>
      <c r="BJ101" s="547">
        <f t="shared" si="109"/>
        <v>0</v>
      </c>
      <c r="BK101" s="266">
        <f t="shared" si="149"/>
        <v>26</v>
      </c>
      <c r="BL101" s="547">
        <f t="shared" si="149"/>
        <v>1255800</v>
      </c>
      <c r="BM101" s="550" t="s">
        <v>725</v>
      </c>
      <c r="BN101" s="682">
        <f t="shared" si="124"/>
        <v>1255800</v>
      </c>
      <c r="BO101" s="239"/>
      <c r="BP101" s="551"/>
      <c r="BQ101" s="551">
        <f t="shared" si="141"/>
        <v>1255800</v>
      </c>
      <c r="BR101" s="551"/>
      <c r="BS101" s="176">
        <f t="shared" si="142"/>
        <v>1255800</v>
      </c>
      <c r="BT101" s="551"/>
      <c r="BU101" s="551"/>
      <c r="BV101" s="176"/>
      <c r="BW101" s="177">
        <f t="shared" si="143"/>
        <v>1255800</v>
      </c>
    </row>
    <row r="102" spans="1:83" s="273" customFormat="1" ht="18" customHeight="1" x14ac:dyDescent="0.25">
      <c r="A102" s="910"/>
      <c r="B102" s="237"/>
      <c r="C102" s="169"/>
      <c r="D102" s="169" t="s">
        <v>629</v>
      </c>
      <c r="E102" s="169" t="s">
        <v>152</v>
      </c>
      <c r="F102" s="231">
        <v>27500</v>
      </c>
      <c r="G102" s="544">
        <f t="shared" si="89"/>
        <v>80</v>
      </c>
      <c r="H102" s="239">
        <f t="shared" si="128"/>
        <v>2200000</v>
      </c>
      <c r="I102" s="239"/>
      <c r="J102" s="239"/>
      <c r="K102" s="239"/>
      <c r="L102" s="239"/>
      <c r="M102" s="239"/>
      <c r="N102" s="239"/>
      <c r="O102" s="239"/>
      <c r="P102" s="239"/>
      <c r="Q102" s="239"/>
      <c r="R102" s="239">
        <f>H102*1</f>
        <v>2200000</v>
      </c>
      <c r="S102" s="225">
        <f t="shared" si="133"/>
        <v>8</v>
      </c>
      <c r="T102" s="225">
        <f t="shared" si="134"/>
        <v>48</v>
      </c>
      <c r="U102" s="225">
        <f t="shared" si="135"/>
        <v>20</v>
      </c>
      <c r="V102" s="225">
        <f t="shared" si="136"/>
        <v>4</v>
      </c>
      <c r="W102" s="546">
        <f t="shared" si="137"/>
        <v>220000</v>
      </c>
      <c r="X102" s="546">
        <f t="shared" si="138"/>
        <v>1320000</v>
      </c>
      <c r="Y102" s="546">
        <f t="shared" si="139"/>
        <v>550000</v>
      </c>
      <c r="Z102" s="546">
        <f t="shared" si="140"/>
        <v>110000</v>
      </c>
      <c r="AA102" s="272">
        <v>0</v>
      </c>
      <c r="AB102" s="546">
        <f t="shared" si="147"/>
        <v>0</v>
      </c>
      <c r="AC102" s="272">
        <v>0</v>
      </c>
      <c r="AD102" s="545">
        <f t="shared" si="148"/>
        <v>0</v>
      </c>
      <c r="AE102" s="272">
        <v>0</v>
      </c>
      <c r="AF102" s="547">
        <f t="shared" si="94"/>
        <v>0</v>
      </c>
      <c r="AG102" s="272">
        <v>10</v>
      </c>
      <c r="AH102" s="547">
        <f t="shared" si="95"/>
        <v>275000</v>
      </c>
      <c r="AI102" s="272">
        <v>0</v>
      </c>
      <c r="AJ102" s="547">
        <f t="shared" si="96"/>
        <v>0</v>
      </c>
      <c r="AK102" s="272">
        <v>0</v>
      </c>
      <c r="AL102" s="547">
        <f t="shared" si="97"/>
        <v>0</v>
      </c>
      <c r="AM102" s="272">
        <v>25</v>
      </c>
      <c r="AN102" s="547">
        <f t="shared" si="98"/>
        <v>687500</v>
      </c>
      <c r="AO102" s="272">
        <v>0</v>
      </c>
      <c r="AP102" s="547">
        <f t="shared" si="99"/>
        <v>0</v>
      </c>
      <c r="AQ102" s="272">
        <v>6</v>
      </c>
      <c r="AR102" s="547">
        <f t="shared" si="100"/>
        <v>165000</v>
      </c>
      <c r="AS102" s="272">
        <v>2</v>
      </c>
      <c r="AT102" s="547">
        <f t="shared" si="101"/>
        <v>55000</v>
      </c>
      <c r="AU102" s="272">
        <v>30</v>
      </c>
      <c r="AV102" s="547">
        <f t="shared" si="102"/>
        <v>825000</v>
      </c>
      <c r="AW102" s="272">
        <v>5</v>
      </c>
      <c r="AX102" s="547">
        <f t="shared" si="103"/>
        <v>137500</v>
      </c>
      <c r="AY102" s="274">
        <v>0</v>
      </c>
      <c r="AZ102" s="547">
        <f t="shared" si="104"/>
        <v>0</v>
      </c>
      <c r="BA102" s="272">
        <v>2</v>
      </c>
      <c r="BB102" s="547">
        <f t="shared" si="105"/>
        <v>55000</v>
      </c>
      <c r="BC102" s="272">
        <v>0</v>
      </c>
      <c r="BD102" s="547">
        <f t="shared" si="106"/>
        <v>0</v>
      </c>
      <c r="BE102" s="272">
        <v>0</v>
      </c>
      <c r="BF102" s="547">
        <f t="shared" si="107"/>
        <v>0</v>
      </c>
      <c r="BG102" s="272">
        <v>0</v>
      </c>
      <c r="BH102" s="547">
        <f t="shared" si="108"/>
        <v>0</v>
      </c>
      <c r="BI102" s="272"/>
      <c r="BJ102" s="547">
        <f t="shared" si="109"/>
        <v>0</v>
      </c>
      <c r="BK102" s="266">
        <f t="shared" si="149"/>
        <v>80</v>
      </c>
      <c r="BL102" s="547">
        <f t="shared" si="149"/>
        <v>2200000</v>
      </c>
      <c r="BM102" s="550" t="s">
        <v>725</v>
      </c>
      <c r="BN102" s="682">
        <f t="shared" si="124"/>
        <v>2200000</v>
      </c>
      <c r="BO102" s="239"/>
      <c r="BP102" s="551"/>
      <c r="BQ102" s="551">
        <f t="shared" si="141"/>
        <v>2200000</v>
      </c>
      <c r="BR102" s="551"/>
      <c r="BS102" s="176">
        <f t="shared" si="142"/>
        <v>2200000</v>
      </c>
      <c r="BT102" s="551"/>
      <c r="BU102" s="551"/>
      <c r="BV102" s="176"/>
      <c r="BW102" s="177">
        <f t="shared" si="143"/>
        <v>2200000</v>
      </c>
    </row>
    <row r="103" spans="1:83" s="273" customFormat="1" ht="20.25" customHeight="1" x14ac:dyDescent="0.25">
      <c r="A103" s="910"/>
      <c r="B103" s="237"/>
      <c r="C103" s="169"/>
      <c r="D103" s="132" t="s">
        <v>633</v>
      </c>
      <c r="E103" s="169" t="s">
        <v>152</v>
      </c>
      <c r="F103" s="231">
        <v>80500</v>
      </c>
      <c r="G103" s="544">
        <f t="shared" si="89"/>
        <v>188</v>
      </c>
      <c r="H103" s="239">
        <f t="shared" si="128"/>
        <v>15134000</v>
      </c>
      <c r="I103" s="239"/>
      <c r="J103" s="239"/>
      <c r="K103" s="239"/>
      <c r="L103" s="239"/>
      <c r="M103" s="239"/>
      <c r="N103" s="239"/>
      <c r="O103" s="239"/>
      <c r="P103" s="239"/>
      <c r="Q103" s="239"/>
      <c r="R103" s="239">
        <f>H103*1</f>
        <v>15134000</v>
      </c>
      <c r="S103" s="225">
        <f t="shared" si="133"/>
        <v>18.8</v>
      </c>
      <c r="T103" s="225">
        <f t="shared" si="134"/>
        <v>112.8</v>
      </c>
      <c r="U103" s="225">
        <f t="shared" si="135"/>
        <v>47</v>
      </c>
      <c r="V103" s="225">
        <f t="shared" si="136"/>
        <v>9.4</v>
      </c>
      <c r="W103" s="546">
        <f t="shared" si="137"/>
        <v>1513400</v>
      </c>
      <c r="X103" s="546">
        <f t="shared" si="138"/>
        <v>9080400</v>
      </c>
      <c r="Y103" s="546">
        <f t="shared" si="139"/>
        <v>3783500</v>
      </c>
      <c r="Z103" s="546">
        <f t="shared" si="140"/>
        <v>756700</v>
      </c>
      <c r="AA103" s="272">
        <v>8</v>
      </c>
      <c r="AB103" s="546">
        <f t="shared" si="147"/>
        <v>644000</v>
      </c>
      <c r="AC103" s="627">
        <v>8</v>
      </c>
      <c r="AD103" s="545">
        <f t="shared" si="148"/>
        <v>644000</v>
      </c>
      <c r="AE103" s="627">
        <v>30</v>
      </c>
      <c r="AF103" s="547">
        <f t="shared" si="94"/>
        <v>2415000</v>
      </c>
      <c r="AG103" s="272">
        <v>15</v>
      </c>
      <c r="AH103" s="547">
        <f t="shared" si="95"/>
        <v>1207500</v>
      </c>
      <c r="AI103" s="272">
        <v>15</v>
      </c>
      <c r="AJ103" s="547">
        <f t="shared" si="96"/>
        <v>1207500</v>
      </c>
      <c r="AK103" s="272">
        <v>8</v>
      </c>
      <c r="AL103" s="547">
        <f t="shared" si="97"/>
        <v>644000</v>
      </c>
      <c r="AM103" s="272">
        <v>8</v>
      </c>
      <c r="AN103" s="547">
        <f t="shared" si="98"/>
        <v>644000</v>
      </c>
      <c r="AO103" s="272">
        <v>8</v>
      </c>
      <c r="AP103" s="547">
        <f t="shared" si="99"/>
        <v>644000</v>
      </c>
      <c r="AQ103" s="272">
        <v>8</v>
      </c>
      <c r="AR103" s="547">
        <f t="shared" si="100"/>
        <v>644000</v>
      </c>
      <c r="AS103" s="272">
        <v>8</v>
      </c>
      <c r="AT103" s="547">
        <f t="shared" si="101"/>
        <v>644000</v>
      </c>
      <c r="AU103" s="272">
        <v>8</v>
      </c>
      <c r="AV103" s="547">
        <f t="shared" si="102"/>
        <v>644000</v>
      </c>
      <c r="AW103" s="272">
        <v>8</v>
      </c>
      <c r="AX103" s="547">
        <f t="shared" si="103"/>
        <v>644000</v>
      </c>
      <c r="AY103" s="274">
        <v>8</v>
      </c>
      <c r="AZ103" s="547">
        <f t="shared" si="104"/>
        <v>644000</v>
      </c>
      <c r="BA103" s="272">
        <v>15</v>
      </c>
      <c r="BB103" s="547">
        <f t="shared" si="105"/>
        <v>1207500</v>
      </c>
      <c r="BC103" s="272">
        <v>15</v>
      </c>
      <c r="BD103" s="547">
        <f t="shared" si="106"/>
        <v>1207500</v>
      </c>
      <c r="BE103" s="272">
        <v>8</v>
      </c>
      <c r="BF103" s="547">
        <f t="shared" si="107"/>
        <v>644000</v>
      </c>
      <c r="BG103" s="272">
        <v>10</v>
      </c>
      <c r="BH103" s="547">
        <f t="shared" si="108"/>
        <v>805000</v>
      </c>
      <c r="BI103" s="272"/>
      <c r="BJ103" s="547">
        <f t="shared" si="109"/>
        <v>0</v>
      </c>
      <c r="BK103" s="266">
        <f t="shared" si="149"/>
        <v>188</v>
      </c>
      <c r="BL103" s="547">
        <f t="shared" si="149"/>
        <v>15134000</v>
      </c>
      <c r="BM103" s="550" t="s">
        <v>725</v>
      </c>
      <c r="BN103" s="682">
        <f t="shared" si="124"/>
        <v>15134000</v>
      </c>
      <c r="BO103" s="239"/>
      <c r="BP103" s="551"/>
      <c r="BQ103" s="551">
        <f t="shared" si="141"/>
        <v>15134000</v>
      </c>
      <c r="BR103" s="551"/>
      <c r="BS103" s="176">
        <f t="shared" si="142"/>
        <v>15134000</v>
      </c>
      <c r="BT103" s="551"/>
      <c r="BU103" s="551"/>
      <c r="BV103" s="176"/>
      <c r="BW103" s="177">
        <f t="shared" si="143"/>
        <v>15134000</v>
      </c>
    </row>
    <row r="104" spans="1:83" s="273" customFormat="1" ht="20.25" customHeight="1" x14ac:dyDescent="0.25">
      <c r="A104" s="910"/>
      <c r="B104" s="237"/>
      <c r="C104" s="169"/>
      <c r="D104" s="132" t="s">
        <v>631</v>
      </c>
      <c r="E104" s="169" t="s">
        <v>152</v>
      </c>
      <c r="F104" s="231">
        <v>30000</v>
      </c>
      <c r="G104" s="544">
        <f t="shared" si="89"/>
        <v>120</v>
      </c>
      <c r="H104" s="239">
        <f t="shared" si="128"/>
        <v>3600000</v>
      </c>
      <c r="I104" s="239"/>
      <c r="J104" s="239"/>
      <c r="K104" s="239"/>
      <c r="L104" s="239"/>
      <c r="M104" s="239"/>
      <c r="N104" s="239"/>
      <c r="O104" s="239"/>
      <c r="P104" s="239"/>
      <c r="Q104" s="239"/>
      <c r="R104" s="239">
        <f>H104*1</f>
        <v>3600000</v>
      </c>
      <c r="S104" s="225">
        <f t="shared" si="133"/>
        <v>12</v>
      </c>
      <c r="T104" s="225">
        <f t="shared" si="134"/>
        <v>72</v>
      </c>
      <c r="U104" s="225">
        <f t="shared" si="135"/>
        <v>30</v>
      </c>
      <c r="V104" s="225">
        <f t="shared" si="136"/>
        <v>6</v>
      </c>
      <c r="W104" s="546">
        <f t="shared" si="137"/>
        <v>360000</v>
      </c>
      <c r="X104" s="546">
        <f t="shared" si="138"/>
        <v>2160000</v>
      </c>
      <c r="Y104" s="546">
        <f t="shared" si="139"/>
        <v>900000</v>
      </c>
      <c r="Z104" s="546">
        <f t="shared" si="140"/>
        <v>180000</v>
      </c>
      <c r="AA104" s="272">
        <v>0</v>
      </c>
      <c r="AB104" s="546">
        <f t="shared" si="147"/>
        <v>0</v>
      </c>
      <c r="AC104" s="272">
        <v>0</v>
      </c>
      <c r="AD104" s="545">
        <f t="shared" si="148"/>
        <v>0</v>
      </c>
      <c r="AE104" s="272">
        <v>45</v>
      </c>
      <c r="AF104" s="547">
        <f t="shared" si="94"/>
        <v>1350000</v>
      </c>
      <c r="AG104" s="272">
        <v>14</v>
      </c>
      <c r="AH104" s="547">
        <f t="shared" si="95"/>
        <v>420000</v>
      </c>
      <c r="AI104" s="272">
        <v>10</v>
      </c>
      <c r="AJ104" s="547">
        <f t="shared" si="96"/>
        <v>300000</v>
      </c>
      <c r="AK104" s="272">
        <v>0</v>
      </c>
      <c r="AL104" s="547">
        <f t="shared" si="97"/>
        <v>0</v>
      </c>
      <c r="AM104" s="272">
        <v>0</v>
      </c>
      <c r="AN104" s="547">
        <f t="shared" si="98"/>
        <v>0</v>
      </c>
      <c r="AO104" s="272">
        <v>0</v>
      </c>
      <c r="AP104" s="547">
        <f t="shared" si="99"/>
        <v>0</v>
      </c>
      <c r="AQ104" s="272">
        <v>4</v>
      </c>
      <c r="AR104" s="547">
        <f t="shared" si="100"/>
        <v>120000</v>
      </c>
      <c r="AS104" s="272">
        <v>5</v>
      </c>
      <c r="AT104" s="547">
        <f t="shared" si="101"/>
        <v>150000</v>
      </c>
      <c r="AU104" s="272">
        <v>0</v>
      </c>
      <c r="AV104" s="547">
        <f t="shared" si="102"/>
        <v>0</v>
      </c>
      <c r="AW104" s="272">
        <v>2</v>
      </c>
      <c r="AX104" s="547">
        <f t="shared" si="103"/>
        <v>60000</v>
      </c>
      <c r="AY104" s="274">
        <v>0</v>
      </c>
      <c r="AZ104" s="547">
        <f t="shared" si="104"/>
        <v>0</v>
      </c>
      <c r="BA104" s="272">
        <v>20</v>
      </c>
      <c r="BB104" s="547">
        <f t="shared" si="105"/>
        <v>600000</v>
      </c>
      <c r="BC104" s="272">
        <v>15</v>
      </c>
      <c r="BD104" s="547">
        <f t="shared" si="106"/>
        <v>450000</v>
      </c>
      <c r="BE104" s="272">
        <v>0</v>
      </c>
      <c r="BF104" s="547">
        <f t="shared" si="107"/>
        <v>0</v>
      </c>
      <c r="BG104" s="272">
        <v>5</v>
      </c>
      <c r="BH104" s="547">
        <f t="shared" si="108"/>
        <v>150000</v>
      </c>
      <c r="BI104" s="272"/>
      <c r="BJ104" s="547">
        <f t="shared" si="109"/>
        <v>0</v>
      </c>
      <c r="BK104" s="266">
        <f t="shared" si="149"/>
        <v>120</v>
      </c>
      <c r="BL104" s="547">
        <f t="shared" si="149"/>
        <v>3600000</v>
      </c>
      <c r="BM104" s="550" t="s">
        <v>725</v>
      </c>
      <c r="BN104" s="682">
        <f t="shared" si="124"/>
        <v>3600000</v>
      </c>
      <c r="BO104" s="239"/>
      <c r="BP104" s="551"/>
      <c r="BQ104" s="551">
        <f t="shared" si="141"/>
        <v>3600000</v>
      </c>
      <c r="BR104" s="551"/>
      <c r="BS104" s="176">
        <f t="shared" si="142"/>
        <v>3600000</v>
      </c>
      <c r="BT104" s="551"/>
      <c r="BU104" s="551"/>
      <c r="BV104" s="176"/>
      <c r="BW104" s="177">
        <f t="shared" si="143"/>
        <v>3600000</v>
      </c>
    </row>
    <row r="105" spans="1:83" s="273" customFormat="1" ht="20.25" customHeight="1" x14ac:dyDescent="0.25">
      <c r="A105" s="910"/>
      <c r="B105" s="237"/>
      <c r="C105" s="169"/>
      <c r="D105" s="132" t="s">
        <v>751</v>
      </c>
      <c r="E105" s="169" t="s">
        <v>152</v>
      </c>
      <c r="F105" s="231">
        <v>50000</v>
      </c>
      <c r="G105" s="544">
        <f t="shared" si="89"/>
        <v>17</v>
      </c>
      <c r="H105" s="239">
        <f t="shared" si="128"/>
        <v>850000</v>
      </c>
      <c r="I105" s="239">
        <f>H105*0.1</f>
        <v>85000</v>
      </c>
      <c r="J105" s="239">
        <f>H105*0.8</f>
        <v>680000</v>
      </c>
      <c r="K105" s="239"/>
      <c r="L105" s="239"/>
      <c r="M105" s="239"/>
      <c r="N105" s="239"/>
      <c r="O105" s="239"/>
      <c r="P105" s="239"/>
      <c r="Q105" s="239">
        <f>H105*0.1</f>
        <v>85000</v>
      </c>
      <c r="R105" s="239"/>
      <c r="S105" s="225">
        <f t="shared" si="133"/>
        <v>1.7000000000000002</v>
      </c>
      <c r="T105" s="225">
        <f t="shared" si="134"/>
        <v>10.199999999999999</v>
      </c>
      <c r="U105" s="225">
        <f t="shared" si="135"/>
        <v>4.25</v>
      </c>
      <c r="V105" s="225">
        <f t="shared" si="136"/>
        <v>0.85000000000000009</v>
      </c>
      <c r="W105" s="546">
        <f t="shared" si="137"/>
        <v>85000.000000000015</v>
      </c>
      <c r="X105" s="546">
        <f t="shared" si="138"/>
        <v>509999.99999999994</v>
      </c>
      <c r="Y105" s="546">
        <f t="shared" si="139"/>
        <v>212500</v>
      </c>
      <c r="Z105" s="546">
        <f t="shared" si="140"/>
        <v>42500.000000000007</v>
      </c>
      <c r="AA105" s="272"/>
      <c r="AB105" s="546">
        <f t="shared" si="147"/>
        <v>0</v>
      </c>
      <c r="AC105" s="272"/>
      <c r="AD105" s="545">
        <f t="shared" si="148"/>
        <v>0</v>
      </c>
      <c r="AE105" s="272"/>
      <c r="AF105" s="547">
        <f t="shared" si="94"/>
        <v>0</v>
      </c>
      <c r="AG105" s="272"/>
      <c r="AH105" s="547">
        <f t="shared" si="95"/>
        <v>0</v>
      </c>
      <c r="AI105" s="272"/>
      <c r="AJ105" s="547">
        <f t="shared" si="96"/>
        <v>0</v>
      </c>
      <c r="AK105" s="272"/>
      <c r="AL105" s="547">
        <f t="shared" si="97"/>
        <v>0</v>
      </c>
      <c r="AM105" s="272">
        <v>4</v>
      </c>
      <c r="AN105" s="547">
        <f t="shared" si="98"/>
        <v>200000</v>
      </c>
      <c r="AO105" s="272"/>
      <c r="AP105" s="547">
        <f t="shared" si="99"/>
        <v>0</v>
      </c>
      <c r="AQ105" s="272"/>
      <c r="AR105" s="547">
        <f t="shared" si="100"/>
        <v>0</v>
      </c>
      <c r="AS105" s="272"/>
      <c r="AT105" s="547">
        <f t="shared" si="101"/>
        <v>0</v>
      </c>
      <c r="AU105" s="272">
        <v>5</v>
      </c>
      <c r="AV105" s="547">
        <f t="shared" si="102"/>
        <v>250000</v>
      </c>
      <c r="AW105" s="272"/>
      <c r="AX105" s="547">
        <f t="shared" si="103"/>
        <v>0</v>
      </c>
      <c r="AY105" s="274"/>
      <c r="AZ105" s="547">
        <f t="shared" si="104"/>
        <v>0</v>
      </c>
      <c r="BA105" s="272"/>
      <c r="BB105" s="547">
        <f t="shared" si="105"/>
        <v>0</v>
      </c>
      <c r="BC105" s="627">
        <v>3</v>
      </c>
      <c r="BD105" s="547">
        <f t="shared" si="106"/>
        <v>150000</v>
      </c>
      <c r="BE105" s="272">
        <v>5</v>
      </c>
      <c r="BF105" s="547">
        <f t="shared" si="107"/>
        <v>250000</v>
      </c>
      <c r="BG105" s="272">
        <v>0</v>
      </c>
      <c r="BH105" s="547">
        <f t="shared" si="108"/>
        <v>0</v>
      </c>
      <c r="BI105" s="272"/>
      <c r="BJ105" s="547">
        <f t="shared" si="109"/>
        <v>0</v>
      </c>
      <c r="BK105" s="266">
        <f t="shared" si="149"/>
        <v>17</v>
      </c>
      <c r="BL105" s="547">
        <f t="shared" si="149"/>
        <v>850000</v>
      </c>
      <c r="BM105" s="550" t="s">
        <v>480</v>
      </c>
      <c r="BN105" s="682">
        <f t="shared" si="124"/>
        <v>850000</v>
      </c>
      <c r="BO105" s="239"/>
      <c r="BP105" s="551"/>
      <c r="BQ105" s="551">
        <f t="shared" si="141"/>
        <v>850000</v>
      </c>
      <c r="BR105" s="551"/>
      <c r="BS105" s="176">
        <f t="shared" si="142"/>
        <v>850000</v>
      </c>
      <c r="BT105" s="551"/>
      <c r="BU105" s="551"/>
      <c r="BV105" s="176"/>
      <c r="BW105" s="177">
        <f t="shared" si="143"/>
        <v>850000</v>
      </c>
    </row>
    <row r="106" spans="1:83" s="273" customFormat="1" ht="20.25" customHeight="1" x14ac:dyDescent="0.25">
      <c r="A106" s="910"/>
      <c r="B106" s="237"/>
      <c r="C106" s="169"/>
      <c r="D106" s="622" t="s">
        <v>753</v>
      </c>
      <c r="E106" s="38" t="s">
        <v>152</v>
      </c>
      <c r="F106" s="626">
        <v>10000</v>
      </c>
      <c r="G106" s="222">
        <f t="shared" si="89"/>
        <v>57</v>
      </c>
      <c r="H106" s="230">
        <f t="shared" si="128"/>
        <v>570000</v>
      </c>
      <c r="I106" s="230">
        <f>H106*0.1</f>
        <v>57000</v>
      </c>
      <c r="J106" s="230">
        <f>H106*0.8</f>
        <v>456000</v>
      </c>
      <c r="K106" s="230"/>
      <c r="L106" s="230"/>
      <c r="M106" s="230"/>
      <c r="N106" s="230"/>
      <c r="O106" s="230"/>
      <c r="P106" s="230"/>
      <c r="Q106" s="230">
        <f>H106*0.1</f>
        <v>57000</v>
      </c>
      <c r="R106" s="230"/>
      <c r="S106" s="225">
        <f t="shared" si="133"/>
        <v>5.7</v>
      </c>
      <c r="T106" s="225">
        <f t="shared" si="134"/>
        <v>34.199999999999996</v>
      </c>
      <c r="U106" s="225">
        <f t="shared" si="135"/>
        <v>14.25</v>
      </c>
      <c r="V106" s="225">
        <f t="shared" si="136"/>
        <v>2.85</v>
      </c>
      <c r="W106" s="221">
        <f t="shared" si="137"/>
        <v>57000</v>
      </c>
      <c r="X106" s="221">
        <f t="shared" si="138"/>
        <v>341999.99999999994</v>
      </c>
      <c r="Y106" s="221">
        <f t="shared" si="139"/>
        <v>142500</v>
      </c>
      <c r="Z106" s="221">
        <f t="shared" si="140"/>
        <v>28500</v>
      </c>
      <c r="AA106" s="272"/>
      <c r="AB106" s="221">
        <f t="shared" si="147"/>
        <v>0</v>
      </c>
      <c r="AC106" s="627">
        <v>0</v>
      </c>
      <c r="AD106" s="225">
        <f t="shared" si="148"/>
        <v>0</v>
      </c>
      <c r="AE106" s="272"/>
      <c r="AF106" s="53">
        <f t="shared" si="94"/>
        <v>0</v>
      </c>
      <c r="AG106" s="272"/>
      <c r="AH106" s="53">
        <f t="shared" si="95"/>
        <v>0</v>
      </c>
      <c r="AI106" s="272">
        <v>10</v>
      </c>
      <c r="AJ106" s="53">
        <f t="shared" si="96"/>
        <v>100000</v>
      </c>
      <c r="AK106" s="272">
        <v>2</v>
      </c>
      <c r="AL106" s="53">
        <f t="shared" si="97"/>
        <v>20000</v>
      </c>
      <c r="AM106" s="627">
        <v>0</v>
      </c>
      <c r="AN106" s="53">
        <f t="shared" si="98"/>
        <v>0</v>
      </c>
      <c r="AO106" s="272">
        <v>10</v>
      </c>
      <c r="AP106" s="53">
        <f t="shared" si="99"/>
        <v>100000</v>
      </c>
      <c r="AQ106" s="272"/>
      <c r="AR106" s="53">
        <f t="shared" si="100"/>
        <v>0</v>
      </c>
      <c r="AS106" s="627">
        <v>0</v>
      </c>
      <c r="AT106" s="53">
        <f t="shared" si="101"/>
        <v>0</v>
      </c>
      <c r="AU106" s="272"/>
      <c r="AV106" s="53">
        <f t="shared" si="102"/>
        <v>0</v>
      </c>
      <c r="AW106" s="272"/>
      <c r="AX106" s="53">
        <f t="shared" si="103"/>
        <v>0</v>
      </c>
      <c r="AY106" s="76">
        <v>6</v>
      </c>
      <c r="AZ106" s="53">
        <f t="shared" si="104"/>
        <v>60000</v>
      </c>
      <c r="BA106" s="267"/>
      <c r="BB106" s="53">
        <f t="shared" si="105"/>
        <v>0</v>
      </c>
      <c r="BC106" s="623">
        <v>29</v>
      </c>
      <c r="BD106" s="53">
        <f t="shared" si="106"/>
        <v>290000</v>
      </c>
      <c r="BE106" s="267">
        <v>0</v>
      </c>
      <c r="BF106" s="53">
        <f t="shared" si="107"/>
        <v>0</v>
      </c>
      <c r="BG106" s="267">
        <v>0</v>
      </c>
      <c r="BH106" s="53">
        <f t="shared" si="108"/>
        <v>0</v>
      </c>
      <c r="BI106" s="272"/>
      <c r="BJ106" s="53">
        <f t="shared" si="109"/>
        <v>0</v>
      </c>
      <c r="BK106" s="224">
        <f t="shared" si="149"/>
        <v>57</v>
      </c>
      <c r="BL106" s="53">
        <f t="shared" si="149"/>
        <v>570000</v>
      </c>
      <c r="BM106" s="306" t="s">
        <v>480</v>
      </c>
      <c r="BN106" s="682">
        <f t="shared" si="124"/>
        <v>570000</v>
      </c>
      <c r="BO106" s="230"/>
      <c r="BP106" s="270"/>
      <c r="BQ106" s="551">
        <f t="shared" si="141"/>
        <v>570000</v>
      </c>
      <c r="BR106" s="270"/>
      <c r="BS106" s="176">
        <f t="shared" si="142"/>
        <v>570000</v>
      </c>
      <c r="BT106" s="270"/>
      <c r="BU106" s="270"/>
      <c r="BV106" s="113"/>
      <c r="BW106" s="177">
        <f t="shared" si="143"/>
        <v>570000</v>
      </c>
      <c r="BX106" s="269"/>
      <c r="BY106" s="269"/>
      <c r="BZ106" s="269"/>
      <c r="CA106" s="269"/>
      <c r="CB106" s="269"/>
      <c r="CC106" s="269"/>
      <c r="CD106" s="269"/>
      <c r="CE106" s="269"/>
    </row>
    <row r="107" spans="1:83" s="273" customFormat="1" ht="20.25" customHeight="1" x14ac:dyDescent="0.25">
      <c r="A107" s="910"/>
      <c r="B107" s="237"/>
      <c r="C107" s="169"/>
      <c r="D107" s="132" t="s">
        <v>760</v>
      </c>
      <c r="E107" s="38" t="s">
        <v>152</v>
      </c>
      <c r="F107" s="231">
        <v>30000</v>
      </c>
      <c r="G107" s="222">
        <f t="shared" si="89"/>
        <v>0</v>
      </c>
      <c r="H107" s="230">
        <f t="shared" si="128"/>
        <v>0</v>
      </c>
      <c r="I107" s="230">
        <f>H107*0.1</f>
        <v>0</v>
      </c>
      <c r="J107" s="230">
        <f>H107*0.8</f>
        <v>0</v>
      </c>
      <c r="K107" s="230"/>
      <c r="L107" s="230"/>
      <c r="M107" s="230"/>
      <c r="N107" s="230"/>
      <c r="O107" s="230"/>
      <c r="P107" s="230"/>
      <c r="Q107" s="230">
        <f>H107*0.1</f>
        <v>0</v>
      </c>
      <c r="R107" s="230"/>
      <c r="S107" s="225">
        <f t="shared" si="133"/>
        <v>0</v>
      </c>
      <c r="T107" s="225">
        <f t="shared" si="134"/>
        <v>0</v>
      </c>
      <c r="U107" s="225">
        <f t="shared" si="135"/>
        <v>0</v>
      </c>
      <c r="V107" s="225">
        <f t="shared" si="136"/>
        <v>0</v>
      </c>
      <c r="W107" s="221">
        <f t="shared" si="137"/>
        <v>0</v>
      </c>
      <c r="X107" s="221">
        <f t="shared" si="138"/>
        <v>0</v>
      </c>
      <c r="Y107" s="221">
        <f t="shared" si="139"/>
        <v>0</v>
      </c>
      <c r="Z107" s="221">
        <f t="shared" si="140"/>
        <v>0</v>
      </c>
      <c r="AA107" s="272"/>
      <c r="AB107" s="221">
        <f t="shared" si="147"/>
        <v>0</v>
      </c>
      <c r="AC107" s="272"/>
      <c r="AD107" s="225">
        <f t="shared" si="148"/>
        <v>0</v>
      </c>
      <c r="AE107" s="272"/>
      <c r="AF107" s="53">
        <f t="shared" si="94"/>
        <v>0</v>
      </c>
      <c r="AG107" s="272"/>
      <c r="AH107" s="53">
        <f t="shared" si="95"/>
        <v>0</v>
      </c>
      <c r="AI107" s="272">
        <v>0</v>
      </c>
      <c r="AJ107" s="688">
        <f t="shared" si="96"/>
        <v>0</v>
      </c>
      <c r="AK107" s="272"/>
      <c r="AL107" s="53">
        <f t="shared" si="97"/>
        <v>0</v>
      </c>
      <c r="AM107" s="272"/>
      <c r="AN107" s="53">
        <f t="shared" si="98"/>
        <v>0</v>
      </c>
      <c r="AO107" s="272"/>
      <c r="AP107" s="53">
        <f t="shared" si="99"/>
        <v>0</v>
      </c>
      <c r="AQ107" s="272"/>
      <c r="AR107" s="53">
        <f t="shared" si="100"/>
        <v>0</v>
      </c>
      <c r="AS107" s="272"/>
      <c r="AT107" s="53">
        <f t="shared" si="101"/>
        <v>0</v>
      </c>
      <c r="AU107" s="272"/>
      <c r="AV107" s="53">
        <f t="shared" si="102"/>
        <v>0</v>
      </c>
      <c r="AW107" s="272"/>
      <c r="AX107" s="53">
        <f t="shared" si="103"/>
        <v>0</v>
      </c>
      <c r="AY107" s="76"/>
      <c r="AZ107" s="53">
        <f t="shared" si="104"/>
        <v>0</v>
      </c>
      <c r="BA107" s="267"/>
      <c r="BB107" s="53">
        <f t="shared" si="105"/>
        <v>0</v>
      </c>
      <c r="BC107" s="267"/>
      <c r="BD107" s="53">
        <f t="shared" si="106"/>
        <v>0</v>
      </c>
      <c r="BE107" s="267"/>
      <c r="BF107" s="53">
        <f t="shared" si="107"/>
        <v>0</v>
      </c>
      <c r="BG107" s="267"/>
      <c r="BH107" s="53">
        <f t="shared" si="108"/>
        <v>0</v>
      </c>
      <c r="BI107" s="272"/>
      <c r="BJ107" s="53">
        <f t="shared" si="109"/>
        <v>0</v>
      </c>
      <c r="BK107" s="224">
        <f t="shared" si="149"/>
        <v>0</v>
      </c>
      <c r="BL107" s="53">
        <f t="shared" si="149"/>
        <v>0</v>
      </c>
      <c r="BM107" s="306" t="s">
        <v>480</v>
      </c>
      <c r="BN107" s="682">
        <f t="shared" si="124"/>
        <v>0</v>
      </c>
      <c r="BO107" s="230"/>
      <c r="BP107" s="270"/>
      <c r="BQ107" s="551">
        <f t="shared" si="141"/>
        <v>0</v>
      </c>
      <c r="BR107" s="270"/>
      <c r="BS107" s="176">
        <f t="shared" si="142"/>
        <v>0</v>
      </c>
      <c r="BT107" s="270"/>
      <c r="BU107" s="270"/>
      <c r="BV107" s="113"/>
      <c r="BW107" s="177">
        <f t="shared" si="143"/>
        <v>0</v>
      </c>
      <c r="BX107" s="269"/>
      <c r="BY107" s="269"/>
      <c r="BZ107" s="269"/>
      <c r="CA107" s="269"/>
      <c r="CB107" s="269"/>
      <c r="CC107" s="269"/>
      <c r="CD107" s="269"/>
      <c r="CE107" s="269"/>
    </row>
    <row r="108" spans="1:83" s="273" customFormat="1" ht="20.25" customHeight="1" x14ac:dyDescent="0.25">
      <c r="A108" s="910"/>
      <c r="B108" s="237"/>
      <c r="C108" s="169"/>
      <c r="D108" s="132" t="s">
        <v>750</v>
      </c>
      <c r="E108" s="38" t="s">
        <v>152</v>
      </c>
      <c r="F108" s="231">
        <v>30000</v>
      </c>
      <c r="G108" s="222">
        <f t="shared" si="89"/>
        <v>48</v>
      </c>
      <c r="H108" s="230">
        <f t="shared" si="128"/>
        <v>1440000</v>
      </c>
      <c r="I108" s="230">
        <f>H108*0.1</f>
        <v>144000</v>
      </c>
      <c r="J108" s="230">
        <f>H108*0.8</f>
        <v>1152000</v>
      </c>
      <c r="K108" s="230"/>
      <c r="L108" s="230"/>
      <c r="M108" s="230"/>
      <c r="N108" s="230"/>
      <c r="O108" s="230"/>
      <c r="P108" s="230"/>
      <c r="Q108" s="230">
        <f>H108*0.1</f>
        <v>144000</v>
      </c>
      <c r="R108" s="230"/>
      <c r="S108" s="225">
        <f t="shared" si="133"/>
        <v>4.8000000000000007</v>
      </c>
      <c r="T108" s="225">
        <f t="shared" si="134"/>
        <v>28.799999999999997</v>
      </c>
      <c r="U108" s="225">
        <f t="shared" si="135"/>
        <v>12</v>
      </c>
      <c r="V108" s="225">
        <f t="shared" si="136"/>
        <v>2.4000000000000004</v>
      </c>
      <c r="W108" s="221">
        <f t="shared" si="137"/>
        <v>144000.00000000003</v>
      </c>
      <c r="X108" s="221">
        <f t="shared" si="138"/>
        <v>863999.99999999988</v>
      </c>
      <c r="Y108" s="221">
        <f t="shared" si="139"/>
        <v>360000</v>
      </c>
      <c r="Z108" s="221">
        <f t="shared" si="140"/>
        <v>72000.000000000015</v>
      </c>
      <c r="AA108" s="272"/>
      <c r="AB108" s="221">
        <f t="shared" si="147"/>
        <v>0</v>
      </c>
      <c r="AC108" s="272"/>
      <c r="AD108" s="225">
        <f t="shared" si="148"/>
        <v>0</v>
      </c>
      <c r="AE108" s="272"/>
      <c r="AF108" s="53">
        <f t="shared" si="94"/>
        <v>0</v>
      </c>
      <c r="AG108" s="272">
        <v>20</v>
      </c>
      <c r="AH108" s="688">
        <f t="shared" si="95"/>
        <v>600000</v>
      </c>
      <c r="AI108" s="272">
        <v>15</v>
      </c>
      <c r="AJ108" s="688">
        <f t="shared" si="96"/>
        <v>450000</v>
      </c>
      <c r="AK108" s="272"/>
      <c r="AL108" s="53">
        <f t="shared" si="97"/>
        <v>0</v>
      </c>
      <c r="AM108" s="272"/>
      <c r="AN108" s="53">
        <f t="shared" si="98"/>
        <v>0</v>
      </c>
      <c r="AO108" s="272"/>
      <c r="AP108" s="53">
        <f t="shared" si="99"/>
        <v>0</v>
      </c>
      <c r="AQ108" s="272">
        <v>5</v>
      </c>
      <c r="AR108" s="53">
        <f t="shared" si="100"/>
        <v>150000</v>
      </c>
      <c r="AS108" s="272"/>
      <c r="AT108" s="53">
        <f t="shared" si="101"/>
        <v>0</v>
      </c>
      <c r="AU108" s="272"/>
      <c r="AV108" s="53">
        <f t="shared" si="102"/>
        <v>0</v>
      </c>
      <c r="AW108" s="272"/>
      <c r="AX108" s="53">
        <f t="shared" si="103"/>
        <v>0</v>
      </c>
      <c r="AY108" s="76"/>
      <c r="AZ108" s="53">
        <f t="shared" si="104"/>
        <v>0</v>
      </c>
      <c r="BA108" s="267"/>
      <c r="BB108" s="53">
        <f t="shared" si="105"/>
        <v>0</v>
      </c>
      <c r="BC108" s="623">
        <v>5</v>
      </c>
      <c r="BD108" s="53">
        <f t="shared" si="106"/>
        <v>150000</v>
      </c>
      <c r="BE108" s="267">
        <v>2</v>
      </c>
      <c r="BF108" s="53">
        <f t="shared" si="107"/>
        <v>60000</v>
      </c>
      <c r="BG108" s="267">
        <v>1</v>
      </c>
      <c r="BH108" s="53">
        <f t="shared" si="108"/>
        <v>30000</v>
      </c>
      <c r="BI108" s="272"/>
      <c r="BJ108" s="53">
        <f t="shared" si="109"/>
        <v>0</v>
      </c>
      <c r="BK108" s="224">
        <f t="shared" si="149"/>
        <v>48</v>
      </c>
      <c r="BL108" s="53">
        <f t="shared" si="149"/>
        <v>1440000</v>
      </c>
      <c r="BM108" s="306" t="s">
        <v>480</v>
      </c>
      <c r="BN108" s="682">
        <f t="shared" si="124"/>
        <v>1440000</v>
      </c>
      <c r="BO108" s="230"/>
      <c r="BP108" s="270"/>
      <c r="BQ108" s="551">
        <f t="shared" si="141"/>
        <v>1440000</v>
      </c>
      <c r="BR108" s="270"/>
      <c r="BS108" s="176">
        <f t="shared" si="142"/>
        <v>1440000</v>
      </c>
      <c r="BT108" s="270"/>
      <c r="BU108" s="270"/>
      <c r="BV108" s="113"/>
      <c r="BW108" s="177">
        <f t="shared" si="143"/>
        <v>1440000</v>
      </c>
      <c r="BX108" s="269"/>
      <c r="BY108" s="269"/>
      <c r="BZ108" s="269"/>
      <c r="CA108" s="269"/>
      <c r="CB108" s="269"/>
      <c r="CC108" s="269"/>
      <c r="CD108" s="269"/>
      <c r="CE108" s="269"/>
    </row>
    <row r="109" spans="1:83" s="273" customFormat="1" ht="20.25" customHeight="1" x14ac:dyDescent="0.25">
      <c r="A109" s="910"/>
      <c r="B109" s="240"/>
      <c r="C109" s="241"/>
      <c r="D109" s="233" t="s">
        <v>3</v>
      </c>
      <c r="E109" s="241"/>
      <c r="F109" s="243"/>
      <c r="G109" s="235">
        <f t="shared" si="89"/>
        <v>2889</v>
      </c>
      <c r="H109" s="206">
        <f>SUM(H89:H108)</f>
        <v>72226200</v>
      </c>
      <c r="I109" s="206">
        <f t="shared" ref="I109:BJ109" si="150">SUM(I89:I108)</f>
        <v>3397200</v>
      </c>
      <c r="J109" s="206">
        <f t="shared" si="150"/>
        <v>27177600</v>
      </c>
      <c r="K109" s="206">
        <f t="shared" si="150"/>
        <v>0</v>
      </c>
      <c r="L109" s="206">
        <f t="shared" si="150"/>
        <v>0</v>
      </c>
      <c r="M109" s="206">
        <f t="shared" si="150"/>
        <v>0</v>
      </c>
      <c r="N109" s="206">
        <f t="shared" si="150"/>
        <v>0</v>
      </c>
      <c r="O109" s="206">
        <f t="shared" si="150"/>
        <v>0</v>
      </c>
      <c r="P109" s="206">
        <f t="shared" si="150"/>
        <v>0</v>
      </c>
      <c r="Q109" s="206">
        <f t="shared" si="150"/>
        <v>3397200</v>
      </c>
      <c r="R109" s="206">
        <f t="shared" si="150"/>
        <v>38254200</v>
      </c>
      <c r="S109" s="206">
        <f t="shared" si="150"/>
        <v>288.90000000000003</v>
      </c>
      <c r="T109" s="206">
        <f t="shared" si="150"/>
        <v>1733.3999999999999</v>
      </c>
      <c r="U109" s="206">
        <f t="shared" si="150"/>
        <v>722.25</v>
      </c>
      <c r="V109" s="206">
        <f t="shared" si="150"/>
        <v>144.45000000000002</v>
      </c>
      <c r="W109" s="206">
        <f t="shared" si="150"/>
        <v>7222620</v>
      </c>
      <c r="X109" s="206">
        <f t="shared" si="150"/>
        <v>43335720</v>
      </c>
      <c r="Y109" s="206">
        <f t="shared" si="150"/>
        <v>18056550</v>
      </c>
      <c r="Z109" s="206">
        <f t="shared" si="150"/>
        <v>3611310</v>
      </c>
      <c r="AA109" s="206">
        <f t="shared" si="150"/>
        <v>119</v>
      </c>
      <c r="AB109" s="206">
        <f t="shared" si="150"/>
        <v>2371300</v>
      </c>
      <c r="AC109" s="206">
        <f t="shared" si="150"/>
        <v>118</v>
      </c>
      <c r="AD109" s="206">
        <f t="shared" si="150"/>
        <v>4473300</v>
      </c>
      <c r="AE109" s="206">
        <f t="shared" si="150"/>
        <v>405</v>
      </c>
      <c r="AF109" s="206">
        <f t="shared" si="150"/>
        <v>7731600</v>
      </c>
      <c r="AG109" s="206">
        <f t="shared" si="150"/>
        <v>252</v>
      </c>
      <c r="AH109" s="206">
        <f t="shared" si="150"/>
        <v>6555800</v>
      </c>
      <c r="AI109" s="206">
        <f t="shared" si="150"/>
        <v>300</v>
      </c>
      <c r="AJ109" s="206">
        <f t="shared" si="150"/>
        <v>5464800</v>
      </c>
      <c r="AK109" s="206">
        <f t="shared" si="150"/>
        <v>98</v>
      </c>
      <c r="AL109" s="206">
        <f t="shared" si="150"/>
        <v>2799600</v>
      </c>
      <c r="AM109" s="206">
        <f t="shared" si="150"/>
        <v>251</v>
      </c>
      <c r="AN109" s="206">
        <f t="shared" si="150"/>
        <v>4059800</v>
      </c>
      <c r="AO109" s="206">
        <f t="shared" si="150"/>
        <v>65</v>
      </c>
      <c r="AP109" s="206">
        <f t="shared" si="150"/>
        <v>2716200</v>
      </c>
      <c r="AQ109" s="206">
        <f t="shared" si="150"/>
        <v>78</v>
      </c>
      <c r="AR109" s="206">
        <f t="shared" si="150"/>
        <v>2177300</v>
      </c>
      <c r="AS109" s="206">
        <f t="shared" si="150"/>
        <v>70</v>
      </c>
      <c r="AT109" s="206">
        <f t="shared" si="150"/>
        <v>2081300</v>
      </c>
      <c r="AU109" s="206">
        <f t="shared" si="150"/>
        <v>203</v>
      </c>
      <c r="AV109" s="206">
        <f t="shared" si="150"/>
        <v>7034600</v>
      </c>
      <c r="AW109" s="206">
        <f t="shared" si="150"/>
        <v>148</v>
      </c>
      <c r="AX109" s="206">
        <f t="shared" si="150"/>
        <v>4886100</v>
      </c>
      <c r="AY109" s="206">
        <f t="shared" si="150"/>
        <v>220</v>
      </c>
      <c r="AZ109" s="206">
        <f t="shared" si="150"/>
        <v>5587600</v>
      </c>
      <c r="BA109" s="206">
        <f t="shared" si="150"/>
        <v>104</v>
      </c>
      <c r="BB109" s="206">
        <f t="shared" si="150"/>
        <v>3280800</v>
      </c>
      <c r="BC109" s="206">
        <f t="shared" si="150"/>
        <v>148</v>
      </c>
      <c r="BD109" s="206">
        <f t="shared" si="150"/>
        <v>3708100</v>
      </c>
      <c r="BE109" s="206">
        <f t="shared" si="150"/>
        <v>133</v>
      </c>
      <c r="BF109" s="206">
        <f t="shared" si="150"/>
        <v>3113400</v>
      </c>
      <c r="BG109" s="206">
        <f t="shared" si="150"/>
        <v>177</v>
      </c>
      <c r="BH109" s="206">
        <f t="shared" si="150"/>
        <v>4184600</v>
      </c>
      <c r="BI109" s="206">
        <f t="shared" si="150"/>
        <v>0</v>
      </c>
      <c r="BJ109" s="206">
        <f t="shared" si="150"/>
        <v>0</v>
      </c>
      <c r="BK109" s="206">
        <f t="shared" si="149"/>
        <v>2889</v>
      </c>
      <c r="BL109" s="206">
        <f t="shared" si="149"/>
        <v>72226200</v>
      </c>
      <c r="BM109" s="312"/>
      <c r="BN109" s="682">
        <f t="shared" si="124"/>
        <v>72226200</v>
      </c>
      <c r="BO109" s="542">
        <f t="shared" ref="BO109:BV109" si="151">SUM(BO88:BO104)</f>
        <v>0</v>
      </c>
      <c r="BP109" s="542">
        <f t="shared" si="151"/>
        <v>0</v>
      </c>
      <c r="BQ109" s="542">
        <f>SUM(BQ88:BQ108)</f>
        <v>72226200</v>
      </c>
      <c r="BR109" s="542">
        <f t="shared" si="151"/>
        <v>0</v>
      </c>
      <c r="BS109" s="542">
        <f>SUM(BS88:BS108)</f>
        <v>72226200</v>
      </c>
      <c r="BT109" s="542">
        <f t="shared" si="151"/>
        <v>0</v>
      </c>
      <c r="BU109" s="542">
        <f t="shared" si="151"/>
        <v>0</v>
      </c>
      <c r="BV109" s="542">
        <f t="shared" si="151"/>
        <v>0</v>
      </c>
      <c r="BW109" s="542">
        <f>SUM(BW88:BW108)</f>
        <v>72226200</v>
      </c>
      <c r="BX109" s="269"/>
      <c r="BY109" s="269"/>
      <c r="BZ109" s="269"/>
      <c r="CA109" s="269"/>
      <c r="CB109" s="269"/>
      <c r="CC109" s="269"/>
      <c r="CD109" s="269"/>
      <c r="CE109" s="269"/>
    </row>
    <row r="110" spans="1:83" s="273" customFormat="1" ht="20.25" customHeight="1" x14ac:dyDescent="0.25">
      <c r="A110" s="910"/>
      <c r="B110" s="237"/>
      <c r="C110" s="169"/>
      <c r="D110" s="248" t="s">
        <v>708</v>
      </c>
      <c r="E110" s="169"/>
      <c r="F110" s="231"/>
      <c r="G110" s="222">
        <f t="shared" si="89"/>
        <v>0</v>
      </c>
      <c r="H110" s="230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72"/>
      <c r="T110" s="272"/>
      <c r="U110" s="272"/>
      <c r="V110" s="272"/>
      <c r="W110" s="274"/>
      <c r="X110" s="274"/>
      <c r="Y110" s="274"/>
      <c r="Z110" s="274"/>
      <c r="AA110" s="272"/>
      <c r="AB110" s="221">
        <f t="shared" si="147"/>
        <v>0</v>
      </c>
      <c r="AC110" s="272"/>
      <c r="AD110" s="225">
        <f t="shared" si="148"/>
        <v>0</v>
      </c>
      <c r="AE110" s="272"/>
      <c r="AF110" s="53">
        <f t="shared" si="94"/>
        <v>0</v>
      </c>
      <c r="AG110" s="272"/>
      <c r="AH110" s="53">
        <f t="shared" si="95"/>
        <v>0</v>
      </c>
      <c r="AI110" s="272"/>
      <c r="AJ110" s="53">
        <f t="shared" si="96"/>
        <v>0</v>
      </c>
      <c r="AK110" s="272"/>
      <c r="AL110" s="53">
        <f t="shared" si="97"/>
        <v>0</v>
      </c>
      <c r="AM110" s="272"/>
      <c r="AN110" s="53">
        <f t="shared" si="98"/>
        <v>0</v>
      </c>
      <c r="AO110" s="272"/>
      <c r="AP110" s="53">
        <f t="shared" si="99"/>
        <v>0</v>
      </c>
      <c r="AQ110" s="272"/>
      <c r="AR110" s="53">
        <f t="shared" si="100"/>
        <v>0</v>
      </c>
      <c r="AS110" s="272"/>
      <c r="AT110" s="53">
        <f t="shared" si="101"/>
        <v>0</v>
      </c>
      <c r="AU110" s="272"/>
      <c r="AV110" s="53">
        <f t="shared" si="102"/>
        <v>0</v>
      </c>
      <c r="AW110" s="267"/>
      <c r="AX110" s="53">
        <f t="shared" si="103"/>
        <v>0</v>
      </c>
      <c r="AY110" s="76"/>
      <c r="AZ110" s="53">
        <f t="shared" si="104"/>
        <v>0</v>
      </c>
      <c r="BA110" s="267"/>
      <c r="BB110" s="53">
        <f t="shared" si="105"/>
        <v>0</v>
      </c>
      <c r="BC110" s="267"/>
      <c r="BD110" s="53">
        <f t="shared" si="106"/>
        <v>0</v>
      </c>
      <c r="BE110" s="267"/>
      <c r="BF110" s="53">
        <f t="shared" si="107"/>
        <v>0</v>
      </c>
      <c r="BG110" s="272"/>
      <c r="BH110" s="53">
        <f t="shared" si="108"/>
        <v>0</v>
      </c>
      <c r="BI110" s="272"/>
      <c r="BJ110" s="53">
        <f t="shared" si="109"/>
        <v>0</v>
      </c>
      <c r="BK110" s="224">
        <f t="shared" si="149"/>
        <v>0</v>
      </c>
      <c r="BL110" s="53">
        <f t="shared" si="149"/>
        <v>0</v>
      </c>
      <c r="BM110" s="312"/>
      <c r="BN110" s="682">
        <f t="shared" si="124"/>
        <v>0</v>
      </c>
      <c r="BO110" s="230"/>
      <c r="BP110" s="270"/>
      <c r="BQ110" s="270"/>
      <c r="BR110" s="270"/>
      <c r="BS110" s="113"/>
      <c r="BT110" s="270"/>
      <c r="BU110" s="270"/>
      <c r="BV110" s="113"/>
      <c r="BW110" s="217"/>
      <c r="BX110" s="269"/>
      <c r="BY110" s="269"/>
      <c r="BZ110" s="269"/>
      <c r="CA110" s="269"/>
      <c r="CB110" s="269"/>
      <c r="CC110" s="269"/>
      <c r="CD110" s="269"/>
      <c r="CE110" s="269"/>
    </row>
    <row r="111" spans="1:83" s="273" customFormat="1" ht="20.25" customHeight="1" x14ac:dyDescent="0.25">
      <c r="A111" s="910"/>
      <c r="B111" s="219"/>
      <c r="C111" s="38"/>
      <c r="D111" s="38" t="s">
        <v>713</v>
      </c>
      <c r="E111" s="38" t="s">
        <v>152</v>
      </c>
      <c r="F111" s="229">
        <v>50000</v>
      </c>
      <c r="G111" s="222">
        <f t="shared" si="89"/>
        <v>16</v>
      </c>
      <c r="H111" s="230">
        <f t="shared" ref="H111:H125" si="152">G111*F111</f>
        <v>800000</v>
      </c>
      <c r="I111" s="230">
        <f>H111*0.1</f>
        <v>80000</v>
      </c>
      <c r="J111" s="230">
        <f>H111*0.8</f>
        <v>640000</v>
      </c>
      <c r="K111" s="230"/>
      <c r="L111" s="230"/>
      <c r="M111" s="230"/>
      <c r="N111" s="230"/>
      <c r="O111" s="230"/>
      <c r="P111" s="230"/>
      <c r="Q111" s="230">
        <f>H111*0.1</f>
        <v>80000</v>
      </c>
      <c r="R111" s="230"/>
      <c r="S111" s="225">
        <f t="shared" ref="S111" si="153">G111*0.1</f>
        <v>1.6</v>
      </c>
      <c r="T111" s="225">
        <f t="shared" ref="T111" si="154">G111*0.6</f>
        <v>9.6</v>
      </c>
      <c r="U111" s="225">
        <f t="shared" ref="U111" si="155">G111*0.25</f>
        <v>4</v>
      </c>
      <c r="V111" s="225">
        <f t="shared" ref="V111" si="156">G111*0.05</f>
        <v>0.8</v>
      </c>
      <c r="W111" s="221">
        <f>S111*F111</f>
        <v>80000</v>
      </c>
      <c r="X111" s="221">
        <f>T111*F111</f>
        <v>480000</v>
      </c>
      <c r="Y111" s="221">
        <f>U111*F111</f>
        <v>200000</v>
      </c>
      <c r="Z111" s="221">
        <f>V111*F111</f>
        <v>40000</v>
      </c>
      <c r="AA111" s="224">
        <v>2</v>
      </c>
      <c r="AB111" s="221">
        <f t="shared" si="147"/>
        <v>100000</v>
      </c>
      <c r="AC111" s="224"/>
      <c r="AD111" s="225">
        <f t="shared" si="148"/>
        <v>0</v>
      </c>
      <c r="AE111" s="224"/>
      <c r="AF111" s="53">
        <f t="shared" si="94"/>
        <v>0</v>
      </c>
      <c r="AG111" s="224">
        <v>1</v>
      </c>
      <c r="AH111" s="53">
        <f t="shared" si="95"/>
        <v>50000</v>
      </c>
      <c r="AI111" s="224"/>
      <c r="AJ111" s="53">
        <f t="shared" si="96"/>
        <v>0</v>
      </c>
      <c r="AK111" s="224">
        <v>4</v>
      </c>
      <c r="AL111" s="53">
        <f t="shared" si="97"/>
        <v>200000</v>
      </c>
      <c r="AM111" s="224"/>
      <c r="AN111" s="53">
        <f t="shared" si="98"/>
        <v>0</v>
      </c>
      <c r="AO111" s="224">
        <v>0</v>
      </c>
      <c r="AP111" s="53">
        <f t="shared" si="99"/>
        <v>0</v>
      </c>
      <c r="AQ111" s="224">
        <v>1</v>
      </c>
      <c r="AR111" s="53">
        <f t="shared" si="100"/>
        <v>50000</v>
      </c>
      <c r="AS111" s="224"/>
      <c r="AT111" s="53">
        <f t="shared" si="101"/>
        <v>0</v>
      </c>
      <c r="AU111" s="630">
        <v>0</v>
      </c>
      <c r="AV111" s="53">
        <f t="shared" si="102"/>
        <v>0</v>
      </c>
      <c r="AW111" s="224">
        <v>4</v>
      </c>
      <c r="AX111" s="53">
        <f t="shared" si="103"/>
        <v>200000</v>
      </c>
      <c r="AY111" s="53"/>
      <c r="AZ111" s="53">
        <f t="shared" si="104"/>
        <v>0</v>
      </c>
      <c r="BA111" s="224"/>
      <c r="BB111" s="53">
        <f t="shared" si="105"/>
        <v>0</v>
      </c>
      <c r="BC111" s="224">
        <v>2</v>
      </c>
      <c r="BD111" s="53">
        <f t="shared" si="106"/>
        <v>100000</v>
      </c>
      <c r="BE111" s="224">
        <v>2</v>
      </c>
      <c r="BF111" s="53">
        <f t="shared" si="107"/>
        <v>100000</v>
      </c>
      <c r="BG111" s="224"/>
      <c r="BH111" s="53">
        <f t="shared" si="108"/>
        <v>0</v>
      </c>
      <c r="BI111" s="224"/>
      <c r="BJ111" s="53">
        <f t="shared" si="109"/>
        <v>0</v>
      </c>
      <c r="BK111" s="224">
        <f t="shared" si="149"/>
        <v>16</v>
      </c>
      <c r="BL111" s="53">
        <f t="shared" si="149"/>
        <v>800000</v>
      </c>
      <c r="BM111" s="306" t="s">
        <v>480</v>
      </c>
      <c r="BN111" s="682">
        <f t="shared" si="124"/>
        <v>800000</v>
      </c>
      <c r="BO111" s="230"/>
      <c r="BP111" s="270"/>
      <c r="BQ111" s="270">
        <f>H111</f>
        <v>800000</v>
      </c>
      <c r="BR111" s="270"/>
      <c r="BS111" s="113">
        <f>BO111+BP111+BQ111+BR111</f>
        <v>800000</v>
      </c>
      <c r="BT111" s="270"/>
      <c r="BU111" s="270"/>
      <c r="BV111" s="113"/>
      <c r="BW111" s="217">
        <f>BS111+BV111</f>
        <v>800000</v>
      </c>
      <c r="BX111" s="269"/>
      <c r="BY111" s="269"/>
      <c r="BZ111" s="269"/>
      <c r="CA111" s="269"/>
      <c r="CB111" s="269"/>
      <c r="CC111" s="269"/>
      <c r="CD111" s="269"/>
      <c r="CE111" s="269"/>
    </row>
    <row r="112" spans="1:83" s="273" customFormat="1" ht="20.25" customHeight="1" x14ac:dyDescent="0.25">
      <c r="A112" s="910"/>
      <c r="B112" s="237" t="s">
        <v>493</v>
      </c>
      <c r="C112" s="169"/>
      <c r="D112" s="132" t="s">
        <v>664</v>
      </c>
      <c r="E112" s="38" t="s">
        <v>152</v>
      </c>
      <c r="F112" s="626">
        <v>20000</v>
      </c>
      <c r="G112" s="222">
        <f t="shared" si="89"/>
        <v>54</v>
      </c>
      <c r="H112" s="230">
        <f t="shared" si="152"/>
        <v>1080000</v>
      </c>
      <c r="I112" s="230">
        <f t="shared" ref="I112:I125" si="157">H112*0.1</f>
        <v>108000</v>
      </c>
      <c r="J112" s="230">
        <f t="shared" ref="J112:J125" si="158">H112*0.8</f>
        <v>864000</v>
      </c>
      <c r="K112" s="239"/>
      <c r="L112" s="239"/>
      <c r="M112" s="239"/>
      <c r="N112" s="239"/>
      <c r="O112" s="239"/>
      <c r="P112" s="239"/>
      <c r="Q112" s="230">
        <f t="shared" ref="Q112:Q125" si="159">H112*0.1</f>
        <v>108000</v>
      </c>
      <c r="R112" s="230"/>
      <c r="S112" s="225">
        <f t="shared" ref="S112:S125" si="160">G112*0.1</f>
        <v>5.4</v>
      </c>
      <c r="T112" s="225">
        <f t="shared" ref="T112:T125" si="161">G112*0.6</f>
        <v>32.4</v>
      </c>
      <c r="U112" s="225">
        <f t="shared" ref="U112:U125" si="162">G112*0.25</f>
        <v>13.5</v>
      </c>
      <c r="V112" s="225">
        <f t="shared" ref="V112:V125" si="163">G112*0.05</f>
        <v>2.7</v>
      </c>
      <c r="W112" s="221">
        <f t="shared" ref="W112:W125" si="164">S112*F112</f>
        <v>108000</v>
      </c>
      <c r="X112" s="221">
        <f t="shared" ref="X112:X125" si="165">T112*F112</f>
        <v>648000</v>
      </c>
      <c r="Y112" s="221">
        <f t="shared" ref="Y112:Y125" si="166">U112*F112</f>
        <v>270000</v>
      </c>
      <c r="Z112" s="221">
        <f t="shared" ref="Z112:Z125" si="167">V112*F112</f>
        <v>54000</v>
      </c>
      <c r="AA112" s="272">
        <v>2</v>
      </c>
      <c r="AB112" s="221">
        <f t="shared" si="147"/>
        <v>40000</v>
      </c>
      <c r="AC112" s="272">
        <v>2</v>
      </c>
      <c r="AD112" s="225">
        <f t="shared" si="148"/>
        <v>40000</v>
      </c>
      <c r="AE112" s="272">
        <v>5</v>
      </c>
      <c r="AF112" s="53">
        <f t="shared" si="94"/>
        <v>100000</v>
      </c>
      <c r="AG112" s="627">
        <v>0</v>
      </c>
      <c r="AH112" s="53">
        <f t="shared" si="95"/>
        <v>0</v>
      </c>
      <c r="AI112" s="272">
        <v>2</v>
      </c>
      <c r="AJ112" s="53">
        <f t="shared" si="96"/>
        <v>40000</v>
      </c>
      <c r="AK112" s="272">
        <v>2</v>
      </c>
      <c r="AL112" s="53">
        <f t="shared" si="97"/>
        <v>40000</v>
      </c>
      <c r="AM112" s="272">
        <v>0</v>
      </c>
      <c r="AN112" s="53">
        <f t="shared" si="98"/>
        <v>0</v>
      </c>
      <c r="AO112" s="627">
        <v>0</v>
      </c>
      <c r="AP112" s="53">
        <f t="shared" si="99"/>
        <v>0</v>
      </c>
      <c r="AQ112" s="272">
        <v>2</v>
      </c>
      <c r="AR112" s="53">
        <f t="shared" si="100"/>
        <v>40000</v>
      </c>
      <c r="AS112" s="272">
        <v>2</v>
      </c>
      <c r="AT112" s="53">
        <f t="shared" si="101"/>
        <v>40000</v>
      </c>
      <c r="AU112" s="272">
        <v>0</v>
      </c>
      <c r="AV112" s="53">
        <f t="shared" si="102"/>
        <v>0</v>
      </c>
      <c r="AW112" s="267">
        <v>1</v>
      </c>
      <c r="AX112" s="53">
        <f t="shared" si="103"/>
        <v>20000</v>
      </c>
      <c r="AY112" s="76">
        <v>2</v>
      </c>
      <c r="AZ112" s="53">
        <f t="shared" si="104"/>
        <v>40000</v>
      </c>
      <c r="BA112" s="267">
        <v>5</v>
      </c>
      <c r="BB112" s="53">
        <f t="shared" si="105"/>
        <v>100000</v>
      </c>
      <c r="BC112" s="623">
        <v>4</v>
      </c>
      <c r="BD112" s="53">
        <f t="shared" si="106"/>
        <v>80000</v>
      </c>
      <c r="BE112" s="623">
        <v>20</v>
      </c>
      <c r="BF112" s="53">
        <f t="shared" si="107"/>
        <v>400000</v>
      </c>
      <c r="BG112" s="272">
        <v>5</v>
      </c>
      <c r="BH112" s="53">
        <f t="shared" si="108"/>
        <v>100000</v>
      </c>
      <c r="BI112" s="272"/>
      <c r="BJ112" s="53">
        <f t="shared" si="109"/>
        <v>0</v>
      </c>
      <c r="BK112" s="224">
        <f t="shared" si="149"/>
        <v>54</v>
      </c>
      <c r="BL112" s="53">
        <f t="shared" si="149"/>
        <v>1080000</v>
      </c>
      <c r="BM112" s="306" t="s">
        <v>480</v>
      </c>
      <c r="BN112" s="682">
        <f t="shared" si="124"/>
        <v>1080000</v>
      </c>
      <c r="BO112" s="230"/>
      <c r="BP112" s="270"/>
      <c r="BQ112" s="270">
        <f t="shared" ref="BQ112:BQ125" si="168">H112</f>
        <v>1080000</v>
      </c>
      <c r="BR112" s="270"/>
      <c r="BS112" s="113">
        <f t="shared" ref="BS112:BS126" si="169">BO112+BP112+BQ112+BR112</f>
        <v>1080000</v>
      </c>
      <c r="BT112" s="270"/>
      <c r="BU112" s="270"/>
      <c r="BV112" s="113"/>
      <c r="BW112" s="217">
        <f t="shared" ref="BW112:BW126" si="170">BS112+BV112</f>
        <v>1080000</v>
      </c>
      <c r="BX112" s="269"/>
      <c r="BY112" s="269"/>
      <c r="BZ112" s="269"/>
      <c r="CA112" s="269"/>
      <c r="CB112" s="269"/>
      <c r="CC112" s="269"/>
      <c r="CD112" s="269"/>
      <c r="CE112" s="269"/>
    </row>
    <row r="113" spans="1:83" s="273" customFormat="1" ht="20.25" customHeight="1" x14ac:dyDescent="0.25">
      <c r="A113" s="910"/>
      <c r="B113" s="237"/>
      <c r="C113" s="169"/>
      <c r="D113" s="132" t="s">
        <v>656</v>
      </c>
      <c r="E113" s="38" t="s">
        <v>152</v>
      </c>
      <c r="F113" s="231">
        <v>50000</v>
      </c>
      <c r="G113" s="222">
        <f t="shared" si="89"/>
        <v>0</v>
      </c>
      <c r="H113" s="230">
        <f t="shared" si="152"/>
        <v>0</v>
      </c>
      <c r="I113" s="230">
        <f t="shared" si="157"/>
        <v>0</v>
      </c>
      <c r="J113" s="230">
        <f t="shared" si="158"/>
        <v>0</v>
      </c>
      <c r="K113" s="239"/>
      <c r="L113" s="239"/>
      <c r="M113" s="239"/>
      <c r="N113" s="239"/>
      <c r="O113" s="239"/>
      <c r="P113" s="239"/>
      <c r="Q113" s="230">
        <f t="shared" si="159"/>
        <v>0</v>
      </c>
      <c r="R113" s="230"/>
      <c r="S113" s="225">
        <f t="shared" si="160"/>
        <v>0</v>
      </c>
      <c r="T113" s="225">
        <f t="shared" si="161"/>
        <v>0</v>
      </c>
      <c r="U113" s="225">
        <f t="shared" si="162"/>
        <v>0</v>
      </c>
      <c r="V113" s="225">
        <f t="shared" si="163"/>
        <v>0</v>
      </c>
      <c r="W113" s="221">
        <f t="shared" si="164"/>
        <v>0</v>
      </c>
      <c r="X113" s="221">
        <f t="shared" si="165"/>
        <v>0</v>
      </c>
      <c r="Y113" s="221">
        <f t="shared" si="166"/>
        <v>0</v>
      </c>
      <c r="Z113" s="221">
        <f t="shared" si="167"/>
        <v>0</v>
      </c>
      <c r="AA113" s="272">
        <v>0</v>
      </c>
      <c r="AB113" s="221">
        <f t="shared" si="147"/>
        <v>0</v>
      </c>
      <c r="AC113" s="272">
        <v>0</v>
      </c>
      <c r="AD113" s="225">
        <f t="shared" si="148"/>
        <v>0</v>
      </c>
      <c r="AE113" s="272">
        <v>0</v>
      </c>
      <c r="AF113" s="53">
        <f t="shared" si="94"/>
        <v>0</v>
      </c>
      <c r="AG113" s="272">
        <v>0</v>
      </c>
      <c r="AH113" s="53">
        <f t="shared" si="95"/>
        <v>0</v>
      </c>
      <c r="AI113" s="272">
        <v>0</v>
      </c>
      <c r="AJ113" s="53">
        <f t="shared" si="96"/>
        <v>0</v>
      </c>
      <c r="AK113" s="272">
        <v>0</v>
      </c>
      <c r="AL113" s="53">
        <f t="shared" si="97"/>
        <v>0</v>
      </c>
      <c r="AM113" s="272">
        <v>0</v>
      </c>
      <c r="AN113" s="53">
        <f t="shared" si="98"/>
        <v>0</v>
      </c>
      <c r="AO113" s="272">
        <v>0</v>
      </c>
      <c r="AP113" s="53">
        <f t="shared" si="99"/>
        <v>0</v>
      </c>
      <c r="AQ113" s="272">
        <v>0</v>
      </c>
      <c r="AR113" s="53">
        <f t="shared" si="100"/>
        <v>0</v>
      </c>
      <c r="AS113" s="272">
        <v>0</v>
      </c>
      <c r="AT113" s="53">
        <f t="shared" si="101"/>
        <v>0</v>
      </c>
      <c r="AU113" s="272">
        <v>0</v>
      </c>
      <c r="AV113" s="53">
        <f t="shared" si="102"/>
        <v>0</v>
      </c>
      <c r="AW113" s="267">
        <v>0</v>
      </c>
      <c r="AX113" s="53">
        <f t="shared" si="103"/>
        <v>0</v>
      </c>
      <c r="AY113" s="76">
        <v>0</v>
      </c>
      <c r="AZ113" s="53">
        <f t="shared" si="104"/>
        <v>0</v>
      </c>
      <c r="BA113" s="267">
        <v>0</v>
      </c>
      <c r="BB113" s="53">
        <f t="shared" si="105"/>
        <v>0</v>
      </c>
      <c r="BC113" s="267">
        <v>0</v>
      </c>
      <c r="BD113" s="53">
        <f t="shared" si="106"/>
        <v>0</v>
      </c>
      <c r="BE113" s="267">
        <v>0</v>
      </c>
      <c r="BF113" s="53">
        <f t="shared" si="107"/>
        <v>0</v>
      </c>
      <c r="BG113" s="272">
        <v>0</v>
      </c>
      <c r="BH113" s="53">
        <f t="shared" si="108"/>
        <v>0</v>
      </c>
      <c r="BI113" s="272"/>
      <c r="BJ113" s="53">
        <f t="shared" si="109"/>
        <v>0</v>
      </c>
      <c r="BK113" s="224">
        <f t="shared" si="149"/>
        <v>0</v>
      </c>
      <c r="BL113" s="53">
        <f t="shared" si="149"/>
        <v>0</v>
      </c>
      <c r="BM113" s="306" t="s">
        <v>480</v>
      </c>
      <c r="BN113" s="682">
        <f t="shared" si="124"/>
        <v>0</v>
      </c>
      <c r="BO113" s="230"/>
      <c r="BP113" s="270"/>
      <c r="BQ113" s="270">
        <f t="shared" si="168"/>
        <v>0</v>
      </c>
      <c r="BR113" s="270"/>
      <c r="BS113" s="113">
        <f t="shared" si="169"/>
        <v>0</v>
      </c>
      <c r="BT113" s="270"/>
      <c r="BU113" s="270"/>
      <c r="BV113" s="113"/>
      <c r="BW113" s="217">
        <f t="shared" si="170"/>
        <v>0</v>
      </c>
      <c r="BX113" s="269"/>
      <c r="BY113" s="269"/>
      <c r="BZ113" s="269"/>
      <c r="CA113" s="269"/>
      <c r="CB113" s="269"/>
      <c r="CC113" s="269"/>
      <c r="CD113" s="269"/>
      <c r="CE113" s="269"/>
    </row>
    <row r="114" spans="1:83" s="273" customFormat="1" ht="20.25" customHeight="1" x14ac:dyDescent="0.25">
      <c r="A114" s="910"/>
      <c r="B114" s="237"/>
      <c r="C114" s="169"/>
      <c r="D114" s="169" t="s">
        <v>657</v>
      </c>
      <c r="E114" s="169" t="s">
        <v>152</v>
      </c>
      <c r="F114" s="231">
        <v>50000</v>
      </c>
      <c r="G114" s="544">
        <f t="shared" si="89"/>
        <v>0</v>
      </c>
      <c r="H114" s="239">
        <f t="shared" si="152"/>
        <v>0</v>
      </c>
      <c r="I114" s="239">
        <f t="shared" si="157"/>
        <v>0</v>
      </c>
      <c r="J114" s="239">
        <f t="shared" si="158"/>
        <v>0</v>
      </c>
      <c r="K114" s="239"/>
      <c r="L114" s="239"/>
      <c r="M114" s="239"/>
      <c r="N114" s="239"/>
      <c r="O114" s="239"/>
      <c r="P114" s="239"/>
      <c r="Q114" s="239">
        <f t="shared" si="159"/>
        <v>0</v>
      </c>
      <c r="R114" s="239"/>
      <c r="S114" s="225">
        <f t="shared" si="160"/>
        <v>0</v>
      </c>
      <c r="T114" s="225">
        <f t="shared" si="161"/>
        <v>0</v>
      </c>
      <c r="U114" s="225">
        <f t="shared" si="162"/>
        <v>0</v>
      </c>
      <c r="V114" s="225">
        <f t="shared" si="163"/>
        <v>0</v>
      </c>
      <c r="W114" s="546">
        <f t="shared" si="164"/>
        <v>0</v>
      </c>
      <c r="X114" s="546">
        <f t="shared" si="165"/>
        <v>0</v>
      </c>
      <c r="Y114" s="546">
        <f t="shared" si="166"/>
        <v>0</v>
      </c>
      <c r="Z114" s="546">
        <f t="shared" si="167"/>
        <v>0</v>
      </c>
      <c r="AA114" s="272">
        <v>0</v>
      </c>
      <c r="AB114" s="546">
        <f t="shared" si="147"/>
        <v>0</v>
      </c>
      <c r="AC114" s="272">
        <v>0</v>
      </c>
      <c r="AD114" s="545">
        <f t="shared" si="148"/>
        <v>0</v>
      </c>
      <c r="AE114" s="272">
        <v>0</v>
      </c>
      <c r="AF114" s="547">
        <f t="shared" si="94"/>
        <v>0</v>
      </c>
      <c r="AG114" s="272">
        <v>0</v>
      </c>
      <c r="AH114" s="547">
        <f t="shared" si="95"/>
        <v>0</v>
      </c>
      <c r="AI114" s="272">
        <v>0</v>
      </c>
      <c r="AJ114" s="547">
        <f t="shared" si="96"/>
        <v>0</v>
      </c>
      <c r="AK114" s="272">
        <v>0</v>
      </c>
      <c r="AL114" s="547">
        <f t="shared" si="97"/>
        <v>0</v>
      </c>
      <c r="AM114" s="272">
        <v>0</v>
      </c>
      <c r="AN114" s="547">
        <f t="shared" si="98"/>
        <v>0</v>
      </c>
      <c r="AO114" s="272">
        <v>0</v>
      </c>
      <c r="AP114" s="547">
        <f t="shared" si="99"/>
        <v>0</v>
      </c>
      <c r="AQ114" s="272">
        <v>0</v>
      </c>
      <c r="AR114" s="547">
        <f t="shared" si="100"/>
        <v>0</v>
      </c>
      <c r="AS114" s="272">
        <v>0</v>
      </c>
      <c r="AT114" s="547">
        <f t="shared" si="101"/>
        <v>0</v>
      </c>
      <c r="AU114" s="272">
        <v>0</v>
      </c>
      <c r="AV114" s="547">
        <f t="shared" si="102"/>
        <v>0</v>
      </c>
      <c r="AW114" s="272">
        <v>0</v>
      </c>
      <c r="AX114" s="547">
        <f t="shared" si="103"/>
        <v>0</v>
      </c>
      <c r="AY114" s="274">
        <v>0</v>
      </c>
      <c r="AZ114" s="547">
        <f t="shared" si="104"/>
        <v>0</v>
      </c>
      <c r="BA114" s="272">
        <v>0</v>
      </c>
      <c r="BB114" s="547">
        <f t="shared" si="105"/>
        <v>0</v>
      </c>
      <c r="BC114" s="272">
        <v>0</v>
      </c>
      <c r="BD114" s="547">
        <f t="shared" si="106"/>
        <v>0</v>
      </c>
      <c r="BE114" s="272">
        <v>0</v>
      </c>
      <c r="BF114" s="547">
        <f t="shared" si="107"/>
        <v>0</v>
      </c>
      <c r="BG114" s="272">
        <v>0</v>
      </c>
      <c r="BH114" s="547">
        <f t="shared" si="108"/>
        <v>0</v>
      </c>
      <c r="BI114" s="272"/>
      <c r="BJ114" s="547">
        <f t="shared" si="109"/>
        <v>0</v>
      </c>
      <c r="BK114" s="266">
        <f t="shared" si="149"/>
        <v>0</v>
      </c>
      <c r="BL114" s="547">
        <f t="shared" si="149"/>
        <v>0</v>
      </c>
      <c r="BM114" s="550" t="s">
        <v>480</v>
      </c>
      <c r="BN114" s="682">
        <f t="shared" si="124"/>
        <v>0</v>
      </c>
      <c r="BO114" s="239"/>
      <c r="BP114" s="551"/>
      <c r="BQ114" s="551">
        <f t="shared" si="168"/>
        <v>0</v>
      </c>
      <c r="BR114" s="551"/>
      <c r="BS114" s="176">
        <f t="shared" si="169"/>
        <v>0</v>
      </c>
      <c r="BT114" s="551"/>
      <c r="BU114" s="551"/>
      <c r="BV114" s="176"/>
      <c r="BW114" s="177">
        <f t="shared" si="170"/>
        <v>0</v>
      </c>
    </row>
    <row r="115" spans="1:83" s="273" customFormat="1" ht="20.25" customHeight="1" x14ac:dyDescent="0.25">
      <c r="A115" s="910"/>
      <c r="B115" s="237"/>
      <c r="C115" s="169"/>
      <c r="D115" s="169" t="s">
        <v>800</v>
      </c>
      <c r="E115" s="169" t="s">
        <v>152</v>
      </c>
      <c r="F115" s="626">
        <v>50000</v>
      </c>
      <c r="G115" s="544">
        <f>BK115</f>
        <v>32</v>
      </c>
      <c r="H115" s="239">
        <f t="shared" si="152"/>
        <v>1600000</v>
      </c>
      <c r="I115" s="239"/>
      <c r="J115" s="239"/>
      <c r="K115" s="239"/>
      <c r="L115" s="239"/>
      <c r="M115" s="239"/>
      <c r="N115" s="239"/>
      <c r="O115" s="239"/>
      <c r="P115" s="239"/>
      <c r="Q115" s="239"/>
      <c r="R115" s="239">
        <f t="shared" ref="R115:R120" si="171">H115*1</f>
        <v>1600000</v>
      </c>
      <c r="S115" s="225">
        <f t="shared" si="160"/>
        <v>3.2</v>
      </c>
      <c r="T115" s="225">
        <f t="shared" si="161"/>
        <v>19.2</v>
      </c>
      <c r="U115" s="225">
        <f t="shared" si="162"/>
        <v>8</v>
      </c>
      <c r="V115" s="225">
        <f t="shared" si="163"/>
        <v>1.6</v>
      </c>
      <c r="W115" s="546">
        <f t="shared" si="164"/>
        <v>160000</v>
      </c>
      <c r="X115" s="546">
        <f t="shared" si="165"/>
        <v>960000</v>
      </c>
      <c r="Y115" s="546">
        <f t="shared" si="166"/>
        <v>400000</v>
      </c>
      <c r="Z115" s="546">
        <f t="shared" si="167"/>
        <v>80000</v>
      </c>
      <c r="AA115" s="272">
        <v>2</v>
      </c>
      <c r="AB115" s="546">
        <f t="shared" si="147"/>
        <v>100000</v>
      </c>
      <c r="AC115" s="272">
        <v>2</v>
      </c>
      <c r="AD115" s="545">
        <f t="shared" si="148"/>
        <v>100000</v>
      </c>
      <c r="AE115" s="272">
        <v>2</v>
      </c>
      <c r="AF115" s="547">
        <f t="shared" si="94"/>
        <v>100000</v>
      </c>
      <c r="AG115" s="272">
        <v>2</v>
      </c>
      <c r="AH115" s="547">
        <f t="shared" si="95"/>
        <v>100000</v>
      </c>
      <c r="AI115" s="272">
        <v>2</v>
      </c>
      <c r="AJ115" s="547">
        <f t="shared" si="96"/>
        <v>100000</v>
      </c>
      <c r="AK115" s="272">
        <v>1</v>
      </c>
      <c r="AL115" s="547">
        <f t="shared" si="97"/>
        <v>50000</v>
      </c>
      <c r="AM115" s="272">
        <v>2</v>
      </c>
      <c r="AN115" s="547">
        <f t="shared" si="98"/>
        <v>100000</v>
      </c>
      <c r="AO115" s="272">
        <v>2</v>
      </c>
      <c r="AP115" s="547">
        <f t="shared" si="99"/>
        <v>100000</v>
      </c>
      <c r="AQ115" s="272">
        <v>2</v>
      </c>
      <c r="AR115" s="547">
        <f t="shared" si="100"/>
        <v>100000</v>
      </c>
      <c r="AS115" s="272">
        <v>2</v>
      </c>
      <c r="AT115" s="547">
        <f t="shared" si="101"/>
        <v>100000</v>
      </c>
      <c r="AU115" s="272">
        <v>4</v>
      </c>
      <c r="AV115" s="547">
        <f t="shared" si="102"/>
        <v>200000</v>
      </c>
      <c r="AW115" s="272">
        <v>0</v>
      </c>
      <c r="AX115" s="547">
        <f t="shared" si="103"/>
        <v>0</v>
      </c>
      <c r="AY115" s="274">
        <v>0</v>
      </c>
      <c r="AZ115" s="547">
        <f t="shared" si="104"/>
        <v>0</v>
      </c>
      <c r="BA115" s="272">
        <v>1</v>
      </c>
      <c r="BB115" s="547">
        <f t="shared" si="105"/>
        <v>50000</v>
      </c>
      <c r="BC115" s="272">
        <v>2</v>
      </c>
      <c r="BD115" s="547">
        <f t="shared" si="106"/>
        <v>100000</v>
      </c>
      <c r="BE115" s="627">
        <v>4</v>
      </c>
      <c r="BF115" s="547">
        <f t="shared" si="107"/>
        <v>200000</v>
      </c>
      <c r="BG115" s="272">
        <v>2</v>
      </c>
      <c r="BH115" s="547">
        <f t="shared" si="108"/>
        <v>100000</v>
      </c>
      <c r="BI115" s="272"/>
      <c r="BJ115" s="547">
        <f t="shared" si="109"/>
        <v>0</v>
      </c>
      <c r="BK115" s="266">
        <f t="shared" si="149"/>
        <v>32</v>
      </c>
      <c r="BL115" s="547">
        <f t="shared" si="149"/>
        <v>1600000</v>
      </c>
      <c r="BM115" s="550" t="s">
        <v>725</v>
      </c>
      <c r="BN115" s="682">
        <f t="shared" si="124"/>
        <v>1600000</v>
      </c>
      <c r="BO115" s="239"/>
      <c r="BP115" s="551"/>
      <c r="BQ115" s="551">
        <f t="shared" si="168"/>
        <v>1600000</v>
      </c>
      <c r="BR115" s="551"/>
      <c r="BS115" s="176">
        <f t="shared" si="169"/>
        <v>1600000</v>
      </c>
      <c r="BT115" s="551"/>
      <c r="BU115" s="551"/>
      <c r="BV115" s="176"/>
      <c r="BW115" s="177"/>
    </row>
    <row r="116" spans="1:83" s="273" customFormat="1" ht="20.25" customHeight="1" x14ac:dyDescent="0.25">
      <c r="A116" s="910"/>
      <c r="B116" s="237"/>
      <c r="C116" s="169"/>
      <c r="D116" s="169" t="s">
        <v>658</v>
      </c>
      <c r="E116" s="169" t="s">
        <v>152</v>
      </c>
      <c r="F116" s="231">
        <v>50000</v>
      </c>
      <c r="G116" s="544">
        <f t="shared" si="89"/>
        <v>32</v>
      </c>
      <c r="H116" s="239">
        <f t="shared" si="152"/>
        <v>1600000</v>
      </c>
      <c r="I116" s="239"/>
      <c r="J116" s="239"/>
      <c r="K116" s="239"/>
      <c r="L116" s="239"/>
      <c r="M116" s="239"/>
      <c r="N116" s="239"/>
      <c r="O116" s="239"/>
      <c r="P116" s="239"/>
      <c r="Q116" s="239"/>
      <c r="R116" s="239">
        <f t="shared" si="171"/>
        <v>1600000</v>
      </c>
      <c r="S116" s="225">
        <f t="shared" si="160"/>
        <v>3.2</v>
      </c>
      <c r="T116" s="225">
        <f t="shared" si="161"/>
        <v>19.2</v>
      </c>
      <c r="U116" s="225">
        <f t="shared" si="162"/>
        <v>8</v>
      </c>
      <c r="V116" s="225">
        <f t="shared" si="163"/>
        <v>1.6</v>
      </c>
      <c r="W116" s="546">
        <f t="shared" si="164"/>
        <v>160000</v>
      </c>
      <c r="X116" s="546">
        <f t="shared" si="165"/>
        <v>960000</v>
      </c>
      <c r="Y116" s="546">
        <f t="shared" si="166"/>
        <v>400000</v>
      </c>
      <c r="Z116" s="546">
        <f t="shared" si="167"/>
        <v>80000</v>
      </c>
      <c r="AA116" s="272">
        <v>2</v>
      </c>
      <c r="AB116" s="546">
        <f t="shared" si="147"/>
        <v>100000</v>
      </c>
      <c r="AC116" s="272">
        <v>1</v>
      </c>
      <c r="AD116" s="545">
        <f t="shared" si="148"/>
        <v>50000</v>
      </c>
      <c r="AE116" s="272">
        <v>2</v>
      </c>
      <c r="AF116" s="547">
        <f t="shared" si="94"/>
        <v>100000</v>
      </c>
      <c r="AG116" s="272">
        <v>2</v>
      </c>
      <c r="AH116" s="547">
        <f t="shared" si="95"/>
        <v>100000</v>
      </c>
      <c r="AI116" s="272">
        <v>2</v>
      </c>
      <c r="AJ116" s="547">
        <f t="shared" si="96"/>
        <v>100000</v>
      </c>
      <c r="AK116" s="272">
        <v>2</v>
      </c>
      <c r="AL116" s="547">
        <f t="shared" si="97"/>
        <v>100000</v>
      </c>
      <c r="AM116" s="272">
        <v>2</v>
      </c>
      <c r="AN116" s="547">
        <f t="shared" si="98"/>
        <v>100000</v>
      </c>
      <c r="AO116" s="272">
        <v>3</v>
      </c>
      <c r="AP116" s="547">
        <f t="shared" si="99"/>
        <v>150000</v>
      </c>
      <c r="AQ116" s="272">
        <v>1</v>
      </c>
      <c r="AR116" s="547">
        <f t="shared" si="100"/>
        <v>50000</v>
      </c>
      <c r="AS116" s="272">
        <v>2</v>
      </c>
      <c r="AT116" s="547">
        <f t="shared" si="101"/>
        <v>100000</v>
      </c>
      <c r="AU116" s="272">
        <v>3</v>
      </c>
      <c r="AV116" s="547">
        <f t="shared" si="102"/>
        <v>150000</v>
      </c>
      <c r="AW116" s="272">
        <v>2</v>
      </c>
      <c r="AX116" s="547">
        <f t="shared" si="103"/>
        <v>100000</v>
      </c>
      <c r="AY116" s="274">
        <v>0</v>
      </c>
      <c r="AZ116" s="547">
        <f t="shared" si="104"/>
        <v>0</v>
      </c>
      <c r="BA116" s="272">
        <v>2</v>
      </c>
      <c r="BB116" s="547">
        <f t="shared" si="105"/>
        <v>100000</v>
      </c>
      <c r="BC116" s="272">
        <v>2</v>
      </c>
      <c r="BD116" s="547">
        <f t="shared" si="106"/>
        <v>100000</v>
      </c>
      <c r="BE116" s="272">
        <v>2</v>
      </c>
      <c r="BF116" s="547">
        <f t="shared" si="107"/>
        <v>100000</v>
      </c>
      <c r="BG116" s="272">
        <v>2</v>
      </c>
      <c r="BH116" s="547">
        <f t="shared" si="108"/>
        <v>100000</v>
      </c>
      <c r="BI116" s="272"/>
      <c r="BJ116" s="547">
        <f t="shared" si="109"/>
        <v>0</v>
      </c>
      <c r="BK116" s="266">
        <f t="shared" si="149"/>
        <v>32</v>
      </c>
      <c r="BL116" s="547">
        <f t="shared" si="149"/>
        <v>1600000</v>
      </c>
      <c r="BM116" s="550" t="s">
        <v>725</v>
      </c>
      <c r="BN116" s="682">
        <f t="shared" si="124"/>
        <v>1600000</v>
      </c>
      <c r="BO116" s="239"/>
      <c r="BP116" s="551"/>
      <c r="BQ116" s="551">
        <f t="shared" si="168"/>
        <v>1600000</v>
      </c>
      <c r="BR116" s="551"/>
      <c r="BS116" s="176">
        <f t="shared" si="169"/>
        <v>1600000</v>
      </c>
      <c r="BT116" s="551"/>
      <c r="BU116" s="551"/>
      <c r="BV116" s="176"/>
      <c r="BW116" s="177">
        <f t="shared" si="170"/>
        <v>1600000</v>
      </c>
    </row>
    <row r="117" spans="1:83" s="273" customFormat="1" ht="20.25" customHeight="1" x14ac:dyDescent="0.25">
      <c r="A117" s="910"/>
      <c r="B117" s="237"/>
      <c r="C117" s="169"/>
      <c r="D117" s="169" t="s">
        <v>659</v>
      </c>
      <c r="E117" s="169" t="s">
        <v>152</v>
      </c>
      <c r="F117" s="231">
        <v>62500</v>
      </c>
      <c r="G117" s="544">
        <f t="shared" si="89"/>
        <v>9</v>
      </c>
      <c r="H117" s="239">
        <f t="shared" si="152"/>
        <v>562500</v>
      </c>
      <c r="I117" s="239"/>
      <c r="J117" s="239"/>
      <c r="K117" s="239"/>
      <c r="L117" s="239"/>
      <c r="M117" s="239"/>
      <c r="N117" s="239"/>
      <c r="O117" s="239"/>
      <c r="P117" s="239"/>
      <c r="Q117" s="239"/>
      <c r="R117" s="239">
        <f t="shared" si="171"/>
        <v>562500</v>
      </c>
      <c r="S117" s="225">
        <f t="shared" si="160"/>
        <v>0.9</v>
      </c>
      <c r="T117" s="225">
        <f t="shared" si="161"/>
        <v>5.3999999999999995</v>
      </c>
      <c r="U117" s="225">
        <f t="shared" si="162"/>
        <v>2.25</v>
      </c>
      <c r="V117" s="225">
        <f t="shared" si="163"/>
        <v>0.45</v>
      </c>
      <c r="W117" s="546">
        <f t="shared" si="164"/>
        <v>56250</v>
      </c>
      <c r="X117" s="546">
        <f t="shared" si="165"/>
        <v>337499.99999999994</v>
      </c>
      <c r="Y117" s="546">
        <f t="shared" si="166"/>
        <v>140625</v>
      </c>
      <c r="Z117" s="546">
        <f t="shared" si="167"/>
        <v>28125</v>
      </c>
      <c r="AA117" s="272">
        <v>1</v>
      </c>
      <c r="AB117" s="546">
        <f t="shared" si="147"/>
        <v>62500</v>
      </c>
      <c r="AC117" s="272">
        <v>0</v>
      </c>
      <c r="AD117" s="545">
        <f t="shared" si="148"/>
        <v>0</v>
      </c>
      <c r="AE117" s="272">
        <v>0</v>
      </c>
      <c r="AF117" s="547">
        <f t="shared" si="94"/>
        <v>0</v>
      </c>
      <c r="AG117" s="272">
        <v>2</v>
      </c>
      <c r="AH117" s="547">
        <f t="shared" si="95"/>
        <v>125000</v>
      </c>
      <c r="AI117" s="272">
        <v>0</v>
      </c>
      <c r="AJ117" s="547">
        <f t="shared" si="96"/>
        <v>0</v>
      </c>
      <c r="AK117" s="272">
        <v>0</v>
      </c>
      <c r="AL117" s="547">
        <f t="shared" si="97"/>
        <v>0</v>
      </c>
      <c r="AM117" s="272">
        <v>1</v>
      </c>
      <c r="AN117" s="547">
        <f t="shared" si="98"/>
        <v>62500</v>
      </c>
      <c r="AO117" s="272">
        <v>1</v>
      </c>
      <c r="AP117" s="547">
        <f t="shared" si="99"/>
        <v>62500</v>
      </c>
      <c r="AQ117" s="272">
        <v>0</v>
      </c>
      <c r="AR117" s="547">
        <f t="shared" si="100"/>
        <v>0</v>
      </c>
      <c r="AS117" s="272">
        <v>0</v>
      </c>
      <c r="AT117" s="547">
        <f t="shared" si="101"/>
        <v>0</v>
      </c>
      <c r="AU117" s="272">
        <v>1</v>
      </c>
      <c r="AV117" s="547">
        <f t="shared" si="102"/>
        <v>62500</v>
      </c>
      <c r="AW117" s="272">
        <v>1</v>
      </c>
      <c r="AX117" s="547">
        <f t="shared" si="103"/>
        <v>62500</v>
      </c>
      <c r="AY117" s="274">
        <v>0</v>
      </c>
      <c r="AZ117" s="547">
        <f t="shared" si="104"/>
        <v>0</v>
      </c>
      <c r="BA117" s="272">
        <v>1</v>
      </c>
      <c r="BB117" s="547">
        <f t="shared" si="105"/>
        <v>62500</v>
      </c>
      <c r="BC117" s="272">
        <v>0</v>
      </c>
      <c r="BD117" s="547">
        <f t="shared" si="106"/>
        <v>0</v>
      </c>
      <c r="BE117" s="272">
        <v>1</v>
      </c>
      <c r="BF117" s="547">
        <f t="shared" si="107"/>
        <v>62500</v>
      </c>
      <c r="BG117" s="272">
        <v>0</v>
      </c>
      <c r="BH117" s="547">
        <f t="shared" si="108"/>
        <v>0</v>
      </c>
      <c r="BI117" s="272"/>
      <c r="BJ117" s="547">
        <f t="shared" si="109"/>
        <v>0</v>
      </c>
      <c r="BK117" s="266">
        <f t="shared" si="149"/>
        <v>9</v>
      </c>
      <c r="BL117" s="547">
        <f t="shared" si="149"/>
        <v>562500</v>
      </c>
      <c r="BM117" s="550" t="s">
        <v>725</v>
      </c>
      <c r="BN117" s="682">
        <f t="shared" si="124"/>
        <v>562500</v>
      </c>
      <c r="BO117" s="239"/>
      <c r="BP117" s="551"/>
      <c r="BQ117" s="551">
        <f t="shared" si="168"/>
        <v>562500</v>
      </c>
      <c r="BR117" s="551"/>
      <c r="BS117" s="176">
        <f t="shared" si="169"/>
        <v>562500</v>
      </c>
      <c r="BT117" s="551"/>
      <c r="BU117" s="551"/>
      <c r="BV117" s="176"/>
      <c r="BW117" s="177">
        <f t="shared" si="170"/>
        <v>562500</v>
      </c>
    </row>
    <row r="118" spans="1:83" s="273" customFormat="1" ht="20.25" customHeight="1" x14ac:dyDescent="0.25">
      <c r="A118" s="910"/>
      <c r="B118" s="237"/>
      <c r="C118" s="169"/>
      <c r="D118" s="169" t="s">
        <v>660</v>
      </c>
      <c r="E118" s="169" t="s">
        <v>152</v>
      </c>
      <c r="F118" s="231">
        <v>62500</v>
      </c>
      <c r="G118" s="544">
        <f t="shared" si="89"/>
        <v>10</v>
      </c>
      <c r="H118" s="239">
        <f t="shared" si="152"/>
        <v>625000</v>
      </c>
      <c r="I118" s="239"/>
      <c r="J118" s="239"/>
      <c r="K118" s="239"/>
      <c r="L118" s="239"/>
      <c r="M118" s="239"/>
      <c r="N118" s="239"/>
      <c r="O118" s="239"/>
      <c r="P118" s="239"/>
      <c r="Q118" s="239"/>
      <c r="R118" s="239">
        <f t="shared" si="171"/>
        <v>625000</v>
      </c>
      <c r="S118" s="225">
        <f t="shared" si="160"/>
        <v>1</v>
      </c>
      <c r="T118" s="225">
        <f t="shared" si="161"/>
        <v>6</v>
      </c>
      <c r="U118" s="225">
        <f t="shared" si="162"/>
        <v>2.5</v>
      </c>
      <c r="V118" s="225">
        <f t="shared" si="163"/>
        <v>0.5</v>
      </c>
      <c r="W118" s="546">
        <f t="shared" si="164"/>
        <v>62500</v>
      </c>
      <c r="X118" s="546">
        <f t="shared" si="165"/>
        <v>375000</v>
      </c>
      <c r="Y118" s="546">
        <f t="shared" si="166"/>
        <v>156250</v>
      </c>
      <c r="Z118" s="546">
        <f t="shared" si="167"/>
        <v>31250</v>
      </c>
      <c r="AA118" s="272">
        <v>1</v>
      </c>
      <c r="AB118" s="546">
        <f t="shared" si="147"/>
        <v>62500</v>
      </c>
      <c r="AC118" s="272">
        <v>0</v>
      </c>
      <c r="AD118" s="545">
        <f t="shared" si="148"/>
        <v>0</v>
      </c>
      <c r="AE118" s="272">
        <v>1</v>
      </c>
      <c r="AF118" s="547">
        <f t="shared" si="94"/>
        <v>62500</v>
      </c>
      <c r="AG118" s="272">
        <v>1</v>
      </c>
      <c r="AH118" s="547">
        <f t="shared" si="95"/>
        <v>62500</v>
      </c>
      <c r="AI118" s="272">
        <v>0</v>
      </c>
      <c r="AJ118" s="547">
        <f t="shared" si="96"/>
        <v>0</v>
      </c>
      <c r="AK118" s="272">
        <v>0</v>
      </c>
      <c r="AL118" s="547">
        <f t="shared" si="97"/>
        <v>0</v>
      </c>
      <c r="AM118" s="272">
        <v>1</v>
      </c>
      <c r="AN118" s="547">
        <f t="shared" si="98"/>
        <v>62500</v>
      </c>
      <c r="AO118" s="272">
        <v>1</v>
      </c>
      <c r="AP118" s="547">
        <f t="shared" si="99"/>
        <v>62500</v>
      </c>
      <c r="AQ118" s="272">
        <v>0</v>
      </c>
      <c r="AR118" s="547">
        <f t="shared" si="100"/>
        <v>0</v>
      </c>
      <c r="AS118" s="272">
        <v>0</v>
      </c>
      <c r="AT118" s="547">
        <f t="shared" si="101"/>
        <v>0</v>
      </c>
      <c r="AU118" s="272">
        <v>1</v>
      </c>
      <c r="AV118" s="547">
        <f t="shared" si="102"/>
        <v>62500</v>
      </c>
      <c r="AW118" s="272">
        <v>1</v>
      </c>
      <c r="AX118" s="547">
        <f t="shared" si="103"/>
        <v>62500</v>
      </c>
      <c r="AY118" s="274">
        <v>1</v>
      </c>
      <c r="AZ118" s="547">
        <f t="shared" si="104"/>
        <v>62500</v>
      </c>
      <c r="BA118" s="272">
        <v>1</v>
      </c>
      <c r="BB118" s="547">
        <f t="shared" si="105"/>
        <v>62500</v>
      </c>
      <c r="BC118" s="272">
        <v>0</v>
      </c>
      <c r="BD118" s="547">
        <f t="shared" si="106"/>
        <v>0</v>
      </c>
      <c r="BE118" s="272">
        <v>1</v>
      </c>
      <c r="BF118" s="547">
        <f t="shared" si="107"/>
        <v>62500</v>
      </c>
      <c r="BG118" s="272">
        <v>0</v>
      </c>
      <c r="BH118" s="547">
        <f t="shared" si="108"/>
        <v>0</v>
      </c>
      <c r="BI118" s="272"/>
      <c r="BJ118" s="547">
        <f t="shared" si="109"/>
        <v>0</v>
      </c>
      <c r="BK118" s="266">
        <f t="shared" si="149"/>
        <v>10</v>
      </c>
      <c r="BL118" s="547">
        <f t="shared" si="149"/>
        <v>625000</v>
      </c>
      <c r="BM118" s="550" t="s">
        <v>725</v>
      </c>
      <c r="BN118" s="682">
        <f t="shared" si="124"/>
        <v>625000</v>
      </c>
      <c r="BO118" s="239"/>
      <c r="BP118" s="551"/>
      <c r="BQ118" s="551">
        <f t="shared" si="168"/>
        <v>625000</v>
      </c>
      <c r="BR118" s="551"/>
      <c r="BS118" s="176">
        <f t="shared" si="169"/>
        <v>625000</v>
      </c>
      <c r="BT118" s="551"/>
      <c r="BU118" s="551"/>
      <c r="BV118" s="176"/>
      <c r="BW118" s="177">
        <f t="shared" si="170"/>
        <v>625000</v>
      </c>
    </row>
    <row r="119" spans="1:83" s="273" customFormat="1" ht="20.25" customHeight="1" x14ac:dyDescent="0.25">
      <c r="A119" s="910"/>
      <c r="B119" s="237"/>
      <c r="C119" s="169"/>
      <c r="D119" s="169" t="s">
        <v>665</v>
      </c>
      <c r="E119" s="169" t="s">
        <v>152</v>
      </c>
      <c r="F119" s="231">
        <v>50000</v>
      </c>
      <c r="G119" s="544">
        <f t="shared" si="89"/>
        <v>75</v>
      </c>
      <c r="H119" s="239">
        <f t="shared" si="152"/>
        <v>3750000</v>
      </c>
      <c r="I119" s="239"/>
      <c r="J119" s="239"/>
      <c r="K119" s="239"/>
      <c r="L119" s="239"/>
      <c r="M119" s="239"/>
      <c r="N119" s="239"/>
      <c r="O119" s="239"/>
      <c r="P119" s="239"/>
      <c r="Q119" s="239"/>
      <c r="R119" s="239">
        <f t="shared" si="171"/>
        <v>3750000</v>
      </c>
      <c r="S119" s="225">
        <f t="shared" si="160"/>
        <v>7.5</v>
      </c>
      <c r="T119" s="225">
        <f t="shared" si="161"/>
        <v>45</v>
      </c>
      <c r="U119" s="225">
        <f t="shared" si="162"/>
        <v>18.75</v>
      </c>
      <c r="V119" s="225">
        <f t="shared" si="163"/>
        <v>3.75</v>
      </c>
      <c r="W119" s="546">
        <f t="shared" si="164"/>
        <v>375000</v>
      </c>
      <c r="X119" s="546">
        <f t="shared" si="165"/>
        <v>2250000</v>
      </c>
      <c r="Y119" s="546">
        <f t="shared" si="166"/>
        <v>937500</v>
      </c>
      <c r="Z119" s="546">
        <f t="shared" si="167"/>
        <v>187500</v>
      </c>
      <c r="AA119" s="272">
        <v>5</v>
      </c>
      <c r="AB119" s="546">
        <f t="shared" si="147"/>
        <v>250000</v>
      </c>
      <c r="AC119" s="272">
        <v>5</v>
      </c>
      <c r="AD119" s="545">
        <f t="shared" si="148"/>
        <v>250000</v>
      </c>
      <c r="AE119" s="272">
        <v>5</v>
      </c>
      <c r="AF119" s="547">
        <f t="shared" si="94"/>
        <v>250000</v>
      </c>
      <c r="AG119" s="272">
        <v>5</v>
      </c>
      <c r="AH119" s="547">
        <f t="shared" si="95"/>
        <v>250000</v>
      </c>
      <c r="AI119" s="272">
        <v>5</v>
      </c>
      <c r="AJ119" s="547">
        <f t="shared" si="96"/>
        <v>250000</v>
      </c>
      <c r="AK119" s="272">
        <v>3</v>
      </c>
      <c r="AL119" s="547">
        <f t="shared" si="97"/>
        <v>150000</v>
      </c>
      <c r="AM119" s="272">
        <v>5</v>
      </c>
      <c r="AN119" s="547">
        <f t="shared" si="98"/>
        <v>250000</v>
      </c>
      <c r="AO119" s="272">
        <v>5</v>
      </c>
      <c r="AP119" s="547">
        <f t="shared" si="99"/>
        <v>250000</v>
      </c>
      <c r="AQ119" s="272">
        <v>2</v>
      </c>
      <c r="AR119" s="547">
        <f t="shared" si="100"/>
        <v>100000</v>
      </c>
      <c r="AS119" s="272">
        <v>5</v>
      </c>
      <c r="AT119" s="547">
        <f t="shared" si="101"/>
        <v>250000</v>
      </c>
      <c r="AU119" s="272">
        <v>5</v>
      </c>
      <c r="AV119" s="547">
        <f t="shared" si="102"/>
        <v>250000</v>
      </c>
      <c r="AW119" s="272">
        <v>5</v>
      </c>
      <c r="AX119" s="547">
        <f t="shared" si="103"/>
        <v>250000</v>
      </c>
      <c r="AY119" s="274">
        <v>0</v>
      </c>
      <c r="AZ119" s="547">
        <f t="shared" si="104"/>
        <v>0</v>
      </c>
      <c r="BA119" s="272">
        <v>5</v>
      </c>
      <c r="BB119" s="547">
        <f t="shared" si="105"/>
        <v>250000</v>
      </c>
      <c r="BC119" s="272">
        <v>5</v>
      </c>
      <c r="BD119" s="547">
        <f t="shared" si="106"/>
        <v>250000</v>
      </c>
      <c r="BE119" s="272">
        <v>5</v>
      </c>
      <c r="BF119" s="547">
        <f t="shared" si="107"/>
        <v>250000</v>
      </c>
      <c r="BG119" s="272">
        <v>5</v>
      </c>
      <c r="BH119" s="547">
        <f t="shared" si="108"/>
        <v>250000</v>
      </c>
      <c r="BI119" s="272"/>
      <c r="BJ119" s="547">
        <f t="shared" si="109"/>
        <v>0</v>
      </c>
      <c r="BK119" s="266">
        <f t="shared" si="149"/>
        <v>75</v>
      </c>
      <c r="BL119" s="547">
        <f t="shared" si="149"/>
        <v>3750000</v>
      </c>
      <c r="BM119" s="550" t="s">
        <v>725</v>
      </c>
      <c r="BN119" s="682">
        <f t="shared" si="124"/>
        <v>3750000</v>
      </c>
      <c r="BO119" s="239"/>
      <c r="BP119" s="551"/>
      <c r="BQ119" s="551">
        <f t="shared" si="168"/>
        <v>3750000</v>
      </c>
      <c r="BR119" s="551"/>
      <c r="BS119" s="176">
        <f t="shared" si="169"/>
        <v>3750000</v>
      </c>
      <c r="BT119" s="551"/>
      <c r="BU119" s="551"/>
      <c r="BV119" s="176"/>
      <c r="BW119" s="177">
        <f t="shared" si="170"/>
        <v>3750000</v>
      </c>
    </row>
    <row r="120" spans="1:83" s="273" customFormat="1" ht="20.25" customHeight="1" x14ac:dyDescent="0.25">
      <c r="A120" s="910"/>
      <c r="B120" s="237"/>
      <c r="C120" s="169"/>
      <c r="D120" s="169" t="s">
        <v>799</v>
      </c>
      <c r="E120" s="169" t="s">
        <v>152</v>
      </c>
      <c r="F120" s="231">
        <v>50000</v>
      </c>
      <c r="G120" s="544">
        <f t="shared" si="89"/>
        <v>80</v>
      </c>
      <c r="H120" s="239">
        <f t="shared" si="152"/>
        <v>4000000</v>
      </c>
      <c r="I120" s="239"/>
      <c r="J120" s="239"/>
      <c r="K120" s="239"/>
      <c r="L120" s="239"/>
      <c r="M120" s="239"/>
      <c r="N120" s="239"/>
      <c r="O120" s="239"/>
      <c r="P120" s="239"/>
      <c r="Q120" s="239"/>
      <c r="R120" s="239">
        <f t="shared" si="171"/>
        <v>4000000</v>
      </c>
      <c r="S120" s="225">
        <f t="shared" si="160"/>
        <v>8</v>
      </c>
      <c r="T120" s="225">
        <f t="shared" si="161"/>
        <v>48</v>
      </c>
      <c r="U120" s="225">
        <f t="shared" si="162"/>
        <v>20</v>
      </c>
      <c r="V120" s="225">
        <f t="shared" si="163"/>
        <v>4</v>
      </c>
      <c r="W120" s="546">
        <f t="shared" si="164"/>
        <v>400000</v>
      </c>
      <c r="X120" s="546">
        <f t="shared" si="165"/>
        <v>2400000</v>
      </c>
      <c r="Y120" s="546">
        <f t="shared" si="166"/>
        <v>1000000</v>
      </c>
      <c r="Z120" s="546">
        <f t="shared" si="167"/>
        <v>200000</v>
      </c>
      <c r="AA120" s="272">
        <v>4</v>
      </c>
      <c r="AB120" s="546">
        <f t="shared" si="147"/>
        <v>200000</v>
      </c>
      <c r="AC120" s="272">
        <v>2</v>
      </c>
      <c r="AD120" s="545">
        <f t="shared" si="148"/>
        <v>100000</v>
      </c>
      <c r="AE120" s="272">
        <v>2</v>
      </c>
      <c r="AF120" s="547">
        <f t="shared" si="94"/>
        <v>100000</v>
      </c>
      <c r="AG120" s="272">
        <v>8</v>
      </c>
      <c r="AH120" s="547">
        <f t="shared" si="95"/>
        <v>400000</v>
      </c>
      <c r="AI120" s="272">
        <v>7</v>
      </c>
      <c r="AJ120" s="547">
        <f t="shared" si="96"/>
        <v>350000</v>
      </c>
      <c r="AK120" s="272">
        <v>4</v>
      </c>
      <c r="AL120" s="547">
        <f t="shared" si="97"/>
        <v>200000</v>
      </c>
      <c r="AM120" s="272">
        <v>7</v>
      </c>
      <c r="AN120" s="547">
        <f t="shared" si="98"/>
        <v>350000</v>
      </c>
      <c r="AO120" s="272">
        <v>3</v>
      </c>
      <c r="AP120" s="547">
        <f t="shared" si="99"/>
        <v>150000</v>
      </c>
      <c r="AQ120" s="272">
        <v>2</v>
      </c>
      <c r="AR120" s="547">
        <f t="shared" si="100"/>
        <v>100000</v>
      </c>
      <c r="AS120" s="272">
        <v>2</v>
      </c>
      <c r="AT120" s="547">
        <f t="shared" si="101"/>
        <v>100000</v>
      </c>
      <c r="AU120" s="272">
        <v>9</v>
      </c>
      <c r="AV120" s="547">
        <f t="shared" si="102"/>
        <v>450000</v>
      </c>
      <c r="AW120" s="272">
        <v>6</v>
      </c>
      <c r="AX120" s="547">
        <f t="shared" si="103"/>
        <v>300000</v>
      </c>
      <c r="AY120" s="274">
        <v>8</v>
      </c>
      <c r="AZ120" s="547">
        <f t="shared" si="104"/>
        <v>400000</v>
      </c>
      <c r="BA120" s="272">
        <v>3</v>
      </c>
      <c r="BB120" s="547">
        <f t="shared" si="105"/>
        <v>150000</v>
      </c>
      <c r="BC120" s="272">
        <v>5</v>
      </c>
      <c r="BD120" s="547">
        <f t="shared" si="106"/>
        <v>250000</v>
      </c>
      <c r="BE120" s="272">
        <v>4</v>
      </c>
      <c r="BF120" s="547">
        <f t="shared" si="107"/>
        <v>200000</v>
      </c>
      <c r="BG120" s="272">
        <v>4</v>
      </c>
      <c r="BH120" s="547">
        <f t="shared" si="108"/>
        <v>200000</v>
      </c>
      <c r="BI120" s="272"/>
      <c r="BJ120" s="547">
        <f t="shared" si="109"/>
        <v>0</v>
      </c>
      <c r="BK120" s="266">
        <f t="shared" si="149"/>
        <v>80</v>
      </c>
      <c r="BL120" s="547">
        <f t="shared" si="149"/>
        <v>4000000</v>
      </c>
      <c r="BM120" s="550" t="s">
        <v>725</v>
      </c>
      <c r="BN120" s="682">
        <f t="shared" si="124"/>
        <v>4000000</v>
      </c>
      <c r="BO120" s="239"/>
      <c r="BP120" s="551"/>
      <c r="BQ120" s="551">
        <f t="shared" si="168"/>
        <v>4000000</v>
      </c>
      <c r="BR120" s="551"/>
      <c r="BS120" s="176">
        <f t="shared" si="169"/>
        <v>4000000</v>
      </c>
      <c r="BT120" s="551"/>
      <c r="BU120" s="551"/>
      <c r="BV120" s="176"/>
      <c r="BW120" s="177">
        <f t="shared" si="170"/>
        <v>4000000</v>
      </c>
    </row>
    <row r="121" spans="1:83" s="273" customFormat="1" ht="20.25" customHeight="1" x14ac:dyDescent="0.25">
      <c r="A121" s="910"/>
      <c r="B121" s="237"/>
      <c r="C121" s="169"/>
      <c r="D121" s="169" t="s">
        <v>696</v>
      </c>
      <c r="E121" s="169" t="s">
        <v>152</v>
      </c>
      <c r="F121" s="231">
        <v>50000</v>
      </c>
      <c r="G121" s="544">
        <f t="shared" si="89"/>
        <v>68</v>
      </c>
      <c r="H121" s="239">
        <f t="shared" si="152"/>
        <v>3400000</v>
      </c>
      <c r="I121" s="239">
        <f t="shared" si="157"/>
        <v>340000</v>
      </c>
      <c r="J121" s="239">
        <f t="shared" si="158"/>
        <v>2720000</v>
      </c>
      <c r="K121" s="239"/>
      <c r="L121" s="239"/>
      <c r="M121" s="239"/>
      <c r="N121" s="239"/>
      <c r="O121" s="239"/>
      <c r="P121" s="239"/>
      <c r="Q121" s="239">
        <f t="shared" si="159"/>
        <v>340000</v>
      </c>
      <c r="R121" s="239"/>
      <c r="S121" s="225">
        <f t="shared" si="160"/>
        <v>6.8000000000000007</v>
      </c>
      <c r="T121" s="225">
        <f t="shared" si="161"/>
        <v>40.799999999999997</v>
      </c>
      <c r="U121" s="225">
        <f t="shared" si="162"/>
        <v>17</v>
      </c>
      <c r="V121" s="225">
        <f t="shared" si="163"/>
        <v>3.4000000000000004</v>
      </c>
      <c r="W121" s="546">
        <f t="shared" si="164"/>
        <v>340000.00000000006</v>
      </c>
      <c r="X121" s="546">
        <f t="shared" si="165"/>
        <v>2039999.9999999998</v>
      </c>
      <c r="Y121" s="546">
        <f t="shared" si="166"/>
        <v>850000</v>
      </c>
      <c r="Z121" s="546">
        <f t="shared" si="167"/>
        <v>170000.00000000003</v>
      </c>
      <c r="AA121" s="272">
        <v>5</v>
      </c>
      <c r="AB121" s="546">
        <f t="shared" si="147"/>
        <v>250000</v>
      </c>
      <c r="AC121" s="272">
        <v>10</v>
      </c>
      <c r="AD121" s="545">
        <f t="shared" si="148"/>
        <v>500000</v>
      </c>
      <c r="AE121" s="272">
        <v>2</v>
      </c>
      <c r="AF121" s="547">
        <f t="shared" si="94"/>
        <v>100000</v>
      </c>
      <c r="AG121" s="272"/>
      <c r="AH121" s="547">
        <f t="shared" si="95"/>
        <v>0</v>
      </c>
      <c r="AI121" s="272">
        <v>5</v>
      </c>
      <c r="AJ121" s="547">
        <f t="shared" si="96"/>
        <v>250000</v>
      </c>
      <c r="AK121" s="272"/>
      <c r="AL121" s="547">
        <f t="shared" si="97"/>
        <v>0</v>
      </c>
      <c r="AM121" s="272"/>
      <c r="AN121" s="547">
        <f t="shared" si="98"/>
        <v>0</v>
      </c>
      <c r="AO121" s="272">
        <v>2</v>
      </c>
      <c r="AP121" s="547">
        <f t="shared" si="99"/>
        <v>100000</v>
      </c>
      <c r="AQ121" s="272">
        <v>5</v>
      </c>
      <c r="AR121" s="547">
        <f t="shared" si="100"/>
        <v>250000</v>
      </c>
      <c r="AS121" s="272">
        <v>15</v>
      </c>
      <c r="AT121" s="547">
        <f t="shared" si="101"/>
        <v>750000</v>
      </c>
      <c r="AU121" s="627">
        <v>5</v>
      </c>
      <c r="AV121" s="547">
        <f t="shared" si="102"/>
        <v>250000</v>
      </c>
      <c r="AW121" s="272">
        <v>1</v>
      </c>
      <c r="AX121" s="547">
        <f t="shared" si="103"/>
        <v>50000</v>
      </c>
      <c r="AY121" s="274">
        <v>5</v>
      </c>
      <c r="AZ121" s="547">
        <f t="shared" si="104"/>
        <v>250000</v>
      </c>
      <c r="BA121" s="272">
        <v>5</v>
      </c>
      <c r="BB121" s="547">
        <f t="shared" si="105"/>
        <v>250000</v>
      </c>
      <c r="BC121" s="627">
        <v>7</v>
      </c>
      <c r="BD121" s="547">
        <f t="shared" si="106"/>
        <v>350000</v>
      </c>
      <c r="BE121" s="272">
        <v>0</v>
      </c>
      <c r="BF121" s="547">
        <f t="shared" si="107"/>
        <v>0</v>
      </c>
      <c r="BG121" s="272">
        <v>1</v>
      </c>
      <c r="BH121" s="547">
        <f t="shared" si="108"/>
        <v>50000</v>
      </c>
      <c r="BI121" s="272"/>
      <c r="BJ121" s="547">
        <f t="shared" si="109"/>
        <v>0</v>
      </c>
      <c r="BK121" s="266">
        <f t="shared" si="149"/>
        <v>68</v>
      </c>
      <c r="BL121" s="547">
        <f t="shared" si="149"/>
        <v>3400000</v>
      </c>
      <c r="BM121" s="550" t="s">
        <v>480</v>
      </c>
      <c r="BN121" s="682">
        <f t="shared" si="124"/>
        <v>3400000</v>
      </c>
      <c r="BO121" s="239"/>
      <c r="BP121" s="551"/>
      <c r="BQ121" s="551">
        <f t="shared" si="168"/>
        <v>3400000</v>
      </c>
      <c r="BR121" s="551"/>
      <c r="BS121" s="176">
        <f t="shared" si="169"/>
        <v>3400000</v>
      </c>
      <c r="BT121" s="551"/>
      <c r="BU121" s="551"/>
      <c r="BV121" s="176"/>
      <c r="BW121" s="177">
        <f t="shared" si="170"/>
        <v>3400000</v>
      </c>
    </row>
    <row r="122" spans="1:83" s="269" customFormat="1" ht="20.25" customHeight="1" x14ac:dyDescent="0.25">
      <c r="A122" s="910"/>
      <c r="B122" s="219"/>
      <c r="C122" s="38"/>
      <c r="D122" s="38" t="s">
        <v>697</v>
      </c>
      <c r="E122" s="38" t="s">
        <v>152</v>
      </c>
      <c r="F122" s="229">
        <v>50000</v>
      </c>
      <c r="G122" s="222">
        <f t="shared" si="89"/>
        <v>72</v>
      </c>
      <c r="H122" s="230">
        <f t="shared" si="152"/>
        <v>3600000</v>
      </c>
      <c r="I122" s="230">
        <f t="shared" si="157"/>
        <v>360000</v>
      </c>
      <c r="J122" s="230">
        <f t="shared" si="158"/>
        <v>2880000</v>
      </c>
      <c r="K122" s="230"/>
      <c r="L122" s="230"/>
      <c r="M122" s="230"/>
      <c r="N122" s="230"/>
      <c r="O122" s="230"/>
      <c r="P122" s="230"/>
      <c r="Q122" s="230">
        <f t="shared" si="159"/>
        <v>360000</v>
      </c>
      <c r="R122" s="230"/>
      <c r="S122" s="225">
        <f t="shared" si="160"/>
        <v>7.2</v>
      </c>
      <c r="T122" s="225">
        <f t="shared" si="161"/>
        <v>43.199999999999996</v>
      </c>
      <c r="U122" s="225">
        <f t="shared" si="162"/>
        <v>18</v>
      </c>
      <c r="V122" s="225">
        <f t="shared" si="163"/>
        <v>3.6</v>
      </c>
      <c r="W122" s="221">
        <f t="shared" si="164"/>
        <v>360000</v>
      </c>
      <c r="X122" s="221">
        <f t="shared" si="165"/>
        <v>2160000</v>
      </c>
      <c r="Y122" s="221">
        <f t="shared" si="166"/>
        <v>900000</v>
      </c>
      <c r="Z122" s="221">
        <f t="shared" si="167"/>
        <v>180000</v>
      </c>
      <c r="AA122" s="267">
        <v>4</v>
      </c>
      <c r="AB122" s="221">
        <f t="shared" si="147"/>
        <v>200000</v>
      </c>
      <c r="AC122" s="267">
        <v>10</v>
      </c>
      <c r="AD122" s="225">
        <f t="shared" si="148"/>
        <v>500000</v>
      </c>
      <c r="AE122" s="267">
        <v>5</v>
      </c>
      <c r="AF122" s="53">
        <f t="shared" si="94"/>
        <v>250000</v>
      </c>
      <c r="AG122" s="267"/>
      <c r="AH122" s="53">
        <f t="shared" si="95"/>
        <v>0</v>
      </c>
      <c r="AI122" s="267">
        <v>5</v>
      </c>
      <c r="AJ122" s="53">
        <f t="shared" si="96"/>
        <v>250000</v>
      </c>
      <c r="AK122" s="267"/>
      <c r="AL122" s="53">
        <f t="shared" si="97"/>
        <v>0</v>
      </c>
      <c r="AM122" s="267">
        <v>2</v>
      </c>
      <c r="AN122" s="53">
        <f t="shared" si="98"/>
        <v>100000</v>
      </c>
      <c r="AO122" s="267">
        <v>2</v>
      </c>
      <c r="AP122" s="53">
        <f t="shared" si="99"/>
        <v>100000</v>
      </c>
      <c r="AQ122" s="267">
        <v>5</v>
      </c>
      <c r="AR122" s="53">
        <f t="shared" si="100"/>
        <v>250000</v>
      </c>
      <c r="AS122" s="267">
        <v>12</v>
      </c>
      <c r="AT122" s="53">
        <f t="shared" si="101"/>
        <v>600000</v>
      </c>
      <c r="AU122" s="623">
        <v>10</v>
      </c>
      <c r="AV122" s="53">
        <f t="shared" si="102"/>
        <v>500000</v>
      </c>
      <c r="AW122" s="267">
        <v>3</v>
      </c>
      <c r="AX122" s="53">
        <f t="shared" si="103"/>
        <v>150000</v>
      </c>
      <c r="AY122" s="76">
        <v>5</v>
      </c>
      <c r="AZ122" s="53">
        <f t="shared" si="104"/>
        <v>250000</v>
      </c>
      <c r="BA122" s="267">
        <v>5</v>
      </c>
      <c r="BB122" s="53">
        <f t="shared" si="105"/>
        <v>250000</v>
      </c>
      <c r="BC122" s="623">
        <v>3</v>
      </c>
      <c r="BD122" s="53">
        <f t="shared" si="106"/>
        <v>150000</v>
      </c>
      <c r="BE122" s="267">
        <v>0</v>
      </c>
      <c r="BF122" s="53">
        <f t="shared" si="107"/>
        <v>0</v>
      </c>
      <c r="BG122" s="267">
        <v>1</v>
      </c>
      <c r="BH122" s="53">
        <f t="shared" si="108"/>
        <v>50000</v>
      </c>
      <c r="BI122" s="267"/>
      <c r="BJ122" s="53">
        <f t="shared" si="109"/>
        <v>0</v>
      </c>
      <c r="BK122" s="224">
        <f t="shared" si="149"/>
        <v>72</v>
      </c>
      <c r="BL122" s="53">
        <f t="shared" si="149"/>
        <v>3600000</v>
      </c>
      <c r="BM122" s="306" t="s">
        <v>480</v>
      </c>
      <c r="BN122" s="682">
        <f t="shared" si="124"/>
        <v>3600000</v>
      </c>
      <c r="BO122" s="230"/>
      <c r="BP122" s="270"/>
      <c r="BQ122" s="270">
        <f t="shared" si="168"/>
        <v>3600000</v>
      </c>
      <c r="BR122" s="270"/>
      <c r="BS122" s="113">
        <f t="shared" si="169"/>
        <v>3600000</v>
      </c>
      <c r="BT122" s="270"/>
      <c r="BU122" s="270"/>
      <c r="BV122" s="113"/>
      <c r="BW122" s="217">
        <f t="shared" si="170"/>
        <v>3600000</v>
      </c>
    </row>
    <row r="123" spans="1:83" s="269" customFormat="1" ht="20.25" customHeight="1" x14ac:dyDescent="0.25">
      <c r="A123" s="910"/>
      <c r="B123" s="219"/>
      <c r="C123" s="38"/>
      <c r="D123" s="38" t="s">
        <v>698</v>
      </c>
      <c r="E123" s="38" t="s">
        <v>152</v>
      </c>
      <c r="F123" s="229">
        <v>50000</v>
      </c>
      <c r="G123" s="222">
        <f t="shared" si="89"/>
        <v>61</v>
      </c>
      <c r="H123" s="230">
        <f t="shared" si="152"/>
        <v>3050000</v>
      </c>
      <c r="I123" s="230">
        <f t="shared" si="157"/>
        <v>305000</v>
      </c>
      <c r="J123" s="230">
        <f t="shared" si="158"/>
        <v>2440000</v>
      </c>
      <c r="K123" s="230"/>
      <c r="L123" s="230"/>
      <c r="M123" s="230"/>
      <c r="N123" s="230"/>
      <c r="O123" s="230"/>
      <c r="P123" s="230"/>
      <c r="Q123" s="230">
        <f t="shared" si="159"/>
        <v>305000</v>
      </c>
      <c r="R123" s="230"/>
      <c r="S123" s="225">
        <f t="shared" si="160"/>
        <v>6.1000000000000005</v>
      </c>
      <c r="T123" s="225">
        <f t="shared" si="161"/>
        <v>36.6</v>
      </c>
      <c r="U123" s="225">
        <f t="shared" si="162"/>
        <v>15.25</v>
      </c>
      <c r="V123" s="225">
        <f t="shared" si="163"/>
        <v>3.0500000000000003</v>
      </c>
      <c r="W123" s="221">
        <f t="shared" si="164"/>
        <v>305000</v>
      </c>
      <c r="X123" s="221">
        <f t="shared" si="165"/>
        <v>1830000</v>
      </c>
      <c r="Y123" s="221">
        <f t="shared" si="166"/>
        <v>762500</v>
      </c>
      <c r="Z123" s="221">
        <f t="shared" si="167"/>
        <v>152500</v>
      </c>
      <c r="AA123" s="267">
        <v>10</v>
      </c>
      <c r="AB123" s="221">
        <f t="shared" si="147"/>
        <v>500000</v>
      </c>
      <c r="AC123" s="267"/>
      <c r="AD123" s="225">
        <f t="shared" si="148"/>
        <v>0</v>
      </c>
      <c r="AE123" s="267"/>
      <c r="AF123" s="53">
        <f t="shared" si="94"/>
        <v>0</v>
      </c>
      <c r="AG123" s="267">
        <v>5</v>
      </c>
      <c r="AH123" s="53">
        <f t="shared" si="95"/>
        <v>250000</v>
      </c>
      <c r="AI123" s="267">
        <v>10</v>
      </c>
      <c r="AJ123" s="53">
        <f t="shared" si="96"/>
        <v>500000</v>
      </c>
      <c r="AK123" s="267">
        <v>1</v>
      </c>
      <c r="AL123" s="53">
        <f t="shared" si="97"/>
        <v>50000</v>
      </c>
      <c r="AM123" s="267">
        <v>5</v>
      </c>
      <c r="AN123" s="53">
        <f t="shared" si="98"/>
        <v>250000</v>
      </c>
      <c r="AO123" s="267">
        <v>5</v>
      </c>
      <c r="AP123" s="53">
        <f t="shared" si="99"/>
        <v>250000</v>
      </c>
      <c r="AQ123" s="267">
        <v>2</v>
      </c>
      <c r="AR123" s="53">
        <f t="shared" si="100"/>
        <v>100000</v>
      </c>
      <c r="AS123" s="267">
        <v>2</v>
      </c>
      <c r="AT123" s="53">
        <f t="shared" si="101"/>
        <v>100000</v>
      </c>
      <c r="AU123" s="267">
        <v>5</v>
      </c>
      <c r="AV123" s="53">
        <f t="shared" si="102"/>
        <v>250000</v>
      </c>
      <c r="AW123" s="267"/>
      <c r="AX123" s="53">
        <f t="shared" si="103"/>
        <v>0</v>
      </c>
      <c r="AY123" s="76">
        <v>2</v>
      </c>
      <c r="AZ123" s="53">
        <f t="shared" si="104"/>
        <v>100000</v>
      </c>
      <c r="BA123" s="267">
        <v>0</v>
      </c>
      <c r="BB123" s="53">
        <f t="shared" si="105"/>
        <v>0</v>
      </c>
      <c r="BC123" s="267">
        <v>3</v>
      </c>
      <c r="BD123" s="53">
        <f t="shared" si="106"/>
        <v>150000</v>
      </c>
      <c r="BE123" s="267">
        <v>10</v>
      </c>
      <c r="BF123" s="53">
        <f t="shared" si="107"/>
        <v>500000</v>
      </c>
      <c r="BG123" s="267">
        <v>1</v>
      </c>
      <c r="BH123" s="53">
        <f t="shared" si="108"/>
        <v>50000</v>
      </c>
      <c r="BI123" s="267"/>
      <c r="BJ123" s="53">
        <f t="shared" si="109"/>
        <v>0</v>
      </c>
      <c r="BK123" s="224">
        <f t="shared" si="149"/>
        <v>61</v>
      </c>
      <c r="BL123" s="53">
        <f t="shared" si="149"/>
        <v>3050000</v>
      </c>
      <c r="BM123" s="306" t="s">
        <v>480</v>
      </c>
      <c r="BN123" s="682">
        <f t="shared" si="124"/>
        <v>3050000</v>
      </c>
      <c r="BO123" s="230"/>
      <c r="BP123" s="270"/>
      <c r="BQ123" s="270">
        <f t="shared" si="168"/>
        <v>3050000</v>
      </c>
      <c r="BR123" s="270"/>
      <c r="BS123" s="113">
        <f t="shared" si="169"/>
        <v>3050000</v>
      </c>
      <c r="BT123" s="270"/>
      <c r="BU123" s="270"/>
      <c r="BV123" s="113"/>
      <c r="BW123" s="217">
        <f t="shared" si="170"/>
        <v>3050000</v>
      </c>
    </row>
    <row r="124" spans="1:83" s="269" customFormat="1" ht="20.25" customHeight="1" x14ac:dyDescent="0.25">
      <c r="A124" s="910"/>
      <c r="B124" s="219"/>
      <c r="C124" s="38"/>
      <c r="D124" s="685" t="s">
        <v>883</v>
      </c>
      <c r="E124" s="38" t="s">
        <v>152</v>
      </c>
      <c r="F124" s="229">
        <v>15000</v>
      </c>
      <c r="G124" s="222">
        <f t="shared" si="89"/>
        <v>24</v>
      </c>
      <c r="H124" s="230">
        <f t="shared" si="152"/>
        <v>360000</v>
      </c>
      <c r="I124" s="230">
        <f t="shared" ref="I124" si="172">H124*0.1</f>
        <v>36000</v>
      </c>
      <c r="J124" s="230">
        <f t="shared" ref="J124" si="173">H124*0.8</f>
        <v>288000</v>
      </c>
      <c r="K124" s="230"/>
      <c r="L124" s="230"/>
      <c r="M124" s="230"/>
      <c r="N124" s="230"/>
      <c r="O124" s="230"/>
      <c r="P124" s="230"/>
      <c r="Q124" s="230">
        <f t="shared" si="159"/>
        <v>36000</v>
      </c>
      <c r="R124" s="230"/>
      <c r="S124" s="225">
        <f t="shared" si="160"/>
        <v>2.4000000000000004</v>
      </c>
      <c r="T124" s="225">
        <f t="shared" si="161"/>
        <v>14.399999999999999</v>
      </c>
      <c r="U124" s="225">
        <f t="shared" si="162"/>
        <v>6</v>
      </c>
      <c r="V124" s="225">
        <f t="shared" si="163"/>
        <v>1.2000000000000002</v>
      </c>
      <c r="W124" s="221"/>
      <c r="X124" s="221"/>
      <c r="Y124" s="221"/>
      <c r="Z124" s="221">
        <f>H124</f>
        <v>360000</v>
      </c>
      <c r="AA124" s="267"/>
      <c r="AB124" s="221"/>
      <c r="AC124" s="267"/>
      <c r="AD124" s="225">
        <f t="shared" si="148"/>
        <v>0</v>
      </c>
      <c r="AE124" s="267"/>
      <c r="AF124" s="53">
        <f t="shared" si="94"/>
        <v>0</v>
      </c>
      <c r="AG124" s="267"/>
      <c r="AH124" s="53"/>
      <c r="AI124" s="267"/>
      <c r="AJ124" s="53"/>
      <c r="AK124" s="267"/>
      <c r="AL124" s="53"/>
      <c r="AM124" s="267"/>
      <c r="AN124" s="53"/>
      <c r="AO124" s="267"/>
      <c r="AP124" s="53"/>
      <c r="AQ124" s="267"/>
      <c r="AR124" s="53"/>
      <c r="AS124" s="267"/>
      <c r="AT124" s="53"/>
      <c r="AU124" s="267"/>
      <c r="AV124" s="53"/>
      <c r="AW124" s="267"/>
      <c r="AX124" s="53">
        <f t="shared" si="103"/>
        <v>0</v>
      </c>
      <c r="AY124" s="76"/>
      <c r="AZ124" s="53"/>
      <c r="BA124" s="267"/>
      <c r="BB124" s="53"/>
      <c r="BC124" s="267"/>
      <c r="BD124" s="53"/>
      <c r="BE124" s="267">
        <v>24</v>
      </c>
      <c r="BF124" s="53">
        <f t="shared" si="107"/>
        <v>360000</v>
      </c>
      <c r="BG124" s="267"/>
      <c r="BH124" s="53"/>
      <c r="BI124" s="267"/>
      <c r="BJ124" s="53">
        <f t="shared" si="109"/>
        <v>0</v>
      </c>
      <c r="BK124" s="224">
        <f t="shared" ref="BK124" si="174">AA124+AC124+AE124+AG124+AI124+AK124+AM124+AO124+AQ124+AS124+AU124+AW124+AY124+BA124+BC124+BE124+BG124+BI124</f>
        <v>24</v>
      </c>
      <c r="BL124" s="53">
        <f t="shared" ref="BL124" si="175">AB124+AD124+AF124+AH124+AJ124+AL124+AN124+AP124+AR124+AT124+AV124+AX124+AZ124+BB124+BD124+BF124+BH124+BJ124</f>
        <v>360000</v>
      </c>
      <c r="BM124" s="306" t="s">
        <v>480</v>
      </c>
      <c r="BN124" s="682"/>
      <c r="BO124" s="230"/>
      <c r="BP124" s="270"/>
      <c r="BQ124" s="270"/>
      <c r="BR124" s="270"/>
      <c r="BS124" s="113"/>
      <c r="BT124" s="270"/>
      <c r="BU124" s="270"/>
      <c r="BV124" s="113"/>
      <c r="BW124" s="217"/>
    </row>
    <row r="125" spans="1:83" s="271" customFormat="1" ht="20.25" customHeight="1" x14ac:dyDescent="0.25">
      <c r="A125" s="910"/>
      <c r="B125" s="219"/>
      <c r="C125" s="38"/>
      <c r="D125" s="169" t="s">
        <v>661</v>
      </c>
      <c r="E125" s="38" t="s">
        <v>152</v>
      </c>
      <c r="F125" s="229">
        <v>50000</v>
      </c>
      <c r="G125" s="222">
        <f t="shared" si="89"/>
        <v>150</v>
      </c>
      <c r="H125" s="230">
        <f t="shared" si="152"/>
        <v>7500000</v>
      </c>
      <c r="I125" s="230">
        <f t="shared" si="157"/>
        <v>750000</v>
      </c>
      <c r="J125" s="230">
        <f t="shared" si="158"/>
        <v>6000000</v>
      </c>
      <c r="K125" s="230"/>
      <c r="L125" s="230"/>
      <c r="M125" s="230"/>
      <c r="N125" s="230"/>
      <c r="O125" s="230"/>
      <c r="P125" s="230"/>
      <c r="Q125" s="230">
        <f t="shared" si="159"/>
        <v>750000</v>
      </c>
      <c r="R125" s="230"/>
      <c r="S125" s="225">
        <f t="shared" si="160"/>
        <v>15</v>
      </c>
      <c r="T125" s="225">
        <f t="shared" si="161"/>
        <v>90</v>
      </c>
      <c r="U125" s="225">
        <f t="shared" si="162"/>
        <v>37.5</v>
      </c>
      <c r="V125" s="225">
        <f t="shared" si="163"/>
        <v>7.5</v>
      </c>
      <c r="W125" s="221">
        <f t="shared" si="164"/>
        <v>750000</v>
      </c>
      <c r="X125" s="221">
        <f t="shared" si="165"/>
        <v>4500000</v>
      </c>
      <c r="Y125" s="221">
        <f t="shared" si="166"/>
        <v>1875000</v>
      </c>
      <c r="Z125" s="221">
        <f t="shared" si="167"/>
        <v>375000</v>
      </c>
      <c r="AA125" s="267">
        <v>20</v>
      </c>
      <c r="AB125" s="221">
        <f t="shared" si="147"/>
        <v>1000000</v>
      </c>
      <c r="AC125" s="267">
        <v>10</v>
      </c>
      <c r="AD125" s="225">
        <f t="shared" si="148"/>
        <v>500000</v>
      </c>
      <c r="AE125" s="267">
        <v>5</v>
      </c>
      <c r="AF125" s="53">
        <f t="shared" si="94"/>
        <v>250000</v>
      </c>
      <c r="AG125" s="623">
        <v>15</v>
      </c>
      <c r="AH125" s="53">
        <f t="shared" si="95"/>
        <v>750000</v>
      </c>
      <c r="AI125" s="267">
        <v>5</v>
      </c>
      <c r="AJ125" s="53">
        <f t="shared" si="96"/>
        <v>250000</v>
      </c>
      <c r="AK125" s="623">
        <v>5</v>
      </c>
      <c r="AL125" s="53">
        <f t="shared" si="97"/>
        <v>250000</v>
      </c>
      <c r="AM125" s="267">
        <v>8</v>
      </c>
      <c r="AN125" s="53">
        <f t="shared" si="98"/>
        <v>400000</v>
      </c>
      <c r="AO125" s="267">
        <v>5</v>
      </c>
      <c r="AP125" s="53">
        <f t="shared" si="99"/>
        <v>250000</v>
      </c>
      <c r="AQ125" s="267">
        <v>10</v>
      </c>
      <c r="AR125" s="53">
        <f t="shared" si="100"/>
        <v>500000</v>
      </c>
      <c r="AS125" s="267">
        <v>5</v>
      </c>
      <c r="AT125" s="53">
        <f t="shared" si="101"/>
        <v>250000</v>
      </c>
      <c r="AU125" s="267">
        <v>5</v>
      </c>
      <c r="AV125" s="53">
        <f t="shared" si="102"/>
        <v>250000</v>
      </c>
      <c r="AW125" s="267">
        <v>35</v>
      </c>
      <c r="AX125" s="53">
        <f t="shared" si="103"/>
        <v>1750000</v>
      </c>
      <c r="AY125" s="756">
        <v>0</v>
      </c>
      <c r="AZ125" s="53">
        <f t="shared" si="104"/>
        <v>0</v>
      </c>
      <c r="BA125" s="267">
        <v>5</v>
      </c>
      <c r="BB125" s="53">
        <f t="shared" si="105"/>
        <v>250000</v>
      </c>
      <c r="BC125" s="623">
        <v>7</v>
      </c>
      <c r="BD125" s="53">
        <f t="shared" si="106"/>
        <v>350000</v>
      </c>
      <c r="BE125" s="267">
        <v>5</v>
      </c>
      <c r="BF125" s="53">
        <f t="shared" si="107"/>
        <v>250000</v>
      </c>
      <c r="BG125" s="267">
        <v>5</v>
      </c>
      <c r="BH125" s="53">
        <f t="shared" si="108"/>
        <v>250000</v>
      </c>
      <c r="BI125" s="267"/>
      <c r="BJ125" s="53">
        <f t="shared" si="109"/>
        <v>0</v>
      </c>
      <c r="BK125" s="224">
        <f t="shared" si="149"/>
        <v>150</v>
      </c>
      <c r="BL125" s="53">
        <f t="shared" si="149"/>
        <v>7500000</v>
      </c>
      <c r="BM125" s="306" t="s">
        <v>480</v>
      </c>
      <c r="BN125" s="682">
        <f t="shared" si="124"/>
        <v>7500000</v>
      </c>
      <c r="BO125" s="230"/>
      <c r="BP125" s="270"/>
      <c r="BQ125" s="270">
        <f t="shared" si="168"/>
        <v>7500000</v>
      </c>
      <c r="BR125" s="270"/>
      <c r="BS125" s="113">
        <f t="shared" si="169"/>
        <v>7500000</v>
      </c>
      <c r="BT125" s="270"/>
      <c r="BU125" s="270"/>
      <c r="BV125" s="113"/>
      <c r="BW125" s="217">
        <f t="shared" si="170"/>
        <v>7500000</v>
      </c>
      <c r="BX125" s="269"/>
      <c r="BY125" s="269"/>
      <c r="BZ125" s="269"/>
      <c r="CA125" s="269"/>
      <c r="CB125" s="269"/>
      <c r="CC125" s="269"/>
      <c r="CD125" s="269"/>
      <c r="CE125" s="269"/>
    </row>
    <row r="126" spans="1:83" s="269" customFormat="1" ht="20.25" customHeight="1" x14ac:dyDescent="0.25">
      <c r="A126" s="910"/>
      <c r="B126" s="232"/>
      <c r="C126" s="259"/>
      <c r="D126" s="233" t="s">
        <v>3</v>
      </c>
      <c r="E126" s="259"/>
      <c r="F126" s="260"/>
      <c r="G126" s="235">
        <f t="shared" si="89"/>
        <v>683</v>
      </c>
      <c r="H126" s="206">
        <f>SUM(H111:H125)</f>
        <v>31927500</v>
      </c>
      <c r="I126" s="206">
        <f>SUM(I111:I125)</f>
        <v>1979000</v>
      </c>
      <c r="J126" s="206">
        <f t="shared" ref="J126:R126" si="176">SUM(J111:J125)</f>
        <v>15832000</v>
      </c>
      <c r="K126" s="206">
        <f t="shared" si="176"/>
        <v>0</v>
      </c>
      <c r="L126" s="206">
        <f t="shared" si="176"/>
        <v>0</v>
      </c>
      <c r="M126" s="206">
        <f t="shared" si="176"/>
        <v>0</v>
      </c>
      <c r="N126" s="206">
        <f t="shared" si="176"/>
        <v>0</v>
      </c>
      <c r="O126" s="206">
        <f t="shared" si="176"/>
        <v>0</v>
      </c>
      <c r="P126" s="206">
        <f t="shared" si="176"/>
        <v>0</v>
      </c>
      <c r="Q126" s="206">
        <f t="shared" si="176"/>
        <v>1979000</v>
      </c>
      <c r="R126" s="206">
        <f t="shared" si="176"/>
        <v>12137500</v>
      </c>
      <c r="S126" s="244">
        <f t="shared" ref="S126:BJ126" si="177">SUM(S111:S125)</f>
        <v>68.3</v>
      </c>
      <c r="T126" s="244">
        <f t="shared" si="177"/>
        <v>409.8</v>
      </c>
      <c r="U126" s="244">
        <f t="shared" si="177"/>
        <v>170.75</v>
      </c>
      <c r="V126" s="244">
        <f t="shared" si="177"/>
        <v>34.15</v>
      </c>
      <c r="W126" s="244">
        <f t="shared" si="177"/>
        <v>3156750</v>
      </c>
      <c r="X126" s="244">
        <f t="shared" si="177"/>
        <v>18940500</v>
      </c>
      <c r="Y126" s="244">
        <f t="shared" si="177"/>
        <v>7891875</v>
      </c>
      <c r="Z126" s="244">
        <f t="shared" si="177"/>
        <v>1938375</v>
      </c>
      <c r="AA126" s="244">
        <f t="shared" si="177"/>
        <v>58</v>
      </c>
      <c r="AB126" s="244">
        <f t="shared" si="177"/>
        <v>2865000</v>
      </c>
      <c r="AC126" s="244">
        <f t="shared" si="177"/>
        <v>42</v>
      </c>
      <c r="AD126" s="244">
        <f t="shared" si="177"/>
        <v>2040000</v>
      </c>
      <c r="AE126" s="244">
        <f t="shared" si="177"/>
        <v>29</v>
      </c>
      <c r="AF126" s="244">
        <f t="shared" si="177"/>
        <v>1312500</v>
      </c>
      <c r="AG126" s="244">
        <f t="shared" si="177"/>
        <v>41</v>
      </c>
      <c r="AH126" s="244">
        <f t="shared" si="177"/>
        <v>2087500</v>
      </c>
      <c r="AI126" s="244">
        <f t="shared" si="177"/>
        <v>43</v>
      </c>
      <c r="AJ126" s="244">
        <f t="shared" si="177"/>
        <v>2090000</v>
      </c>
      <c r="AK126" s="244">
        <f t="shared" si="177"/>
        <v>22</v>
      </c>
      <c r="AL126" s="244">
        <f t="shared" si="177"/>
        <v>1040000</v>
      </c>
      <c r="AM126" s="244">
        <f t="shared" si="177"/>
        <v>33</v>
      </c>
      <c r="AN126" s="244">
        <f t="shared" si="177"/>
        <v>1675000</v>
      </c>
      <c r="AO126" s="244">
        <f t="shared" si="177"/>
        <v>29</v>
      </c>
      <c r="AP126" s="244">
        <f t="shared" si="177"/>
        <v>1475000</v>
      </c>
      <c r="AQ126" s="244">
        <f t="shared" si="177"/>
        <v>32</v>
      </c>
      <c r="AR126" s="244">
        <f t="shared" si="177"/>
        <v>1540000</v>
      </c>
      <c r="AS126" s="244">
        <f t="shared" si="177"/>
        <v>47</v>
      </c>
      <c r="AT126" s="244">
        <f t="shared" si="177"/>
        <v>2290000</v>
      </c>
      <c r="AU126" s="244">
        <f t="shared" si="177"/>
        <v>48</v>
      </c>
      <c r="AV126" s="244">
        <f t="shared" si="177"/>
        <v>2425000</v>
      </c>
      <c r="AW126" s="244">
        <f t="shared" si="177"/>
        <v>59</v>
      </c>
      <c r="AX126" s="244">
        <f t="shared" si="177"/>
        <v>2945000</v>
      </c>
      <c r="AY126" s="244">
        <f t="shared" si="177"/>
        <v>23</v>
      </c>
      <c r="AZ126" s="244">
        <f t="shared" si="177"/>
        <v>1102500</v>
      </c>
      <c r="BA126" s="244">
        <f t="shared" si="177"/>
        <v>33</v>
      </c>
      <c r="BB126" s="244">
        <f t="shared" si="177"/>
        <v>1525000</v>
      </c>
      <c r="BC126" s="244">
        <f t="shared" si="177"/>
        <v>40</v>
      </c>
      <c r="BD126" s="244">
        <f t="shared" si="177"/>
        <v>1880000</v>
      </c>
      <c r="BE126" s="244">
        <f t="shared" si="177"/>
        <v>78</v>
      </c>
      <c r="BF126" s="244">
        <f t="shared" si="177"/>
        <v>2485000</v>
      </c>
      <c r="BG126" s="245">
        <f>SUM(BG111:BG125)</f>
        <v>26</v>
      </c>
      <c r="BH126" s="244">
        <f t="shared" si="177"/>
        <v>1150000</v>
      </c>
      <c r="BI126" s="244">
        <f t="shared" si="177"/>
        <v>0</v>
      </c>
      <c r="BJ126" s="244">
        <f t="shared" si="177"/>
        <v>0</v>
      </c>
      <c r="BK126" s="244">
        <f t="shared" si="149"/>
        <v>683</v>
      </c>
      <c r="BL126" s="244">
        <f t="shared" si="149"/>
        <v>31927500</v>
      </c>
      <c r="BM126" s="313"/>
      <c r="BN126" s="682">
        <f t="shared" si="124"/>
        <v>31927500</v>
      </c>
      <c r="BO126" s="543">
        <f>SUM(BO111:BO125)</f>
        <v>0</v>
      </c>
      <c r="BP126" s="543"/>
      <c r="BQ126" s="543">
        <f>SUM(BQ111:BQ125)</f>
        <v>31567500</v>
      </c>
      <c r="BR126" s="543"/>
      <c r="BS126" s="543">
        <f t="shared" si="169"/>
        <v>31567500</v>
      </c>
      <c r="BT126" s="543"/>
      <c r="BU126" s="543"/>
      <c r="BV126" s="543"/>
      <c r="BW126" s="543">
        <f t="shared" si="170"/>
        <v>31567500</v>
      </c>
    </row>
    <row r="127" spans="1:83" s="269" customFormat="1" ht="35.25" customHeight="1" x14ac:dyDescent="0.25">
      <c r="A127" s="910"/>
      <c r="B127" s="219"/>
      <c r="C127" s="38"/>
      <c r="D127" s="211" t="s">
        <v>715</v>
      </c>
      <c r="E127" s="38"/>
      <c r="F127" s="229"/>
      <c r="G127" s="222">
        <f t="shared" si="89"/>
        <v>0</v>
      </c>
      <c r="H127" s="230">
        <f>BL127</f>
        <v>0</v>
      </c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67"/>
      <c r="T127" s="267"/>
      <c r="U127" s="267"/>
      <c r="V127" s="267"/>
      <c r="W127" s="76"/>
      <c r="X127" s="76"/>
      <c r="Y127" s="76"/>
      <c r="Z127" s="76"/>
      <c r="AA127" s="267"/>
      <c r="AB127" s="221">
        <f t="shared" si="147"/>
        <v>0</v>
      </c>
      <c r="AC127" s="267"/>
      <c r="AD127" s="225">
        <f t="shared" si="148"/>
        <v>0</v>
      </c>
      <c r="AE127" s="267"/>
      <c r="AF127" s="53">
        <f t="shared" si="94"/>
        <v>0</v>
      </c>
      <c r="AG127" s="267"/>
      <c r="AH127" s="53">
        <f t="shared" si="95"/>
        <v>0</v>
      </c>
      <c r="AI127" s="267"/>
      <c r="AJ127" s="53">
        <f t="shared" si="96"/>
        <v>0</v>
      </c>
      <c r="AK127" s="267"/>
      <c r="AL127" s="53">
        <f t="shared" si="97"/>
        <v>0</v>
      </c>
      <c r="AM127" s="267"/>
      <c r="AN127" s="53">
        <f t="shared" si="98"/>
        <v>0</v>
      </c>
      <c r="AO127" s="267"/>
      <c r="AP127" s="53">
        <f t="shared" si="99"/>
        <v>0</v>
      </c>
      <c r="AQ127" s="267"/>
      <c r="AR127" s="53">
        <f t="shared" si="100"/>
        <v>0</v>
      </c>
      <c r="AS127" s="267"/>
      <c r="AT127" s="53">
        <f t="shared" si="101"/>
        <v>0</v>
      </c>
      <c r="AU127" s="267"/>
      <c r="AV127" s="53">
        <f t="shared" si="102"/>
        <v>0</v>
      </c>
      <c r="AW127" s="267"/>
      <c r="AX127" s="53">
        <f t="shared" si="103"/>
        <v>0</v>
      </c>
      <c r="AY127" s="76"/>
      <c r="AZ127" s="53">
        <f t="shared" si="104"/>
        <v>0</v>
      </c>
      <c r="BA127" s="267"/>
      <c r="BB127" s="53">
        <f>BA127*F127</f>
        <v>0</v>
      </c>
      <c r="BC127" s="267"/>
      <c r="BD127" s="53">
        <f t="shared" si="106"/>
        <v>0</v>
      </c>
      <c r="BE127" s="268"/>
      <c r="BF127" s="53">
        <f t="shared" si="107"/>
        <v>0</v>
      </c>
      <c r="BG127" s="267"/>
      <c r="BH127" s="53">
        <f t="shared" si="108"/>
        <v>0</v>
      </c>
      <c r="BI127" s="267"/>
      <c r="BJ127" s="53">
        <f t="shared" si="109"/>
        <v>0</v>
      </c>
      <c r="BK127" s="224">
        <f t="shared" si="149"/>
        <v>0</v>
      </c>
      <c r="BL127" s="53">
        <f t="shared" si="149"/>
        <v>0</v>
      </c>
      <c r="BM127" s="306"/>
      <c r="BN127" s="682">
        <f t="shared" si="124"/>
        <v>0</v>
      </c>
      <c r="BO127" s="230">
        <f>H127</f>
        <v>0</v>
      </c>
      <c r="BP127" s="270"/>
      <c r="BQ127" s="270">
        <f>H127</f>
        <v>0</v>
      </c>
      <c r="BR127" s="270"/>
      <c r="BS127" s="113">
        <f>BO127+BP127+BQ127+BR127</f>
        <v>0</v>
      </c>
      <c r="BT127" s="270"/>
      <c r="BU127" s="270"/>
      <c r="BV127" s="113"/>
      <c r="BW127" s="217">
        <f>BS127+BV127</f>
        <v>0</v>
      </c>
    </row>
    <row r="128" spans="1:83" s="269" customFormat="1" ht="20.25" customHeight="1" x14ac:dyDescent="0.25">
      <c r="A128" s="910"/>
      <c r="B128" s="219"/>
      <c r="C128" s="38"/>
      <c r="D128" s="38" t="s">
        <v>666</v>
      </c>
      <c r="E128" s="38" t="s">
        <v>152</v>
      </c>
      <c r="F128" s="229">
        <v>150000</v>
      </c>
      <c r="G128" s="222">
        <f t="shared" si="89"/>
        <v>6</v>
      </c>
      <c r="H128" s="230">
        <f>G128*F128</f>
        <v>900000</v>
      </c>
      <c r="I128" s="230">
        <f>H128*0.1</f>
        <v>90000</v>
      </c>
      <c r="J128" s="230">
        <f t="shared" ref="J128:J131" si="178">H128*0.8</f>
        <v>720000</v>
      </c>
      <c r="K128" s="230"/>
      <c r="L128" s="230"/>
      <c r="M128" s="230"/>
      <c r="N128" s="230"/>
      <c r="O128" s="230"/>
      <c r="P128" s="230"/>
      <c r="Q128" s="230">
        <f>H128*0.1</f>
        <v>90000</v>
      </c>
      <c r="R128" s="230"/>
      <c r="S128" s="225">
        <f t="shared" ref="S128" si="179">G128*0.1</f>
        <v>0.60000000000000009</v>
      </c>
      <c r="T128" s="225">
        <f t="shared" ref="T128" si="180">G128*0.6</f>
        <v>3.5999999999999996</v>
      </c>
      <c r="U128" s="225">
        <f t="shared" ref="U128" si="181">G128*0.25</f>
        <v>1.5</v>
      </c>
      <c r="V128" s="225">
        <f t="shared" ref="V128" si="182">G128*0.05</f>
        <v>0.30000000000000004</v>
      </c>
      <c r="W128" s="221">
        <f>S128*F128</f>
        <v>90000.000000000015</v>
      </c>
      <c r="X128" s="221">
        <f>T128*F128</f>
        <v>540000</v>
      </c>
      <c r="Y128" s="221">
        <f>U128*F128</f>
        <v>225000</v>
      </c>
      <c r="Z128" s="221">
        <f>V128*F128</f>
        <v>45000.000000000007</v>
      </c>
      <c r="AA128" s="267"/>
      <c r="AB128" s="221">
        <f t="shared" si="147"/>
        <v>0</v>
      </c>
      <c r="AC128" s="267"/>
      <c r="AD128" s="225">
        <f t="shared" si="148"/>
        <v>0</v>
      </c>
      <c r="AE128" s="267"/>
      <c r="AF128" s="53">
        <f t="shared" si="94"/>
        <v>0</v>
      </c>
      <c r="AG128" s="267"/>
      <c r="AH128" s="53">
        <f t="shared" si="95"/>
        <v>0</v>
      </c>
      <c r="AI128" s="267">
        <v>0</v>
      </c>
      <c r="AJ128" s="53">
        <f t="shared" si="96"/>
        <v>0</v>
      </c>
      <c r="AK128" s="267">
        <v>0</v>
      </c>
      <c r="AL128" s="53">
        <f t="shared" si="97"/>
        <v>0</v>
      </c>
      <c r="AM128" s="267"/>
      <c r="AN128" s="53">
        <f t="shared" si="98"/>
        <v>0</v>
      </c>
      <c r="AO128" s="623">
        <v>2</v>
      </c>
      <c r="AP128" s="53">
        <f t="shared" si="99"/>
        <v>300000</v>
      </c>
      <c r="AQ128" s="267"/>
      <c r="AR128" s="53">
        <f t="shared" si="100"/>
        <v>0</v>
      </c>
      <c r="AS128" s="267">
        <v>2</v>
      </c>
      <c r="AT128" s="53">
        <f t="shared" si="101"/>
        <v>300000</v>
      </c>
      <c r="AU128" s="267">
        <v>0</v>
      </c>
      <c r="AV128" s="53">
        <f t="shared" si="102"/>
        <v>0</v>
      </c>
      <c r="AW128" s="267"/>
      <c r="AX128" s="53">
        <f t="shared" si="103"/>
        <v>0</v>
      </c>
      <c r="AY128" s="76">
        <v>0</v>
      </c>
      <c r="AZ128" s="53">
        <f t="shared" si="104"/>
        <v>0</v>
      </c>
      <c r="BA128" s="267"/>
      <c r="BB128" s="53">
        <f t="shared" si="105"/>
        <v>0</v>
      </c>
      <c r="BC128" s="267">
        <v>2</v>
      </c>
      <c r="BD128" s="53">
        <f t="shared" si="106"/>
        <v>300000</v>
      </c>
      <c r="BE128" s="268"/>
      <c r="BF128" s="53">
        <f t="shared" si="107"/>
        <v>0</v>
      </c>
      <c r="BG128" s="267">
        <v>0</v>
      </c>
      <c r="BH128" s="53">
        <f t="shared" si="108"/>
        <v>0</v>
      </c>
      <c r="BI128" s="267"/>
      <c r="BJ128" s="53">
        <f t="shared" si="109"/>
        <v>0</v>
      </c>
      <c r="BK128" s="224">
        <f t="shared" si="149"/>
        <v>6</v>
      </c>
      <c r="BL128" s="53">
        <f t="shared" si="149"/>
        <v>900000</v>
      </c>
      <c r="BM128" s="306" t="s">
        <v>480</v>
      </c>
      <c r="BN128" s="682">
        <f t="shared" si="124"/>
        <v>900000</v>
      </c>
      <c r="BO128" s="230"/>
      <c r="BP128" s="270"/>
      <c r="BQ128" s="270">
        <f>H128</f>
        <v>900000</v>
      </c>
      <c r="BR128" s="270"/>
      <c r="BS128" s="113">
        <f>BO128+BP128+BQ128+BR128</f>
        <v>900000</v>
      </c>
      <c r="BT128" s="270"/>
      <c r="BU128" s="270"/>
      <c r="BV128" s="113"/>
      <c r="BW128" s="217">
        <f>BS128+BV128</f>
        <v>900000</v>
      </c>
    </row>
    <row r="129" spans="1:75" s="269" customFormat="1" ht="20.25" customHeight="1" x14ac:dyDescent="0.25">
      <c r="A129" s="910"/>
      <c r="B129" s="237"/>
      <c r="C129" s="169"/>
      <c r="D129" s="132" t="s">
        <v>636</v>
      </c>
      <c r="E129" s="169" t="s">
        <v>15</v>
      </c>
      <c r="F129" s="231">
        <v>30000</v>
      </c>
      <c r="G129" s="222">
        <f t="shared" si="89"/>
        <v>189</v>
      </c>
      <c r="H129" s="230">
        <f>G129*F129</f>
        <v>5670000</v>
      </c>
      <c r="I129" s="239">
        <f>H129*0.1</f>
        <v>567000</v>
      </c>
      <c r="J129" s="239">
        <f t="shared" si="178"/>
        <v>4536000</v>
      </c>
      <c r="K129" s="239"/>
      <c r="L129" s="239"/>
      <c r="M129" s="239"/>
      <c r="N129" s="239"/>
      <c r="O129" s="239"/>
      <c r="P129" s="239"/>
      <c r="Q129" s="239">
        <f>0.1*H129</f>
        <v>567000</v>
      </c>
      <c r="R129" s="230"/>
      <c r="S129" s="225">
        <f t="shared" ref="S129:S133" si="183">G129*0.1</f>
        <v>18.900000000000002</v>
      </c>
      <c r="T129" s="225">
        <f t="shared" ref="T129:T133" si="184">G129*0.6</f>
        <v>113.39999999999999</v>
      </c>
      <c r="U129" s="225">
        <f t="shared" ref="U129:U133" si="185">G129*0.25</f>
        <v>47.25</v>
      </c>
      <c r="V129" s="225">
        <f t="shared" ref="V129:V133" si="186">G129*0.05</f>
        <v>9.4500000000000011</v>
      </c>
      <c r="W129" s="221">
        <f>S129*F129</f>
        <v>567000.00000000012</v>
      </c>
      <c r="X129" s="221">
        <f>T129*F129</f>
        <v>3401999.9999999995</v>
      </c>
      <c r="Y129" s="221">
        <f>U129*F129</f>
        <v>1417500</v>
      </c>
      <c r="Z129" s="221">
        <f>V129*F129</f>
        <v>283500.00000000006</v>
      </c>
      <c r="AA129" s="272">
        <v>15</v>
      </c>
      <c r="AB129" s="221">
        <f t="shared" si="147"/>
        <v>450000</v>
      </c>
      <c r="AC129" s="272">
        <v>20</v>
      </c>
      <c r="AD129" s="225">
        <f t="shared" si="148"/>
        <v>600000</v>
      </c>
      <c r="AE129" s="272">
        <v>5</v>
      </c>
      <c r="AF129" s="53">
        <f t="shared" si="94"/>
        <v>150000</v>
      </c>
      <c r="AG129" s="272">
        <v>10</v>
      </c>
      <c r="AH129" s="53">
        <f t="shared" si="95"/>
        <v>300000</v>
      </c>
      <c r="AI129" s="627">
        <v>5</v>
      </c>
      <c r="AJ129" s="53">
        <f t="shared" si="96"/>
        <v>150000</v>
      </c>
      <c r="AK129" s="627">
        <v>0</v>
      </c>
      <c r="AL129" s="53">
        <f t="shared" si="97"/>
        <v>0</v>
      </c>
      <c r="AM129" s="272">
        <v>15</v>
      </c>
      <c r="AN129" s="53">
        <f t="shared" si="98"/>
        <v>450000</v>
      </c>
      <c r="AO129" s="272">
        <v>10</v>
      </c>
      <c r="AP129" s="53">
        <f t="shared" si="99"/>
        <v>300000</v>
      </c>
      <c r="AQ129" s="272">
        <v>5</v>
      </c>
      <c r="AR129" s="53">
        <f t="shared" si="100"/>
        <v>150000</v>
      </c>
      <c r="AS129" s="272">
        <v>15</v>
      </c>
      <c r="AT129" s="53">
        <f t="shared" si="101"/>
        <v>450000</v>
      </c>
      <c r="AU129" s="272">
        <v>20</v>
      </c>
      <c r="AV129" s="53">
        <f t="shared" si="102"/>
        <v>600000</v>
      </c>
      <c r="AW129" s="272">
        <v>10</v>
      </c>
      <c r="AX129" s="53">
        <f t="shared" si="103"/>
        <v>300000</v>
      </c>
      <c r="AY129" s="756">
        <v>24</v>
      </c>
      <c r="AZ129" s="53">
        <f t="shared" si="104"/>
        <v>720000</v>
      </c>
      <c r="BA129" s="272">
        <v>5</v>
      </c>
      <c r="BB129" s="53">
        <f t="shared" si="105"/>
        <v>150000</v>
      </c>
      <c r="BC129" s="627">
        <v>5</v>
      </c>
      <c r="BD129" s="53">
        <f t="shared" si="106"/>
        <v>150000</v>
      </c>
      <c r="BE129" s="268">
        <v>20</v>
      </c>
      <c r="BF129" s="53">
        <f t="shared" si="107"/>
        <v>600000</v>
      </c>
      <c r="BG129" s="272">
        <v>5</v>
      </c>
      <c r="BH129" s="53">
        <f t="shared" si="108"/>
        <v>150000</v>
      </c>
      <c r="BI129" s="272"/>
      <c r="BJ129" s="53">
        <f t="shared" si="109"/>
        <v>0</v>
      </c>
      <c r="BK129" s="224">
        <f t="shared" si="149"/>
        <v>189</v>
      </c>
      <c r="BL129" s="53">
        <f t="shared" si="149"/>
        <v>5670000</v>
      </c>
      <c r="BM129" s="306" t="s">
        <v>480</v>
      </c>
      <c r="BN129" s="682">
        <f t="shared" si="124"/>
        <v>5670000</v>
      </c>
      <c r="BO129" s="230"/>
      <c r="BP129" s="270"/>
      <c r="BQ129" s="270">
        <f>H129</f>
        <v>5670000</v>
      </c>
      <c r="BR129" s="270"/>
      <c r="BS129" s="113">
        <f>BO129+BP129+BQ129+BR129</f>
        <v>5670000</v>
      </c>
      <c r="BT129" s="270"/>
      <c r="BU129" s="270"/>
      <c r="BV129" s="113"/>
      <c r="BW129" s="217">
        <f>BS129+BV129</f>
        <v>5670000</v>
      </c>
    </row>
    <row r="130" spans="1:75" s="269" customFormat="1" ht="20.25" customHeight="1" x14ac:dyDescent="0.25">
      <c r="A130" s="910"/>
      <c r="B130" s="219"/>
      <c r="C130" s="38"/>
      <c r="D130" s="38" t="s">
        <v>727</v>
      </c>
      <c r="E130" s="38" t="s">
        <v>152</v>
      </c>
      <c r="F130" s="229">
        <v>30000</v>
      </c>
      <c r="G130" s="222">
        <f t="shared" si="89"/>
        <v>85</v>
      </c>
      <c r="H130" s="230">
        <f>G130*F130</f>
        <v>2550000</v>
      </c>
      <c r="I130" s="230">
        <f>H130*0.1</f>
        <v>255000</v>
      </c>
      <c r="J130" s="230">
        <f t="shared" si="178"/>
        <v>2040000</v>
      </c>
      <c r="K130" s="230"/>
      <c r="L130" s="230"/>
      <c r="M130" s="230"/>
      <c r="N130" s="230"/>
      <c r="O130" s="230"/>
      <c r="P130" s="230"/>
      <c r="Q130" s="230">
        <f>H130*0.1</f>
        <v>255000</v>
      </c>
      <c r="R130" s="230"/>
      <c r="S130" s="225">
        <f t="shared" si="183"/>
        <v>8.5</v>
      </c>
      <c r="T130" s="225">
        <f t="shared" si="184"/>
        <v>51</v>
      </c>
      <c r="U130" s="225">
        <f t="shared" si="185"/>
        <v>21.25</v>
      </c>
      <c r="V130" s="225">
        <f t="shared" si="186"/>
        <v>4.25</v>
      </c>
      <c r="W130" s="221">
        <f>S130*F130</f>
        <v>255000</v>
      </c>
      <c r="X130" s="221">
        <f>T130*F130</f>
        <v>1530000</v>
      </c>
      <c r="Y130" s="221">
        <f>U130*F130</f>
        <v>637500</v>
      </c>
      <c r="Z130" s="221">
        <f>V130*F130</f>
        <v>127500</v>
      </c>
      <c r="AA130" s="224">
        <v>10</v>
      </c>
      <c r="AB130" s="221">
        <f t="shared" si="147"/>
        <v>300000</v>
      </c>
      <c r="AC130" s="224">
        <v>10</v>
      </c>
      <c r="AD130" s="225">
        <f t="shared" si="148"/>
        <v>300000</v>
      </c>
      <c r="AE130" s="224">
        <v>5</v>
      </c>
      <c r="AF130" s="53">
        <f t="shared" si="94"/>
        <v>150000</v>
      </c>
      <c r="AG130" s="630">
        <v>7</v>
      </c>
      <c r="AH130" s="53">
        <f t="shared" si="95"/>
        <v>210000</v>
      </c>
      <c r="AI130" s="630">
        <v>10</v>
      </c>
      <c r="AJ130" s="53">
        <f t="shared" si="96"/>
        <v>300000</v>
      </c>
      <c r="AK130" s="630">
        <v>0</v>
      </c>
      <c r="AL130" s="53">
        <f t="shared" si="97"/>
        <v>0</v>
      </c>
      <c r="AM130" s="224"/>
      <c r="AN130" s="53">
        <f t="shared" si="98"/>
        <v>0</v>
      </c>
      <c r="AO130" s="224"/>
      <c r="AP130" s="53">
        <f t="shared" si="99"/>
        <v>0</v>
      </c>
      <c r="AQ130" s="224">
        <v>5</v>
      </c>
      <c r="AR130" s="53">
        <f t="shared" si="100"/>
        <v>150000</v>
      </c>
      <c r="AS130" s="224">
        <v>10</v>
      </c>
      <c r="AT130" s="53">
        <f t="shared" si="101"/>
        <v>300000</v>
      </c>
      <c r="AU130" s="224"/>
      <c r="AV130" s="53">
        <f t="shared" si="102"/>
        <v>0</v>
      </c>
      <c r="AW130" s="224">
        <v>10</v>
      </c>
      <c r="AX130" s="53">
        <f t="shared" si="103"/>
        <v>300000</v>
      </c>
      <c r="AY130" s="53">
        <v>0</v>
      </c>
      <c r="AZ130" s="53">
        <f t="shared" si="104"/>
        <v>0</v>
      </c>
      <c r="BA130" s="224">
        <v>10</v>
      </c>
      <c r="BB130" s="53">
        <f t="shared" si="105"/>
        <v>300000</v>
      </c>
      <c r="BC130" s="630">
        <v>3</v>
      </c>
      <c r="BD130" s="53">
        <f t="shared" si="106"/>
        <v>90000</v>
      </c>
      <c r="BE130" s="255">
        <v>5</v>
      </c>
      <c r="BF130" s="53">
        <f t="shared" si="107"/>
        <v>150000</v>
      </c>
      <c r="BG130" s="224"/>
      <c r="BH130" s="53">
        <f t="shared" si="108"/>
        <v>0</v>
      </c>
      <c r="BI130" s="224"/>
      <c r="BJ130" s="53">
        <f t="shared" si="109"/>
        <v>0</v>
      </c>
      <c r="BK130" s="224">
        <f t="shared" si="149"/>
        <v>85</v>
      </c>
      <c r="BL130" s="53">
        <f t="shared" si="149"/>
        <v>2550000</v>
      </c>
      <c r="BM130" s="306" t="s">
        <v>480</v>
      </c>
      <c r="BN130" s="682">
        <f t="shared" si="124"/>
        <v>2550000</v>
      </c>
      <c r="BO130" s="230"/>
      <c r="BP130" s="270"/>
      <c r="BQ130" s="270">
        <f>H130</f>
        <v>2550000</v>
      </c>
      <c r="BR130" s="270"/>
      <c r="BS130" s="113">
        <f>BO130+BP130+BQ130+BR130</f>
        <v>2550000</v>
      </c>
      <c r="BT130" s="270"/>
      <c r="BU130" s="270"/>
      <c r="BV130" s="113"/>
      <c r="BW130" s="217">
        <f>BS130+BV130</f>
        <v>2550000</v>
      </c>
    </row>
    <row r="131" spans="1:75" s="39" customFormat="1" ht="31.5" x14ac:dyDescent="0.25">
      <c r="A131" s="910"/>
      <c r="B131" s="47"/>
      <c r="C131" s="118"/>
      <c r="D131" s="299" t="s">
        <v>875</v>
      </c>
      <c r="E131" s="118" t="s">
        <v>604</v>
      </c>
      <c r="F131" s="275">
        <v>100000</v>
      </c>
      <c r="G131" s="222">
        <f t="shared" si="89"/>
        <v>33</v>
      </c>
      <c r="H131" s="230">
        <f>G131*F131</f>
        <v>3300000</v>
      </c>
      <c r="I131" s="230">
        <f>H131*0.2</f>
        <v>660000</v>
      </c>
      <c r="J131" s="230">
        <f t="shared" si="178"/>
        <v>2640000</v>
      </c>
      <c r="K131" s="276"/>
      <c r="L131" s="276"/>
      <c r="M131" s="276"/>
      <c r="N131" s="276"/>
      <c r="O131" s="276"/>
      <c r="P131" s="276"/>
      <c r="Q131" s="276"/>
      <c r="R131" s="276"/>
      <c r="S131" s="225">
        <f t="shared" si="183"/>
        <v>3.3000000000000003</v>
      </c>
      <c r="T131" s="225">
        <f t="shared" si="184"/>
        <v>19.8</v>
      </c>
      <c r="U131" s="225">
        <f t="shared" si="185"/>
        <v>8.25</v>
      </c>
      <c r="V131" s="225">
        <f t="shared" si="186"/>
        <v>1.6500000000000001</v>
      </c>
      <c r="W131" s="221">
        <f>S131*F131</f>
        <v>330000</v>
      </c>
      <c r="X131" s="221">
        <f>T131*F131</f>
        <v>1980000</v>
      </c>
      <c r="Y131" s="221">
        <f>U131*F131</f>
        <v>825000</v>
      </c>
      <c r="Z131" s="221">
        <f>V131*F131</f>
        <v>165000</v>
      </c>
      <c r="AA131" s="224">
        <v>2</v>
      </c>
      <c r="AB131" s="224">
        <f>AA131*F131</f>
        <v>200000</v>
      </c>
      <c r="AC131" s="224">
        <v>2</v>
      </c>
      <c r="AD131" s="224">
        <f>AC131*F131</f>
        <v>200000</v>
      </c>
      <c r="AE131" s="224">
        <v>2</v>
      </c>
      <c r="AF131" s="224">
        <f>AE131*F131</f>
        <v>200000</v>
      </c>
      <c r="AG131" s="224">
        <v>2</v>
      </c>
      <c r="AH131" s="224">
        <f>AG131*F131</f>
        <v>200000</v>
      </c>
      <c r="AI131" s="224">
        <v>2</v>
      </c>
      <c r="AJ131" s="224">
        <f>AI131*F131</f>
        <v>200000</v>
      </c>
      <c r="AK131" s="630">
        <v>0</v>
      </c>
      <c r="AL131" s="224">
        <f>AK131*F131</f>
        <v>0</v>
      </c>
      <c r="AM131" s="630">
        <v>3</v>
      </c>
      <c r="AN131" s="224">
        <f>AM131*F131</f>
        <v>300000</v>
      </c>
      <c r="AO131" s="630">
        <v>4</v>
      </c>
      <c r="AP131" s="224">
        <f>AO131*F131</f>
        <v>400000</v>
      </c>
      <c r="AQ131" s="224">
        <v>2</v>
      </c>
      <c r="AR131" s="224">
        <f>AQ131*F131</f>
        <v>200000</v>
      </c>
      <c r="AS131" s="224">
        <v>2</v>
      </c>
      <c r="AT131" s="224">
        <f>AS131*F131</f>
        <v>200000</v>
      </c>
      <c r="AU131" s="630">
        <v>1</v>
      </c>
      <c r="AV131" s="224">
        <f>AU131*F131</f>
        <v>100000</v>
      </c>
      <c r="AW131" s="224">
        <v>2</v>
      </c>
      <c r="AX131" s="224">
        <f>AW131*F131</f>
        <v>200000</v>
      </c>
      <c r="AY131" s="630">
        <v>1</v>
      </c>
      <c r="AZ131" s="224">
        <f>AY131*F131</f>
        <v>100000</v>
      </c>
      <c r="BA131" s="224">
        <v>2</v>
      </c>
      <c r="BB131" s="224">
        <f>BA131*F131</f>
        <v>200000</v>
      </c>
      <c r="BC131" s="224">
        <v>2</v>
      </c>
      <c r="BD131" s="224">
        <f>BC131*F131</f>
        <v>200000</v>
      </c>
      <c r="BE131" s="224">
        <v>2</v>
      </c>
      <c r="BF131" s="224">
        <f>BE131*F131</f>
        <v>200000</v>
      </c>
      <c r="BG131" s="255">
        <v>2</v>
      </c>
      <c r="BH131" s="255">
        <f>BG131*F131</f>
        <v>200000</v>
      </c>
      <c r="BI131" s="224">
        <v>0</v>
      </c>
      <c r="BJ131" s="277"/>
      <c r="BK131" s="224">
        <f t="shared" ref="BK131:BL135" si="187">AA131+AC131+AE131+AG131+AI131+AK131+AM131+AO131+AQ131+AS131+AU131+AW131+AY131+BA131+BC131+BE131+BG131+BI131</f>
        <v>33</v>
      </c>
      <c r="BL131" s="53">
        <f t="shared" si="187"/>
        <v>3300000</v>
      </c>
      <c r="BM131" s="306" t="s">
        <v>467</v>
      </c>
      <c r="BN131" s="682">
        <f t="shared" si="124"/>
        <v>3300000</v>
      </c>
      <c r="BO131" s="278"/>
      <c r="BP131" s="278"/>
      <c r="BQ131" s="270">
        <f t="shared" ref="BQ131:BQ134" si="188">H131</f>
        <v>3300000</v>
      </c>
      <c r="BR131" s="278"/>
      <c r="BS131" s="113">
        <f t="shared" ref="BS131:BS134" si="189">BO131+BP131+BQ131+BR131</f>
        <v>3300000</v>
      </c>
      <c r="BT131" s="278"/>
      <c r="BU131" s="278"/>
      <c r="BV131" s="278"/>
      <c r="BW131" s="217">
        <f t="shared" ref="BW131:BW134" si="190">BS131+BV131</f>
        <v>3300000</v>
      </c>
    </row>
    <row r="132" spans="1:75" s="39" customFormat="1" x14ac:dyDescent="0.25">
      <c r="A132" s="910"/>
      <c r="B132" s="47"/>
      <c r="C132" s="118"/>
      <c r="D132" s="299" t="s">
        <v>891</v>
      </c>
      <c r="E132" s="118"/>
      <c r="F132" s="275"/>
      <c r="G132" s="222">
        <f>BK132</f>
        <v>28</v>
      </c>
      <c r="H132" s="230">
        <f>BL132</f>
        <v>20000000</v>
      </c>
      <c r="I132" s="230"/>
      <c r="J132" s="230">
        <v>0</v>
      </c>
      <c r="K132" s="786">
        <f>H132*1</f>
        <v>20000000</v>
      </c>
      <c r="L132" s="276"/>
      <c r="M132" s="276"/>
      <c r="N132" s="276"/>
      <c r="O132" s="276"/>
      <c r="P132" s="276"/>
      <c r="Q132" s="276"/>
      <c r="R132" s="276"/>
      <c r="S132" s="225">
        <f t="shared" si="183"/>
        <v>2.8000000000000003</v>
      </c>
      <c r="T132" s="225">
        <f t="shared" si="184"/>
        <v>16.8</v>
      </c>
      <c r="U132" s="225">
        <f t="shared" si="185"/>
        <v>7</v>
      </c>
      <c r="V132" s="225">
        <f t="shared" si="186"/>
        <v>1.4000000000000001</v>
      </c>
      <c r="W132" s="221"/>
      <c r="X132" s="221"/>
      <c r="Y132" s="47"/>
      <c r="Z132" s="221">
        <v>20000000</v>
      </c>
      <c r="AA132" s="224">
        <v>2</v>
      </c>
      <c r="AB132" s="224">
        <v>912000</v>
      </c>
      <c r="AC132" s="224">
        <v>1</v>
      </c>
      <c r="AD132" s="224">
        <v>1236000</v>
      </c>
      <c r="AE132" s="224">
        <v>2</v>
      </c>
      <c r="AF132" s="224">
        <v>1957500</v>
      </c>
      <c r="AG132" s="224">
        <v>2</v>
      </c>
      <c r="AH132" s="224">
        <v>1800000</v>
      </c>
      <c r="AI132" s="224">
        <v>2</v>
      </c>
      <c r="AJ132" s="224">
        <v>1770100</v>
      </c>
      <c r="AK132" s="630">
        <v>1</v>
      </c>
      <c r="AL132" s="224">
        <v>1275000</v>
      </c>
      <c r="AM132" s="630">
        <v>2</v>
      </c>
      <c r="AN132" s="224">
        <v>1250000</v>
      </c>
      <c r="AO132" s="630">
        <v>1</v>
      </c>
      <c r="AP132" s="224">
        <v>750000</v>
      </c>
      <c r="AQ132" s="224">
        <v>4</v>
      </c>
      <c r="AR132" s="224">
        <v>1850000</v>
      </c>
      <c r="AS132" s="224">
        <v>3</v>
      </c>
      <c r="AT132" s="224">
        <v>2949000</v>
      </c>
      <c r="AU132" s="630">
        <v>0</v>
      </c>
      <c r="AV132" s="224"/>
      <c r="AW132" s="224">
        <v>1</v>
      </c>
      <c r="AX132" s="224">
        <v>494400</v>
      </c>
      <c r="AY132" s="630">
        <v>2</v>
      </c>
      <c r="AZ132" s="224">
        <v>1345000</v>
      </c>
      <c r="BA132" s="224">
        <v>2</v>
      </c>
      <c r="BB132" s="224">
        <v>824000</v>
      </c>
      <c r="BC132" s="224">
        <v>2</v>
      </c>
      <c r="BD132" s="224">
        <v>912000</v>
      </c>
      <c r="BE132" s="224">
        <v>1</v>
      </c>
      <c r="BF132" s="224">
        <v>675000</v>
      </c>
      <c r="BG132" s="255">
        <v>0</v>
      </c>
      <c r="BH132" s="255">
        <f t="shared" ref="BH132:BH134" si="191">BG132*F132</f>
        <v>0</v>
      </c>
      <c r="BI132" s="224">
        <v>0</v>
      </c>
      <c r="BJ132" s="224">
        <v>0</v>
      </c>
      <c r="BK132" s="224">
        <f t="shared" si="187"/>
        <v>28</v>
      </c>
      <c r="BL132" s="53">
        <f t="shared" si="187"/>
        <v>20000000</v>
      </c>
      <c r="BM132" s="306" t="s">
        <v>811</v>
      </c>
      <c r="BN132" s="682"/>
      <c r="BO132" s="278"/>
      <c r="BP132" s="278"/>
      <c r="BQ132" s="270">
        <f t="shared" si="188"/>
        <v>20000000</v>
      </c>
      <c r="BR132" s="278"/>
      <c r="BS132" s="113">
        <f t="shared" si="189"/>
        <v>20000000</v>
      </c>
      <c r="BT132" s="278"/>
      <c r="BU132" s="278"/>
      <c r="BV132" s="278"/>
      <c r="BW132" s="217">
        <f t="shared" si="190"/>
        <v>20000000</v>
      </c>
    </row>
    <row r="133" spans="1:75" s="39" customFormat="1" x14ac:dyDescent="0.25">
      <c r="A133" s="910"/>
      <c r="B133" s="47"/>
      <c r="C133" s="118"/>
      <c r="D133" s="299" t="s">
        <v>892</v>
      </c>
      <c r="E133" s="118"/>
      <c r="F133" s="275"/>
      <c r="G133" s="222">
        <f>BK133</f>
        <v>2</v>
      </c>
      <c r="H133" s="230">
        <f>BL133</f>
        <v>1000000</v>
      </c>
      <c r="I133" s="230"/>
      <c r="J133" s="230">
        <v>0</v>
      </c>
      <c r="K133" s="786">
        <f>H133*1</f>
        <v>1000000</v>
      </c>
      <c r="L133" s="276"/>
      <c r="M133" s="276"/>
      <c r="N133" s="276"/>
      <c r="O133" s="276"/>
      <c r="P133" s="276"/>
      <c r="Q133" s="276"/>
      <c r="R133" s="276"/>
      <c r="S133" s="225">
        <f t="shared" si="183"/>
        <v>0.2</v>
      </c>
      <c r="T133" s="225">
        <f t="shared" si="184"/>
        <v>1.2</v>
      </c>
      <c r="U133" s="225">
        <f t="shared" si="185"/>
        <v>0.5</v>
      </c>
      <c r="V133" s="225">
        <f t="shared" si="186"/>
        <v>0.1</v>
      </c>
      <c r="W133" s="221"/>
      <c r="X133" s="221"/>
      <c r="Y133" s="47"/>
      <c r="Z133" s="221">
        <v>1000000</v>
      </c>
      <c r="AA133" s="224"/>
      <c r="AB133" s="224"/>
      <c r="AC133" s="224">
        <v>1</v>
      </c>
      <c r="AD133" s="224">
        <v>500000</v>
      </c>
      <c r="AE133" s="224"/>
      <c r="AF133" s="224"/>
      <c r="AG133" s="224"/>
      <c r="AH133" s="224"/>
      <c r="AI133" s="224"/>
      <c r="AJ133" s="224"/>
      <c r="AK133" s="630"/>
      <c r="AL133" s="224"/>
      <c r="AM133" s="630"/>
      <c r="AN133" s="224"/>
      <c r="AO133" s="630"/>
      <c r="AP133" s="224"/>
      <c r="AQ133" s="224"/>
      <c r="AR133" s="224"/>
      <c r="AS133" s="224"/>
      <c r="AT133" s="224"/>
      <c r="AU133" s="630"/>
      <c r="AV133" s="224"/>
      <c r="AW133" s="224">
        <v>1</v>
      </c>
      <c r="AX133" s="224">
        <v>500000</v>
      </c>
      <c r="AY133" s="630"/>
      <c r="AZ133" s="224"/>
      <c r="BA133" s="224"/>
      <c r="BB133" s="224"/>
      <c r="BC133" s="224"/>
      <c r="BD133" s="224"/>
      <c r="BE133" s="224"/>
      <c r="BF133" s="224"/>
      <c r="BG133" s="255"/>
      <c r="BH133" s="255">
        <f t="shared" si="191"/>
        <v>0</v>
      </c>
      <c r="BI133" s="224"/>
      <c r="BJ133" s="224"/>
      <c r="BK133" s="224">
        <f t="shared" si="187"/>
        <v>2</v>
      </c>
      <c r="BL133" s="53">
        <f t="shared" si="187"/>
        <v>1000000</v>
      </c>
      <c r="BM133" s="306" t="s">
        <v>811</v>
      </c>
      <c r="BN133" s="682"/>
      <c r="BO133" s="278"/>
      <c r="BP133" s="278"/>
      <c r="BQ133" s="270">
        <f t="shared" si="188"/>
        <v>1000000</v>
      </c>
      <c r="BR133" s="278"/>
      <c r="BS133" s="113">
        <f t="shared" si="189"/>
        <v>1000000</v>
      </c>
      <c r="BT133" s="278"/>
      <c r="BU133" s="278"/>
      <c r="BV133" s="278"/>
      <c r="BW133" s="217">
        <f t="shared" si="190"/>
        <v>1000000</v>
      </c>
    </row>
    <row r="134" spans="1:75" s="39" customFormat="1" x14ac:dyDescent="0.25">
      <c r="A134" s="910"/>
      <c r="B134" s="47"/>
      <c r="C134" s="118"/>
      <c r="D134" s="299" t="s">
        <v>905</v>
      </c>
      <c r="E134" s="118" t="s">
        <v>818</v>
      </c>
      <c r="F134" s="275">
        <v>100000</v>
      </c>
      <c r="G134" s="222">
        <v>17</v>
      </c>
      <c r="H134" s="230">
        <f>BL134</f>
        <v>1700000</v>
      </c>
      <c r="I134" s="230">
        <f>H134*0.2</f>
        <v>340000</v>
      </c>
      <c r="J134" s="230">
        <f t="shared" ref="J134" si="192">H134*0.8</f>
        <v>1360000</v>
      </c>
      <c r="K134" s="786"/>
      <c r="L134" s="276"/>
      <c r="M134" s="276"/>
      <c r="N134" s="276"/>
      <c r="O134" s="276"/>
      <c r="P134" s="276"/>
      <c r="Q134" s="276"/>
      <c r="R134" s="276"/>
      <c r="S134" s="225"/>
      <c r="T134" s="225"/>
      <c r="U134" s="225"/>
      <c r="V134" s="225">
        <v>17</v>
      </c>
      <c r="W134" s="221"/>
      <c r="X134" s="221"/>
      <c r="Y134" s="47"/>
      <c r="Z134" s="221">
        <f>V134*F134</f>
        <v>1700000</v>
      </c>
      <c r="AA134" s="224">
        <v>1</v>
      </c>
      <c r="AB134" s="224">
        <f>AA134*F134</f>
        <v>100000</v>
      </c>
      <c r="AC134" s="224">
        <v>1</v>
      </c>
      <c r="AD134" s="224">
        <f>AC134*F134</f>
        <v>100000</v>
      </c>
      <c r="AE134" s="224">
        <v>1</v>
      </c>
      <c r="AF134" s="224">
        <f>AE134*F134</f>
        <v>100000</v>
      </c>
      <c r="AG134" s="224">
        <v>1</v>
      </c>
      <c r="AH134" s="224">
        <f>AG134*F134</f>
        <v>100000</v>
      </c>
      <c r="AI134" s="224">
        <v>1</v>
      </c>
      <c r="AJ134" s="224">
        <f>AI134*F134</f>
        <v>100000</v>
      </c>
      <c r="AK134" s="630">
        <v>1</v>
      </c>
      <c r="AL134" s="224">
        <f>AK134*F134</f>
        <v>100000</v>
      </c>
      <c r="AM134" s="630">
        <v>1</v>
      </c>
      <c r="AN134" s="224">
        <f>AM134*F134</f>
        <v>100000</v>
      </c>
      <c r="AO134" s="630">
        <v>1</v>
      </c>
      <c r="AP134" s="224">
        <f>AO134*F134</f>
        <v>100000</v>
      </c>
      <c r="AQ134" s="224">
        <v>1</v>
      </c>
      <c r="AR134" s="224">
        <f>AQ134*F134</f>
        <v>100000</v>
      </c>
      <c r="AS134" s="224">
        <v>1</v>
      </c>
      <c r="AT134" s="224">
        <f>AS134*F134</f>
        <v>100000</v>
      </c>
      <c r="AU134" s="630">
        <v>1</v>
      </c>
      <c r="AV134" s="224">
        <f>AU134*F134</f>
        <v>100000</v>
      </c>
      <c r="AW134" s="224">
        <v>1</v>
      </c>
      <c r="AX134" s="224">
        <f>AW134*F134</f>
        <v>100000</v>
      </c>
      <c r="AY134" s="630">
        <v>1</v>
      </c>
      <c r="AZ134" s="224">
        <f>AY134*F134</f>
        <v>100000</v>
      </c>
      <c r="BA134" s="224">
        <v>1</v>
      </c>
      <c r="BB134" s="224">
        <f>BA134*F134</f>
        <v>100000</v>
      </c>
      <c r="BC134" s="224">
        <v>1</v>
      </c>
      <c r="BD134" s="224">
        <f>BC134*F134</f>
        <v>100000</v>
      </c>
      <c r="BE134" s="224">
        <v>1</v>
      </c>
      <c r="BF134" s="224">
        <f>BE134*F134</f>
        <v>100000</v>
      </c>
      <c r="BG134" s="255">
        <v>1</v>
      </c>
      <c r="BH134" s="255">
        <f t="shared" si="191"/>
        <v>100000</v>
      </c>
      <c r="BI134" s="224">
        <v>0</v>
      </c>
      <c r="BJ134" s="224"/>
      <c r="BK134" s="224">
        <f t="shared" si="187"/>
        <v>17</v>
      </c>
      <c r="BL134" s="53">
        <f t="shared" si="187"/>
        <v>1700000</v>
      </c>
      <c r="BM134" s="306" t="s">
        <v>467</v>
      </c>
      <c r="BN134" s="682"/>
      <c r="BO134" s="278"/>
      <c r="BP134" s="278"/>
      <c r="BQ134" s="270">
        <f t="shared" si="188"/>
        <v>1700000</v>
      </c>
      <c r="BR134" s="278"/>
      <c r="BS134" s="113">
        <f t="shared" si="189"/>
        <v>1700000</v>
      </c>
      <c r="BT134" s="278"/>
      <c r="BU134" s="278"/>
      <c r="BV134" s="278"/>
      <c r="BW134" s="217">
        <f t="shared" si="190"/>
        <v>1700000</v>
      </c>
    </row>
    <row r="135" spans="1:75" s="269" customFormat="1" ht="20.25" customHeight="1" x14ac:dyDescent="0.25">
      <c r="A135" s="910"/>
      <c r="B135" s="279"/>
      <c r="C135" s="279"/>
      <c r="D135" s="233" t="s">
        <v>3</v>
      </c>
      <c r="E135" s="280"/>
      <c r="F135" s="280"/>
      <c r="G135" s="235">
        <f t="shared" si="89"/>
        <v>360</v>
      </c>
      <c r="H135" s="281">
        <f>SUM(H128:H134)</f>
        <v>35120000</v>
      </c>
      <c r="I135" s="281">
        <f>SUM(I128:I134)</f>
        <v>1912000</v>
      </c>
      <c r="J135" s="281">
        <f>SUM(J128:J134)</f>
        <v>11296000</v>
      </c>
      <c r="K135" s="281">
        <f t="shared" ref="K135:U135" si="193">SUM(K128:K133)</f>
        <v>21000000</v>
      </c>
      <c r="L135" s="281">
        <f t="shared" si="193"/>
        <v>0</v>
      </c>
      <c r="M135" s="281">
        <f t="shared" si="193"/>
        <v>0</v>
      </c>
      <c r="N135" s="281">
        <f t="shared" si="193"/>
        <v>0</v>
      </c>
      <c r="O135" s="281">
        <f t="shared" si="193"/>
        <v>0</v>
      </c>
      <c r="P135" s="281">
        <f t="shared" si="193"/>
        <v>0</v>
      </c>
      <c r="Q135" s="281">
        <f t="shared" si="193"/>
        <v>912000</v>
      </c>
      <c r="R135" s="281">
        <f t="shared" si="193"/>
        <v>0</v>
      </c>
      <c r="S135" s="778">
        <f t="shared" si="193"/>
        <v>34.300000000000004</v>
      </c>
      <c r="T135" s="778">
        <f t="shared" si="193"/>
        <v>205.8</v>
      </c>
      <c r="U135" s="778">
        <f t="shared" si="193"/>
        <v>85.75</v>
      </c>
      <c r="V135" s="778">
        <f>SUM(V128:V134)</f>
        <v>34.150000000000006</v>
      </c>
      <c r="W135" s="282">
        <f>SUM(W128:W133)</f>
        <v>1242000</v>
      </c>
      <c r="X135" s="282">
        <f>SUM(X128:X133)</f>
        <v>7452000</v>
      </c>
      <c r="Y135" s="282">
        <f>SUM(Y128:Y133)</f>
        <v>3105000</v>
      </c>
      <c r="Z135" s="282">
        <f>SUM(Z128:Z134)</f>
        <v>23321000</v>
      </c>
      <c r="AA135" s="282">
        <f>SUM(AA128:AA134)</f>
        <v>30</v>
      </c>
      <c r="AB135" s="282">
        <f>SUM(AB128:AB134)</f>
        <v>1962000</v>
      </c>
      <c r="AC135" s="282">
        <f t="shared" ref="AC135:BJ135" si="194">SUM(AC128:AC134)</f>
        <v>35</v>
      </c>
      <c r="AD135" s="282">
        <f t="shared" si="194"/>
        <v>2936000</v>
      </c>
      <c r="AE135" s="282">
        <f t="shared" si="194"/>
        <v>15</v>
      </c>
      <c r="AF135" s="282">
        <f t="shared" si="194"/>
        <v>2557500</v>
      </c>
      <c r="AG135" s="282">
        <f t="shared" si="194"/>
        <v>22</v>
      </c>
      <c r="AH135" s="282">
        <f t="shared" si="194"/>
        <v>2610000</v>
      </c>
      <c r="AI135" s="282">
        <f t="shared" si="194"/>
        <v>20</v>
      </c>
      <c r="AJ135" s="282">
        <f t="shared" si="194"/>
        <v>2520100</v>
      </c>
      <c r="AK135" s="282">
        <f t="shared" si="194"/>
        <v>2</v>
      </c>
      <c r="AL135" s="282">
        <f t="shared" si="194"/>
        <v>1375000</v>
      </c>
      <c r="AM135" s="282">
        <f t="shared" si="194"/>
        <v>21</v>
      </c>
      <c r="AN135" s="282">
        <f t="shared" si="194"/>
        <v>2100000</v>
      </c>
      <c r="AO135" s="282">
        <f t="shared" si="194"/>
        <v>18</v>
      </c>
      <c r="AP135" s="282">
        <f t="shared" si="194"/>
        <v>1850000</v>
      </c>
      <c r="AQ135" s="282">
        <f t="shared" si="194"/>
        <v>17</v>
      </c>
      <c r="AR135" s="282">
        <f t="shared" si="194"/>
        <v>2450000</v>
      </c>
      <c r="AS135" s="282">
        <f t="shared" si="194"/>
        <v>33</v>
      </c>
      <c r="AT135" s="282">
        <f t="shared" si="194"/>
        <v>4299000</v>
      </c>
      <c r="AU135" s="282">
        <f t="shared" si="194"/>
        <v>22</v>
      </c>
      <c r="AV135" s="282">
        <f t="shared" si="194"/>
        <v>800000</v>
      </c>
      <c r="AW135" s="282">
        <f t="shared" si="194"/>
        <v>25</v>
      </c>
      <c r="AX135" s="282">
        <f t="shared" si="194"/>
        <v>1894400</v>
      </c>
      <c r="AY135" s="282">
        <f t="shared" si="194"/>
        <v>28</v>
      </c>
      <c r="AZ135" s="282">
        <f t="shared" si="194"/>
        <v>2265000</v>
      </c>
      <c r="BA135" s="282">
        <f t="shared" si="194"/>
        <v>20</v>
      </c>
      <c r="BB135" s="282">
        <f t="shared" si="194"/>
        <v>1574000</v>
      </c>
      <c r="BC135" s="282">
        <f t="shared" si="194"/>
        <v>15</v>
      </c>
      <c r="BD135" s="282">
        <f t="shared" si="194"/>
        <v>1752000</v>
      </c>
      <c r="BE135" s="282">
        <f t="shared" si="194"/>
        <v>29</v>
      </c>
      <c r="BF135" s="282">
        <f t="shared" si="194"/>
        <v>1725000</v>
      </c>
      <c r="BG135" s="282">
        <f t="shared" si="194"/>
        <v>8</v>
      </c>
      <c r="BH135" s="282">
        <f t="shared" si="194"/>
        <v>450000</v>
      </c>
      <c r="BI135" s="282">
        <f t="shared" si="194"/>
        <v>0</v>
      </c>
      <c r="BJ135" s="282">
        <f t="shared" si="194"/>
        <v>0</v>
      </c>
      <c r="BK135" s="282">
        <f t="shared" si="187"/>
        <v>360</v>
      </c>
      <c r="BL135" s="282">
        <f t="shared" si="187"/>
        <v>35120000</v>
      </c>
      <c r="BM135" s="312"/>
      <c r="BN135" s="682">
        <f t="shared" si="124"/>
        <v>35120000</v>
      </c>
      <c r="BO135" s="234">
        <f>SUM(BO127:BO130)</f>
        <v>0</v>
      </c>
      <c r="BP135" s="234"/>
      <c r="BQ135" s="234">
        <f>SUM(BQ127:BQ134)</f>
        <v>35120000</v>
      </c>
      <c r="BR135" s="234"/>
      <c r="BS135" s="234">
        <f>BO135+BP135+BQ135+BR135</f>
        <v>35120000</v>
      </c>
      <c r="BT135" s="234"/>
      <c r="BU135" s="234"/>
      <c r="BV135" s="234"/>
      <c r="BW135" s="234">
        <f>BS135+BV135</f>
        <v>35120000</v>
      </c>
    </row>
    <row r="136" spans="1:75" s="67" customFormat="1" x14ac:dyDescent="0.25">
      <c r="A136" s="911"/>
      <c r="B136" s="283"/>
      <c r="C136" s="284"/>
      <c r="D136" s="284"/>
      <c r="E136" s="284"/>
      <c r="F136" s="285"/>
      <c r="G136" s="286">
        <f>G135+G126+G109+G87+G77+G62+G45+G38+G33+G22+G15</f>
        <v>49110.3</v>
      </c>
      <c r="H136" s="287">
        <f>H135+H126+H109+H87+H77+H62+H45+H38+H33+H22+H15</f>
        <v>584513200</v>
      </c>
      <c r="I136" s="288">
        <f t="shared" ref="I136:R136" si="195">I15+I22+I33+I38+I45+I62+I77+I87+I109+I126+I135</f>
        <v>35631400</v>
      </c>
      <c r="J136" s="288">
        <f t="shared" si="195"/>
        <v>188526000</v>
      </c>
      <c r="K136" s="288">
        <f t="shared" si="195"/>
        <v>21000000</v>
      </c>
      <c r="L136" s="288">
        <f t="shared" si="195"/>
        <v>0</v>
      </c>
      <c r="M136" s="288">
        <f t="shared" si="195"/>
        <v>48750000</v>
      </c>
      <c r="N136" s="288">
        <f t="shared" si="195"/>
        <v>158570000</v>
      </c>
      <c r="O136" s="288">
        <f t="shared" si="195"/>
        <v>0</v>
      </c>
      <c r="P136" s="288">
        <f t="shared" si="195"/>
        <v>0</v>
      </c>
      <c r="Q136" s="288">
        <f t="shared" si="195"/>
        <v>18950100</v>
      </c>
      <c r="R136" s="288">
        <f t="shared" si="195"/>
        <v>113085700</v>
      </c>
      <c r="S136" s="286">
        <f t="shared" ref="S136:BL136" si="196">S135+S126+S109+S87+S77+S62+S45+S38+S33+S22+S15</f>
        <v>14700.829999999998</v>
      </c>
      <c r="T136" s="286">
        <f t="shared" si="196"/>
        <v>12378.880000000001</v>
      </c>
      <c r="U136" s="286">
        <f t="shared" si="196"/>
        <v>7508.9949999999999</v>
      </c>
      <c r="V136" s="286">
        <f t="shared" si="196"/>
        <v>14334.594999999999</v>
      </c>
      <c r="W136" s="286">
        <f t="shared" si="196"/>
        <v>128185170</v>
      </c>
      <c r="X136" s="286">
        <f t="shared" si="196"/>
        <v>198705170</v>
      </c>
      <c r="Y136" s="286">
        <f t="shared" si="196"/>
        <v>111000175</v>
      </c>
      <c r="Z136" s="286">
        <f t="shared" si="196"/>
        <v>146622685</v>
      </c>
      <c r="AA136" s="289">
        <f t="shared" si="196"/>
        <v>2468</v>
      </c>
      <c r="AB136" s="289">
        <f t="shared" si="196"/>
        <v>40686100</v>
      </c>
      <c r="AC136" s="289">
        <f t="shared" si="196"/>
        <v>839</v>
      </c>
      <c r="AD136" s="289">
        <f t="shared" si="196"/>
        <v>20069600</v>
      </c>
      <c r="AE136" s="289">
        <f t="shared" si="196"/>
        <v>1623</v>
      </c>
      <c r="AF136" s="289">
        <f t="shared" si="196"/>
        <v>33555650</v>
      </c>
      <c r="AG136" s="289">
        <f t="shared" si="196"/>
        <v>7458.5</v>
      </c>
      <c r="AH136" s="289">
        <f t="shared" si="196"/>
        <v>56436100</v>
      </c>
      <c r="AI136" s="289">
        <f t="shared" si="196"/>
        <v>2613</v>
      </c>
      <c r="AJ136" s="289">
        <f t="shared" si="196"/>
        <v>27675400</v>
      </c>
      <c r="AK136" s="289">
        <f t="shared" si="196"/>
        <v>3790</v>
      </c>
      <c r="AL136" s="289">
        <f t="shared" si="196"/>
        <v>28279950</v>
      </c>
      <c r="AM136" s="289">
        <f t="shared" si="196"/>
        <v>1375</v>
      </c>
      <c r="AN136" s="289">
        <f t="shared" si="196"/>
        <v>28479300</v>
      </c>
      <c r="AO136" s="289">
        <f t="shared" si="196"/>
        <v>963</v>
      </c>
      <c r="AP136" s="289">
        <f t="shared" si="196"/>
        <v>32534000</v>
      </c>
      <c r="AQ136" s="289">
        <f t="shared" si="196"/>
        <v>1018.8</v>
      </c>
      <c r="AR136" s="289">
        <f t="shared" si="196"/>
        <v>16715800</v>
      </c>
      <c r="AS136" s="289">
        <f t="shared" si="196"/>
        <v>6686</v>
      </c>
      <c r="AT136" s="289">
        <f t="shared" si="196"/>
        <v>37779600</v>
      </c>
      <c r="AU136" s="289">
        <f t="shared" si="196"/>
        <v>1112</v>
      </c>
      <c r="AV136" s="289">
        <f t="shared" si="196"/>
        <v>34605900</v>
      </c>
      <c r="AW136" s="289">
        <f t="shared" si="196"/>
        <v>2952</v>
      </c>
      <c r="AX136" s="289">
        <f t="shared" si="196"/>
        <v>32504150</v>
      </c>
      <c r="AY136" s="289">
        <f t="shared" si="196"/>
        <v>1122</v>
      </c>
      <c r="AZ136" s="289">
        <f t="shared" si="196"/>
        <v>31597350</v>
      </c>
      <c r="BA136" s="289">
        <f t="shared" si="196"/>
        <v>2093</v>
      </c>
      <c r="BB136" s="289">
        <f t="shared" si="196"/>
        <v>33481100</v>
      </c>
      <c r="BC136" s="289">
        <f t="shared" si="196"/>
        <v>5695</v>
      </c>
      <c r="BD136" s="289">
        <f t="shared" si="196"/>
        <v>44833100</v>
      </c>
      <c r="BE136" s="289">
        <f t="shared" si="196"/>
        <v>3198</v>
      </c>
      <c r="BF136" s="289">
        <f t="shared" si="196"/>
        <v>36053700</v>
      </c>
      <c r="BG136" s="289">
        <f t="shared" si="196"/>
        <v>4101</v>
      </c>
      <c r="BH136" s="289">
        <f t="shared" si="196"/>
        <v>45226400</v>
      </c>
      <c r="BI136" s="289">
        <f t="shared" si="196"/>
        <v>3</v>
      </c>
      <c r="BJ136" s="289">
        <f t="shared" si="196"/>
        <v>4000000</v>
      </c>
      <c r="BK136" s="289">
        <f t="shared" si="196"/>
        <v>49110.3</v>
      </c>
      <c r="BL136" s="287">
        <f t="shared" si="196"/>
        <v>584513200</v>
      </c>
      <c r="BM136" s="312"/>
      <c r="BN136" s="682">
        <f t="shared" si="124"/>
        <v>584513200</v>
      </c>
      <c r="BO136" s="181">
        <f t="shared" ref="BO136:BW136" si="197">BO135+BO126+BO109+BO87+BO77+BO62+BO45+BO38+BO33+BO22+BO15</f>
        <v>268061500</v>
      </c>
      <c r="BP136" s="181">
        <f t="shared" si="197"/>
        <v>5996500</v>
      </c>
      <c r="BQ136" s="181">
        <f t="shared" si="197"/>
        <v>310095200</v>
      </c>
      <c r="BR136" s="181">
        <f t="shared" si="197"/>
        <v>0</v>
      </c>
      <c r="BS136" s="181">
        <f t="shared" si="197"/>
        <v>584153200</v>
      </c>
      <c r="BT136" s="181">
        <f t="shared" si="197"/>
        <v>0</v>
      </c>
      <c r="BU136" s="181">
        <f t="shared" si="197"/>
        <v>0</v>
      </c>
      <c r="BV136" s="181">
        <f t="shared" si="197"/>
        <v>0</v>
      </c>
      <c r="BW136" s="181">
        <f t="shared" si="197"/>
        <v>584153200</v>
      </c>
    </row>
    <row r="137" spans="1:75" x14ac:dyDescent="0.25">
      <c r="D137" s="32" t="s">
        <v>505</v>
      </c>
      <c r="G137" s="32"/>
      <c r="H137" s="32"/>
      <c r="N137" s="194"/>
      <c r="BL137" s="194"/>
    </row>
    <row r="138" spans="1:75" x14ac:dyDescent="0.25">
      <c r="D138" s="32" t="s">
        <v>535</v>
      </c>
      <c r="G138" s="32"/>
      <c r="H138" s="32"/>
    </row>
    <row r="139" spans="1:75" x14ac:dyDescent="0.25">
      <c r="D139" s="32" t="s">
        <v>536</v>
      </c>
      <c r="G139" s="32"/>
      <c r="H139" s="32"/>
    </row>
    <row r="140" spans="1:75" x14ac:dyDescent="0.25">
      <c r="D140" s="32" t="s">
        <v>537</v>
      </c>
      <c r="G140" s="32"/>
      <c r="H140" s="32"/>
      <c r="K140" s="787"/>
    </row>
    <row r="141" spans="1:75" x14ac:dyDescent="0.25">
      <c r="D141" s="32" t="s">
        <v>538</v>
      </c>
      <c r="G141" s="32"/>
      <c r="H141" s="32"/>
    </row>
    <row r="142" spans="1:75" x14ac:dyDescent="0.25">
      <c r="D142" s="32" t="s">
        <v>539</v>
      </c>
      <c r="G142" s="32"/>
      <c r="H142" s="32"/>
    </row>
    <row r="143" spans="1:75" x14ac:dyDescent="0.25">
      <c r="D143" s="32" t="s">
        <v>540</v>
      </c>
      <c r="G143" s="32"/>
      <c r="H143" s="32"/>
    </row>
    <row r="144" spans="1:75" x14ac:dyDescent="0.25">
      <c r="D144" s="32" t="s">
        <v>541</v>
      </c>
      <c r="G144" s="32"/>
      <c r="H144" s="32"/>
    </row>
    <row r="145" spans="4:8" x14ac:dyDescent="0.25">
      <c r="D145" s="32" t="s">
        <v>542</v>
      </c>
      <c r="G145" s="32"/>
      <c r="H145" s="32"/>
    </row>
    <row r="146" spans="4:8" x14ac:dyDescent="0.25">
      <c r="D146" s="32" t="s">
        <v>543</v>
      </c>
      <c r="G146" s="32"/>
      <c r="H146" s="32"/>
    </row>
    <row r="147" spans="4:8" x14ac:dyDescent="0.25">
      <c r="G147" s="32"/>
      <c r="H147" s="32"/>
    </row>
  </sheetData>
  <mergeCells count="45">
    <mergeCell ref="BA7:BB8"/>
    <mergeCell ref="AI7:AJ8"/>
    <mergeCell ref="AQ7:AR8"/>
    <mergeCell ref="AS7:AT8"/>
    <mergeCell ref="AE7:AF8"/>
    <mergeCell ref="AM7:AN8"/>
    <mergeCell ref="AO7:AP8"/>
    <mergeCell ref="AG7:AH8"/>
    <mergeCell ref="BW8:BW9"/>
    <mergeCell ref="BK7:BL8"/>
    <mergeCell ref="D8:D9"/>
    <mergeCell ref="E8:E9"/>
    <mergeCell ref="F8:F9"/>
    <mergeCell ref="G8:G9"/>
    <mergeCell ref="H8:H9"/>
    <mergeCell ref="AU7:AV8"/>
    <mergeCell ref="AW7:AX8"/>
    <mergeCell ref="AY7:AZ8"/>
    <mergeCell ref="BO8:BS8"/>
    <mergeCell ref="BT8:BV8"/>
    <mergeCell ref="AA7:AB8"/>
    <mergeCell ref="AC7:AD8"/>
    <mergeCell ref="BN7:BN9"/>
    <mergeCell ref="BC7:BD8"/>
    <mergeCell ref="A10:A136"/>
    <mergeCell ref="BG7:BH8"/>
    <mergeCell ref="BI7:BJ8"/>
    <mergeCell ref="A4:C4"/>
    <mergeCell ref="D4:R4"/>
    <mergeCell ref="A5:C5"/>
    <mergeCell ref="D5:R5"/>
    <mergeCell ref="A6:C6"/>
    <mergeCell ref="A7:E7"/>
    <mergeCell ref="G7:H7"/>
    <mergeCell ref="D6:R6"/>
    <mergeCell ref="BE7:BF8"/>
    <mergeCell ref="I7:R7"/>
    <mergeCell ref="S7:V8"/>
    <mergeCell ref="W7:Z8"/>
    <mergeCell ref="AK7:AL8"/>
    <mergeCell ref="A1:R1"/>
    <mergeCell ref="A2:C2"/>
    <mergeCell ref="D2:R2"/>
    <mergeCell ref="A3:C3"/>
    <mergeCell ref="D3:R3"/>
  </mergeCells>
  <pageMargins left="0.7" right="0.7" top="0.75" bottom="0.75" header="0.3" footer="0.3"/>
  <pageSetup paperSize="9" scale="1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BV45"/>
  <sheetViews>
    <sheetView zoomScale="90" zoomScaleNormal="90" workbookViewId="0">
      <pane xSplit="7" ySplit="9" topLeftCell="BK10" activePane="bottomRight" state="frozen"/>
      <selection pane="topRight" activeCell="H1" sqref="H1"/>
      <selection pane="bottomLeft" activeCell="A10" sqref="A10"/>
      <selection pane="bottomRight" activeCell="T16" sqref="T16"/>
    </sheetView>
  </sheetViews>
  <sheetFormatPr defaultColWidth="9.140625" defaultRowHeight="15.75" x14ac:dyDescent="0.25"/>
  <cols>
    <col min="1" max="1" width="11.28515625" style="106" customWidth="1"/>
    <col min="2" max="2" width="7.7109375" style="106" customWidth="1"/>
    <col min="3" max="3" width="31.85546875" style="106" customWidth="1"/>
    <col min="4" max="4" width="11.140625" style="106" hidden="1" customWidth="1"/>
    <col min="5" max="5" width="13.5703125" style="449" customWidth="1"/>
    <col min="6" max="6" width="9.7109375" style="449" customWidth="1"/>
    <col min="7" max="7" width="20.28515625" style="449" customWidth="1"/>
    <col min="8" max="8" width="15.5703125" style="449" customWidth="1"/>
    <col min="9" max="9" width="17" style="449" customWidth="1"/>
    <col min="10" max="10" width="15.28515625" style="449" bestFit="1" customWidth="1"/>
    <col min="11" max="11" width="14" style="449" customWidth="1"/>
    <col min="12" max="12" width="14.85546875" style="449" customWidth="1"/>
    <col min="13" max="13" width="12.85546875" style="449" customWidth="1"/>
    <col min="14" max="14" width="5.5703125" style="449" customWidth="1"/>
    <col min="15" max="15" width="7.140625" style="449" customWidth="1"/>
    <col min="16" max="16" width="6.140625" style="449" customWidth="1"/>
    <col min="17" max="17" width="8.140625" style="449" customWidth="1"/>
    <col min="18" max="18" width="8.7109375" style="531" customWidth="1"/>
    <col min="19" max="19" width="9.140625" style="531" customWidth="1"/>
    <col min="20" max="20" width="7" style="531" customWidth="1"/>
    <col min="21" max="21" width="9.28515625" style="531" customWidth="1"/>
    <col min="22" max="22" width="13.42578125" style="450" bestFit="1" customWidth="1"/>
    <col min="23" max="23" width="16.28515625" style="450" customWidth="1"/>
    <col min="24" max="24" width="15.28515625" style="450" bestFit="1" customWidth="1"/>
    <col min="25" max="25" width="14.28515625" style="450" customWidth="1"/>
    <col min="26" max="26" width="8.140625" style="449" customWidth="1"/>
    <col min="27" max="27" width="13.140625" style="450" customWidth="1"/>
    <col min="28" max="28" width="8.42578125" style="449" customWidth="1"/>
    <col min="29" max="29" width="12" style="450" customWidth="1"/>
    <col min="30" max="30" width="6.28515625" style="449" customWidth="1"/>
    <col min="31" max="31" width="13.140625" style="450" customWidth="1"/>
    <col min="32" max="32" width="5.140625" style="449" customWidth="1"/>
    <col min="33" max="33" width="13.140625" style="450" customWidth="1"/>
    <col min="34" max="34" width="5.140625" style="449" customWidth="1"/>
    <col min="35" max="35" width="12.85546875" style="450" customWidth="1"/>
    <col min="36" max="36" width="5.140625" style="449" customWidth="1"/>
    <col min="37" max="37" width="13.140625" style="450" customWidth="1"/>
    <col min="38" max="38" width="6.7109375" style="449" customWidth="1"/>
    <col min="39" max="39" width="15" style="450" customWidth="1"/>
    <col min="40" max="40" width="6" style="449" customWidth="1"/>
    <col min="41" max="41" width="15.42578125" style="450" customWidth="1"/>
    <col min="42" max="42" width="5.7109375" style="449" customWidth="1"/>
    <col min="43" max="43" width="13" style="450" customWidth="1"/>
    <col min="44" max="44" width="7" style="449" customWidth="1"/>
    <col min="45" max="45" width="13.5703125" style="450" customWidth="1"/>
    <col min="46" max="46" width="6" style="449" customWidth="1"/>
    <col min="47" max="47" width="12.5703125" style="450" customWidth="1"/>
    <col min="48" max="48" width="6.5703125" style="449" customWidth="1"/>
    <col min="49" max="49" width="11.28515625" style="450" customWidth="1"/>
    <col min="50" max="50" width="7" style="449" customWidth="1"/>
    <col min="51" max="51" width="12.140625" style="450" customWidth="1"/>
    <col min="52" max="52" width="5.140625" style="449" customWidth="1"/>
    <col min="53" max="53" width="13.140625" style="450" customWidth="1"/>
    <col min="54" max="54" width="5.140625" style="449" customWidth="1"/>
    <col min="55" max="55" width="13.140625" style="450" customWidth="1"/>
    <col min="56" max="56" width="7.7109375" style="449" customWidth="1"/>
    <col min="57" max="57" width="13.140625" style="450" customWidth="1"/>
    <col min="58" max="58" width="7.42578125" style="449" customWidth="1"/>
    <col min="59" max="59" width="15.7109375" style="450" customWidth="1"/>
    <col min="60" max="60" width="10.140625" style="449" customWidth="1"/>
    <col min="61" max="61" width="15" style="450" customWidth="1"/>
    <col min="62" max="62" width="11.140625" style="449" customWidth="1"/>
    <col min="63" max="63" width="17.42578125" style="450" customWidth="1"/>
    <col min="64" max="64" width="15.28515625" style="106" customWidth="1"/>
    <col min="65" max="65" width="9.140625" style="106" customWidth="1"/>
    <col min="66" max="66" width="15.85546875" style="106" customWidth="1"/>
    <col min="67" max="67" width="17.42578125" style="106" bestFit="1" customWidth="1"/>
    <col min="68" max="68" width="16" style="106" customWidth="1"/>
    <col min="69" max="69" width="7.140625" style="106" customWidth="1"/>
    <col min="70" max="70" width="17.42578125" style="106" customWidth="1"/>
    <col min="71" max="71" width="8.5703125" style="106" customWidth="1"/>
    <col min="72" max="72" width="7.5703125" style="106" customWidth="1"/>
    <col min="73" max="73" width="7.42578125" style="106" customWidth="1"/>
    <col min="74" max="74" width="17.28515625" style="106" customWidth="1"/>
    <col min="75" max="84" width="9.140625" style="106" customWidth="1"/>
    <col min="85" max="16384" width="9.140625" style="106"/>
  </cols>
  <sheetData>
    <row r="1" spans="1:74" ht="21.75" hidden="1" customHeight="1" x14ac:dyDescent="0.25">
      <c r="A1" s="928" t="s">
        <v>407</v>
      </c>
      <c r="B1" s="928"/>
      <c r="C1" s="929" t="s">
        <v>401</v>
      </c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  <c r="R1" s="503"/>
      <c r="S1" s="503"/>
      <c r="T1" s="503"/>
      <c r="U1" s="503"/>
      <c r="V1" s="504"/>
      <c r="W1" s="504"/>
      <c r="X1" s="504"/>
      <c r="Y1" s="504"/>
    </row>
    <row r="2" spans="1:74" ht="18" hidden="1" customHeight="1" x14ac:dyDescent="0.25">
      <c r="A2" s="928" t="s">
        <v>403</v>
      </c>
      <c r="B2" s="928"/>
      <c r="C2" s="929" t="s">
        <v>402</v>
      </c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503"/>
      <c r="S2" s="503"/>
      <c r="T2" s="503"/>
      <c r="U2" s="503"/>
      <c r="V2" s="504"/>
      <c r="W2" s="504"/>
      <c r="X2" s="504"/>
      <c r="Y2" s="504"/>
      <c r="Z2" s="351" t="s">
        <v>781</v>
      </c>
      <c r="AA2" s="351">
        <v>8.34</v>
      </c>
      <c r="AB2" s="351"/>
      <c r="AC2" s="351">
        <v>2.85</v>
      </c>
      <c r="AD2" s="351"/>
      <c r="AE2" s="351">
        <v>8.3800000000000008</v>
      </c>
      <c r="AF2" s="351"/>
      <c r="AG2" s="351">
        <v>7.49</v>
      </c>
      <c r="AH2" s="351"/>
      <c r="AI2" s="351">
        <v>3.33</v>
      </c>
      <c r="AJ2" s="351"/>
      <c r="AK2" s="351">
        <v>6.64</v>
      </c>
      <c r="AL2" s="351"/>
      <c r="AM2" s="351">
        <v>3.67</v>
      </c>
      <c r="AN2" s="351"/>
      <c r="AO2" s="351">
        <v>5.0599999999999996</v>
      </c>
      <c r="AP2" s="351"/>
      <c r="AQ2" s="351">
        <v>5.94</v>
      </c>
      <c r="AR2" s="351"/>
      <c r="AS2" s="351">
        <v>6.85</v>
      </c>
      <c r="AT2" s="351"/>
      <c r="AU2" s="351">
        <v>7.45</v>
      </c>
      <c r="AV2" s="351"/>
      <c r="AW2" s="351">
        <v>5.13</v>
      </c>
      <c r="AX2" s="351"/>
      <c r="AY2" s="351">
        <v>4.8600000000000003</v>
      </c>
      <c r="AZ2" s="351"/>
      <c r="BA2" s="351">
        <v>5.79</v>
      </c>
      <c r="BB2" s="351"/>
      <c r="BC2" s="351">
        <v>5.3</v>
      </c>
      <c r="BD2" s="351"/>
      <c r="BE2" s="351">
        <v>3.47</v>
      </c>
      <c r="BF2" s="351"/>
      <c r="BG2" s="351">
        <v>9.42</v>
      </c>
      <c r="BH2" s="351"/>
      <c r="BI2" s="351"/>
      <c r="BJ2" s="351"/>
      <c r="BK2" s="351"/>
    </row>
    <row r="3" spans="1:74" ht="18.75" hidden="1" customHeight="1" x14ac:dyDescent="0.25">
      <c r="A3" s="928" t="s">
        <v>404</v>
      </c>
      <c r="B3" s="928"/>
      <c r="C3" s="929" t="s">
        <v>746</v>
      </c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503"/>
      <c r="S3" s="503"/>
      <c r="T3" s="503"/>
      <c r="U3" s="503"/>
      <c r="V3" s="504"/>
      <c r="W3" s="504"/>
      <c r="X3" s="504"/>
      <c r="Y3" s="504"/>
      <c r="Z3" s="351" t="s">
        <v>779</v>
      </c>
      <c r="AA3" s="351">
        <v>48</v>
      </c>
      <c r="AB3" s="351"/>
      <c r="AC3" s="351">
        <v>23</v>
      </c>
      <c r="AD3" s="351"/>
      <c r="AE3" s="351">
        <v>80</v>
      </c>
      <c r="AF3" s="351"/>
      <c r="AG3" s="351">
        <v>105</v>
      </c>
      <c r="AH3" s="351"/>
      <c r="AI3" s="351">
        <v>43</v>
      </c>
      <c r="AJ3" s="351"/>
      <c r="AK3" s="351">
        <v>75</v>
      </c>
      <c r="AL3" s="351"/>
      <c r="AM3" s="351">
        <v>41</v>
      </c>
      <c r="AN3" s="351"/>
      <c r="AO3" s="351">
        <v>101</v>
      </c>
      <c r="AP3" s="351"/>
      <c r="AQ3" s="351">
        <v>8</v>
      </c>
      <c r="AR3" s="351"/>
      <c r="AS3" s="351">
        <v>33</v>
      </c>
      <c r="AT3" s="351"/>
      <c r="AU3" s="351">
        <v>53</v>
      </c>
      <c r="AV3" s="351"/>
      <c r="AW3" s="351">
        <v>52</v>
      </c>
      <c r="AX3" s="351"/>
      <c r="AY3" s="351">
        <v>76</v>
      </c>
      <c r="AZ3" s="351"/>
      <c r="BA3" s="351">
        <v>82</v>
      </c>
      <c r="BB3" s="351"/>
      <c r="BC3" s="351">
        <v>104</v>
      </c>
      <c r="BD3" s="351"/>
      <c r="BE3" s="351">
        <v>147</v>
      </c>
      <c r="BF3" s="351"/>
      <c r="BG3" s="351">
        <v>54</v>
      </c>
      <c r="BH3" s="351"/>
      <c r="BI3" s="351"/>
      <c r="BJ3" s="351"/>
      <c r="BK3" s="351"/>
    </row>
    <row r="4" spans="1:74" ht="16.5" customHeight="1" x14ac:dyDescent="0.25">
      <c r="A4" s="928" t="s">
        <v>423</v>
      </c>
      <c r="B4" s="928"/>
      <c r="C4" s="929" t="s">
        <v>199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503"/>
      <c r="S4" s="503"/>
      <c r="T4" s="503"/>
      <c r="U4" s="503"/>
      <c r="V4" s="504"/>
      <c r="W4" s="504"/>
      <c r="X4" s="504"/>
      <c r="Y4" s="504"/>
      <c r="Z4" s="351" t="s">
        <v>780</v>
      </c>
      <c r="AA4" s="442">
        <f>AA3/1125*100</f>
        <v>4.2666666666666666</v>
      </c>
      <c r="AB4" s="442">
        <f t="shared" ref="AB4:BG4" si="0">AB3/1125*100</f>
        <v>0</v>
      </c>
      <c r="AC4" s="442">
        <f t="shared" si="0"/>
        <v>2.0444444444444447</v>
      </c>
      <c r="AD4" s="442">
        <f t="shared" si="0"/>
        <v>0</v>
      </c>
      <c r="AE4" s="442">
        <f t="shared" si="0"/>
        <v>7.1111111111111107</v>
      </c>
      <c r="AF4" s="442">
        <f t="shared" si="0"/>
        <v>0</v>
      </c>
      <c r="AG4" s="442">
        <f t="shared" si="0"/>
        <v>9.3333333333333339</v>
      </c>
      <c r="AH4" s="442">
        <f t="shared" si="0"/>
        <v>0</v>
      </c>
      <c r="AI4" s="442">
        <f t="shared" si="0"/>
        <v>3.822222222222222</v>
      </c>
      <c r="AJ4" s="442">
        <f t="shared" si="0"/>
        <v>0</v>
      </c>
      <c r="AK4" s="442">
        <f t="shared" si="0"/>
        <v>6.666666666666667</v>
      </c>
      <c r="AL4" s="442">
        <f t="shared" si="0"/>
        <v>0</v>
      </c>
      <c r="AM4" s="442">
        <f t="shared" si="0"/>
        <v>3.6444444444444448</v>
      </c>
      <c r="AN4" s="442">
        <f t="shared" si="0"/>
        <v>0</v>
      </c>
      <c r="AO4" s="442">
        <f t="shared" si="0"/>
        <v>8.9777777777777779</v>
      </c>
      <c r="AP4" s="442">
        <f t="shared" si="0"/>
        <v>0</v>
      </c>
      <c r="AQ4" s="442">
        <f t="shared" si="0"/>
        <v>0.71111111111111114</v>
      </c>
      <c r="AR4" s="442">
        <f t="shared" si="0"/>
        <v>0</v>
      </c>
      <c r="AS4" s="442">
        <f t="shared" si="0"/>
        <v>2.9333333333333331</v>
      </c>
      <c r="AT4" s="442">
        <f t="shared" si="0"/>
        <v>0</v>
      </c>
      <c r="AU4" s="442">
        <f t="shared" si="0"/>
        <v>4.7111111111111112</v>
      </c>
      <c r="AV4" s="442">
        <f t="shared" si="0"/>
        <v>0</v>
      </c>
      <c r="AW4" s="442">
        <f t="shared" si="0"/>
        <v>4.6222222222222218</v>
      </c>
      <c r="AX4" s="442">
        <f t="shared" si="0"/>
        <v>0</v>
      </c>
      <c r="AY4" s="442">
        <f t="shared" si="0"/>
        <v>6.7555555555555546</v>
      </c>
      <c r="AZ4" s="442">
        <f t="shared" si="0"/>
        <v>0</v>
      </c>
      <c r="BA4" s="442">
        <f t="shared" si="0"/>
        <v>7.2888888888888896</v>
      </c>
      <c r="BB4" s="442">
        <f t="shared" si="0"/>
        <v>0</v>
      </c>
      <c r="BC4" s="442">
        <f t="shared" si="0"/>
        <v>9.2444444444444436</v>
      </c>
      <c r="BD4" s="442">
        <f t="shared" si="0"/>
        <v>0</v>
      </c>
      <c r="BE4" s="442">
        <f t="shared" si="0"/>
        <v>13.066666666666665</v>
      </c>
      <c r="BF4" s="442">
        <f t="shared" si="0"/>
        <v>0</v>
      </c>
      <c r="BG4" s="442">
        <f t="shared" si="0"/>
        <v>4.8</v>
      </c>
      <c r="BH4" s="351"/>
      <c r="BI4" s="351"/>
      <c r="BJ4" s="351"/>
      <c r="BK4" s="351"/>
    </row>
    <row r="5" spans="1:74" ht="18.600000000000001" customHeight="1" x14ac:dyDescent="0.25">
      <c r="A5" s="928" t="s">
        <v>424</v>
      </c>
      <c r="B5" s="928"/>
      <c r="C5" s="929" t="s">
        <v>425</v>
      </c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29"/>
      <c r="Q5" s="929"/>
      <c r="R5" s="503"/>
      <c r="S5" s="503"/>
      <c r="T5" s="503"/>
      <c r="U5" s="503"/>
      <c r="V5" s="504"/>
      <c r="W5" s="504"/>
      <c r="X5" s="504"/>
      <c r="Y5" s="504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</row>
    <row r="6" spans="1:74" ht="24" customHeight="1" x14ac:dyDescent="0.25">
      <c r="A6" s="931"/>
      <c r="B6" s="931"/>
      <c r="C6" s="931"/>
      <c r="D6" s="931"/>
      <c r="E6" s="935" t="s">
        <v>22</v>
      </c>
      <c r="F6" s="935"/>
      <c r="G6" s="935"/>
      <c r="H6" s="932" t="s">
        <v>400</v>
      </c>
      <c r="I6" s="933"/>
      <c r="J6" s="933"/>
      <c r="K6" s="933"/>
      <c r="L6" s="933"/>
      <c r="M6" s="933"/>
      <c r="N6" s="933"/>
      <c r="O6" s="933"/>
      <c r="P6" s="933"/>
      <c r="Q6" s="934"/>
      <c r="R6" s="943" t="s">
        <v>66</v>
      </c>
      <c r="S6" s="944"/>
      <c r="T6" s="944"/>
      <c r="U6" s="945"/>
      <c r="V6" s="939" t="s">
        <v>43</v>
      </c>
      <c r="W6" s="940"/>
      <c r="X6" s="940"/>
      <c r="Y6" s="940"/>
      <c r="Z6" s="927" t="s">
        <v>432</v>
      </c>
      <c r="AA6" s="927"/>
      <c r="AB6" s="927" t="s">
        <v>433</v>
      </c>
      <c r="AC6" s="927"/>
      <c r="AD6" s="927" t="s">
        <v>434</v>
      </c>
      <c r="AE6" s="927"/>
      <c r="AF6" s="927" t="s">
        <v>435</v>
      </c>
      <c r="AG6" s="927"/>
      <c r="AH6" s="927" t="s">
        <v>436</v>
      </c>
      <c r="AI6" s="927"/>
      <c r="AJ6" s="927" t="s">
        <v>437</v>
      </c>
      <c r="AK6" s="927"/>
      <c r="AL6" s="927" t="s">
        <v>438</v>
      </c>
      <c r="AM6" s="927"/>
      <c r="AN6" s="927" t="s">
        <v>439</v>
      </c>
      <c r="AO6" s="927"/>
      <c r="AP6" s="927" t="s">
        <v>440</v>
      </c>
      <c r="AQ6" s="927"/>
      <c r="AR6" s="927" t="s">
        <v>441</v>
      </c>
      <c r="AS6" s="927"/>
      <c r="AT6" s="927" t="s">
        <v>442</v>
      </c>
      <c r="AU6" s="927"/>
      <c r="AV6" s="927" t="s">
        <v>443</v>
      </c>
      <c r="AW6" s="927"/>
      <c r="AX6" s="927" t="s">
        <v>444</v>
      </c>
      <c r="AY6" s="927"/>
      <c r="AZ6" s="927" t="s">
        <v>445</v>
      </c>
      <c r="BA6" s="927"/>
      <c r="BB6" s="927" t="s">
        <v>446</v>
      </c>
      <c r="BC6" s="927"/>
      <c r="BD6" s="927" t="s">
        <v>447</v>
      </c>
      <c r="BE6" s="927"/>
      <c r="BF6" s="927" t="s">
        <v>448</v>
      </c>
      <c r="BG6" s="927"/>
      <c r="BH6" s="927" t="s">
        <v>449</v>
      </c>
      <c r="BI6" s="927"/>
      <c r="BJ6" s="927" t="s">
        <v>18</v>
      </c>
      <c r="BK6" s="927"/>
      <c r="BL6" s="864" t="s">
        <v>496</v>
      </c>
    </row>
    <row r="7" spans="1:74" ht="15" customHeight="1" x14ac:dyDescent="0.25">
      <c r="A7" s="415" t="s">
        <v>14</v>
      </c>
      <c r="B7" s="415" t="s">
        <v>1</v>
      </c>
      <c r="C7" s="931" t="s">
        <v>12</v>
      </c>
      <c r="D7" s="505" t="s">
        <v>15</v>
      </c>
      <c r="E7" s="506"/>
      <c r="F7" s="506"/>
      <c r="G7" s="930" t="s">
        <v>431</v>
      </c>
      <c r="H7" s="67" t="s">
        <v>455</v>
      </c>
      <c r="I7" s="67" t="s">
        <v>456</v>
      </c>
      <c r="J7" s="67" t="s">
        <v>457</v>
      </c>
      <c r="K7" s="67" t="s">
        <v>458</v>
      </c>
      <c r="L7" s="67" t="s">
        <v>459</v>
      </c>
      <c r="M7" s="67" t="s">
        <v>460</v>
      </c>
      <c r="N7" s="67" t="s">
        <v>461</v>
      </c>
      <c r="O7" s="67" t="s">
        <v>462</v>
      </c>
      <c r="P7" s="67" t="s">
        <v>463</v>
      </c>
      <c r="Q7" s="67" t="s">
        <v>464</v>
      </c>
      <c r="R7" s="946"/>
      <c r="S7" s="947"/>
      <c r="T7" s="947"/>
      <c r="U7" s="948"/>
      <c r="V7" s="941"/>
      <c r="W7" s="942"/>
      <c r="X7" s="942"/>
      <c r="Y7" s="942"/>
      <c r="Z7" s="927"/>
      <c r="AA7" s="927"/>
      <c r="AB7" s="927" t="s">
        <v>49</v>
      </c>
      <c r="AC7" s="927"/>
      <c r="AD7" s="927" t="s">
        <v>50</v>
      </c>
      <c r="AE7" s="927"/>
      <c r="AF7" s="927" t="s">
        <v>51</v>
      </c>
      <c r="AG7" s="927"/>
      <c r="AH7" s="927" t="s">
        <v>52</v>
      </c>
      <c r="AI7" s="927"/>
      <c r="AJ7" s="927" t="s">
        <v>53</v>
      </c>
      <c r="AK7" s="927"/>
      <c r="AL7" s="927" t="s">
        <v>54</v>
      </c>
      <c r="AM7" s="927"/>
      <c r="AN7" s="927" t="s">
        <v>55</v>
      </c>
      <c r="AO7" s="927"/>
      <c r="AP7" s="927" t="s">
        <v>56</v>
      </c>
      <c r="AQ7" s="927"/>
      <c r="AR7" s="927" t="s">
        <v>57</v>
      </c>
      <c r="AS7" s="927"/>
      <c r="AT7" s="927" t="s">
        <v>58</v>
      </c>
      <c r="AU7" s="927"/>
      <c r="AV7" s="927" t="s">
        <v>59</v>
      </c>
      <c r="AW7" s="927"/>
      <c r="AX7" s="927" t="s">
        <v>60</v>
      </c>
      <c r="AY7" s="927"/>
      <c r="AZ7" s="927" t="s">
        <v>61</v>
      </c>
      <c r="BA7" s="927"/>
      <c r="BB7" s="927" t="s">
        <v>45</v>
      </c>
      <c r="BC7" s="927"/>
      <c r="BD7" s="927" t="s">
        <v>42</v>
      </c>
      <c r="BE7" s="927"/>
      <c r="BF7" s="927"/>
      <c r="BG7" s="927"/>
      <c r="BH7" s="927"/>
      <c r="BI7" s="927"/>
      <c r="BJ7" s="927"/>
      <c r="BK7" s="927"/>
      <c r="BL7" s="864"/>
      <c r="BN7" s="863" t="s">
        <v>494</v>
      </c>
      <c r="BO7" s="863"/>
      <c r="BP7" s="863"/>
      <c r="BQ7" s="863"/>
      <c r="BR7" s="863"/>
      <c r="BS7" s="863" t="s">
        <v>495</v>
      </c>
      <c r="BT7" s="863"/>
      <c r="BU7" s="863"/>
      <c r="BV7" s="864" t="s">
        <v>18</v>
      </c>
    </row>
    <row r="8" spans="1:74" ht="42" customHeight="1" x14ac:dyDescent="0.25">
      <c r="A8" s="415"/>
      <c r="B8" s="415" t="s">
        <v>2</v>
      </c>
      <c r="C8" s="931"/>
      <c r="D8" s="505"/>
      <c r="E8" s="250" t="s">
        <v>40</v>
      </c>
      <c r="F8" s="250" t="s">
        <v>24</v>
      </c>
      <c r="G8" s="930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507" t="s">
        <v>7</v>
      </c>
      <c r="S8" s="507" t="s">
        <v>8</v>
      </c>
      <c r="T8" s="507" t="s">
        <v>9</v>
      </c>
      <c r="U8" s="507" t="s">
        <v>10</v>
      </c>
      <c r="V8" s="508" t="s">
        <v>7</v>
      </c>
      <c r="W8" s="508" t="s">
        <v>8</v>
      </c>
      <c r="X8" s="508" t="s">
        <v>9</v>
      </c>
      <c r="Y8" s="509" t="s">
        <v>10</v>
      </c>
      <c r="Z8" s="483" t="s">
        <v>15</v>
      </c>
      <c r="AA8" s="510" t="s">
        <v>16</v>
      </c>
      <c r="AB8" s="483" t="s">
        <v>15</v>
      </c>
      <c r="AC8" s="510" t="s">
        <v>16</v>
      </c>
      <c r="AD8" s="483" t="s">
        <v>15</v>
      </c>
      <c r="AE8" s="510" t="s">
        <v>16</v>
      </c>
      <c r="AF8" s="483" t="s">
        <v>15</v>
      </c>
      <c r="AG8" s="510" t="s">
        <v>16</v>
      </c>
      <c r="AH8" s="483" t="s">
        <v>15</v>
      </c>
      <c r="AI8" s="510" t="s">
        <v>16</v>
      </c>
      <c r="AJ8" s="483" t="s">
        <v>15</v>
      </c>
      <c r="AK8" s="510" t="s">
        <v>16</v>
      </c>
      <c r="AL8" s="483" t="s">
        <v>15</v>
      </c>
      <c r="AM8" s="510" t="s">
        <v>16</v>
      </c>
      <c r="AN8" s="483" t="s">
        <v>15</v>
      </c>
      <c r="AO8" s="510" t="s">
        <v>16</v>
      </c>
      <c r="AP8" s="483" t="s">
        <v>15</v>
      </c>
      <c r="AQ8" s="510" t="s">
        <v>16</v>
      </c>
      <c r="AR8" s="483" t="s">
        <v>15</v>
      </c>
      <c r="AS8" s="510" t="s">
        <v>16</v>
      </c>
      <c r="AT8" s="483" t="s">
        <v>15</v>
      </c>
      <c r="AU8" s="510" t="s">
        <v>16</v>
      </c>
      <c r="AV8" s="483" t="s">
        <v>15</v>
      </c>
      <c r="AW8" s="510" t="s">
        <v>16</v>
      </c>
      <c r="AX8" s="483" t="s">
        <v>15</v>
      </c>
      <c r="AY8" s="510" t="s">
        <v>16</v>
      </c>
      <c r="AZ8" s="483" t="s">
        <v>15</v>
      </c>
      <c r="BA8" s="510" t="s">
        <v>16</v>
      </c>
      <c r="BB8" s="483" t="s">
        <v>15</v>
      </c>
      <c r="BC8" s="510" t="s">
        <v>16</v>
      </c>
      <c r="BD8" s="483" t="s">
        <v>15</v>
      </c>
      <c r="BE8" s="510" t="s">
        <v>16</v>
      </c>
      <c r="BF8" s="483" t="s">
        <v>15</v>
      </c>
      <c r="BG8" s="510" t="s">
        <v>16</v>
      </c>
      <c r="BH8" s="483" t="s">
        <v>15</v>
      </c>
      <c r="BI8" s="510" t="s">
        <v>16</v>
      </c>
      <c r="BJ8" s="483" t="s">
        <v>15</v>
      </c>
      <c r="BK8" s="510" t="s">
        <v>16</v>
      </c>
      <c r="BL8" s="864"/>
      <c r="BN8" s="511" t="s">
        <v>485</v>
      </c>
      <c r="BO8" s="512" t="s">
        <v>486</v>
      </c>
      <c r="BP8" s="512" t="s">
        <v>487</v>
      </c>
      <c r="BQ8" s="358" t="s">
        <v>488</v>
      </c>
      <c r="BR8" s="513" t="s">
        <v>489</v>
      </c>
      <c r="BS8" s="512" t="s">
        <v>490</v>
      </c>
      <c r="BT8" s="512" t="s">
        <v>491</v>
      </c>
      <c r="BU8" s="513" t="s">
        <v>492</v>
      </c>
      <c r="BV8" s="864"/>
    </row>
    <row r="9" spans="1:74" x14ac:dyDescent="0.25">
      <c r="A9" s="936" t="s">
        <v>200</v>
      </c>
      <c r="B9" s="38">
        <v>22000</v>
      </c>
      <c r="C9" s="505" t="s">
        <v>155</v>
      </c>
      <c r="D9" s="505"/>
      <c r="E9" s="250"/>
      <c r="F9" s="250"/>
      <c r="G9" s="250"/>
      <c r="H9" s="514"/>
      <c r="I9" s="514"/>
      <c r="J9" s="514"/>
      <c r="K9" s="514"/>
      <c r="L9" s="514"/>
      <c r="M9" s="514"/>
      <c r="N9" s="514"/>
      <c r="O9" s="515"/>
      <c r="P9" s="506"/>
      <c r="Q9" s="506"/>
      <c r="R9" s="507"/>
      <c r="S9" s="507"/>
      <c r="T9" s="507"/>
      <c r="U9" s="507"/>
      <c r="V9" s="508"/>
      <c r="W9" s="508"/>
      <c r="X9" s="508"/>
      <c r="Y9" s="509"/>
      <c r="Z9" s="483"/>
      <c r="AA9" s="510"/>
      <c r="AB9" s="483"/>
      <c r="AC9" s="510"/>
      <c r="AD9" s="483"/>
      <c r="AE9" s="510"/>
      <c r="AF9" s="483"/>
      <c r="AG9" s="510"/>
      <c r="AH9" s="483"/>
      <c r="AI9" s="510"/>
      <c r="AJ9" s="483"/>
      <c r="AK9" s="510"/>
      <c r="AL9" s="483"/>
      <c r="AM9" s="510"/>
      <c r="AN9" s="483"/>
      <c r="AO9" s="510"/>
      <c r="AP9" s="483"/>
      <c r="AQ9" s="510"/>
      <c r="AR9" s="483"/>
      <c r="AS9" s="510"/>
      <c r="AT9" s="483"/>
      <c r="AU9" s="510"/>
      <c r="AV9" s="483"/>
      <c r="AW9" s="510"/>
      <c r="AX9" s="483"/>
      <c r="AY9" s="510"/>
      <c r="AZ9" s="483"/>
      <c r="BA9" s="510"/>
      <c r="BB9" s="483"/>
      <c r="BC9" s="510"/>
      <c r="BD9" s="483"/>
      <c r="BE9" s="510"/>
      <c r="BF9" s="483"/>
      <c r="BG9" s="510"/>
      <c r="BH9" s="483"/>
      <c r="BI9" s="510"/>
      <c r="BJ9" s="483"/>
      <c r="BK9" s="510"/>
      <c r="BL9" s="373"/>
      <c r="BN9" s="375"/>
      <c r="BO9" s="375"/>
      <c r="BP9" s="375"/>
      <c r="BQ9" s="375"/>
      <c r="BR9" s="375"/>
      <c r="BS9" s="375"/>
      <c r="BT9" s="375"/>
      <c r="BU9" s="375"/>
      <c r="BV9" s="377">
        <f>BR9+BU9</f>
        <v>0</v>
      </c>
    </row>
    <row r="10" spans="1:74" x14ac:dyDescent="0.25">
      <c r="A10" s="937"/>
      <c r="B10" s="38">
        <v>22100</v>
      </c>
      <c r="C10" s="38" t="s">
        <v>156</v>
      </c>
      <c r="D10" s="516"/>
      <c r="E10" s="517"/>
      <c r="F10" s="517"/>
      <c r="G10" s="517"/>
      <c r="H10" s="518"/>
      <c r="I10" s="518"/>
      <c r="J10" s="518"/>
      <c r="K10" s="518"/>
      <c r="L10" s="518"/>
      <c r="M10" s="518"/>
      <c r="N10" s="518"/>
      <c r="O10" s="519"/>
      <c r="P10" s="498"/>
      <c r="Q10" s="498"/>
      <c r="R10" s="272"/>
      <c r="S10" s="272"/>
      <c r="T10" s="272"/>
      <c r="U10" s="272"/>
      <c r="V10" s="274"/>
      <c r="W10" s="274"/>
      <c r="X10" s="274"/>
      <c r="Y10" s="149"/>
      <c r="Z10" s="399"/>
      <c r="AA10" s="76">
        <f>Z10*E10</f>
        <v>0</v>
      </c>
      <c r="AB10" s="399"/>
      <c r="AC10" s="76">
        <f>AB10*E10</f>
        <v>0</v>
      </c>
      <c r="AD10" s="399"/>
      <c r="AE10" s="76">
        <f>AD10*E10</f>
        <v>0</v>
      </c>
      <c r="AF10" s="399"/>
      <c r="AG10" s="76">
        <f>AF10*E10</f>
        <v>0</v>
      </c>
      <c r="AH10" s="399"/>
      <c r="AI10" s="76">
        <f>AH10*E10</f>
        <v>0</v>
      </c>
      <c r="AJ10" s="399"/>
      <c r="AK10" s="76">
        <f>AJ10*E10</f>
        <v>0</v>
      </c>
      <c r="AL10" s="399"/>
      <c r="AM10" s="76">
        <f>AL10*E10</f>
        <v>0</v>
      </c>
      <c r="AN10" s="399"/>
      <c r="AO10" s="76">
        <f>AN10*E10</f>
        <v>0</v>
      </c>
      <c r="AP10" s="399"/>
      <c r="AQ10" s="76">
        <f>AP10*E10</f>
        <v>0</v>
      </c>
      <c r="AR10" s="399"/>
      <c r="AS10" s="76">
        <f>AR10*E10</f>
        <v>0</v>
      </c>
      <c r="AT10" s="399"/>
      <c r="AU10" s="76">
        <f>AT10*E10</f>
        <v>0</v>
      </c>
      <c r="AV10" s="399"/>
      <c r="AW10" s="76">
        <f t="shared" ref="AW10:AW16" si="1">AV10*E10</f>
        <v>0</v>
      </c>
      <c r="AX10" s="399"/>
      <c r="AY10" s="76">
        <f>AX10*E10</f>
        <v>0</v>
      </c>
      <c r="AZ10" s="399"/>
      <c r="BA10" s="76">
        <f>AZ10*E10</f>
        <v>0</v>
      </c>
      <c r="BB10" s="399"/>
      <c r="BC10" s="76">
        <f>BB10*E10</f>
        <v>0</v>
      </c>
      <c r="BD10" s="399"/>
      <c r="BE10" s="76">
        <f>BD10*E10</f>
        <v>0</v>
      </c>
      <c r="BF10" s="399"/>
      <c r="BG10" s="76">
        <f>BF10*E10</f>
        <v>0</v>
      </c>
      <c r="BH10" s="399"/>
      <c r="BI10" s="76"/>
      <c r="BJ10" s="53">
        <f t="shared" ref="BJ10:BK17" si="2">Z10+AB10+AD10+AF10+AH10+AL10+AP10+AR10+AZ10+BB10+BD10+BF10+BH10+AJ10+AT10+AV10+AX10+AN10</f>
        <v>0</v>
      </c>
      <c r="BK10" s="53">
        <f t="shared" si="2"/>
        <v>0</v>
      </c>
      <c r="BL10" s="373"/>
      <c r="BN10" s="375"/>
      <c r="BO10" s="375"/>
      <c r="BP10" s="375"/>
      <c r="BQ10" s="375"/>
      <c r="BR10" s="375">
        <f t="shared" ref="BR10:BR17" si="3">BN10+BO10+BP10+BQ10</f>
        <v>0</v>
      </c>
      <c r="BS10" s="375"/>
      <c r="BT10" s="375"/>
      <c r="BU10" s="375">
        <f t="shared" ref="BU10:BU15" si="4">BS10+BT10</f>
        <v>0</v>
      </c>
      <c r="BV10" s="377">
        <f t="shared" ref="BV10:BV35" si="5">BR10+BU10</f>
        <v>0</v>
      </c>
    </row>
    <row r="11" spans="1:74" x14ac:dyDescent="0.25">
      <c r="A11" s="937"/>
      <c r="B11" s="38">
        <v>22110</v>
      </c>
      <c r="C11" s="38" t="s">
        <v>157</v>
      </c>
      <c r="D11" s="516"/>
      <c r="E11" s="517"/>
      <c r="F11" s="517"/>
      <c r="G11" s="517"/>
      <c r="H11" s="518"/>
      <c r="I11" s="518"/>
      <c r="J11" s="518"/>
      <c r="K11" s="518"/>
      <c r="L11" s="518"/>
      <c r="M11" s="518"/>
      <c r="N11" s="518"/>
      <c r="O11" s="519"/>
      <c r="P11" s="498"/>
      <c r="Q11" s="498"/>
      <c r="R11" s="272"/>
      <c r="S11" s="272"/>
      <c r="T11" s="272"/>
      <c r="U11" s="272"/>
      <c r="V11" s="274"/>
      <c r="W11" s="274"/>
      <c r="X11" s="274"/>
      <c r="Y11" s="149"/>
      <c r="Z11" s="399"/>
      <c r="AA11" s="76">
        <f t="shared" ref="AA11:AA16" si="6">Z11*E11</f>
        <v>0</v>
      </c>
      <c r="AB11" s="399"/>
      <c r="AC11" s="76">
        <f t="shared" ref="AC11:AC16" si="7">AB11*E11</f>
        <v>0</v>
      </c>
      <c r="AD11" s="399"/>
      <c r="AE11" s="76">
        <f t="shared" ref="AE11:AE16" si="8">AD11*E11</f>
        <v>0</v>
      </c>
      <c r="AF11" s="399"/>
      <c r="AG11" s="76">
        <f t="shared" ref="AG11:AG33" si="9">AF11*E11</f>
        <v>0</v>
      </c>
      <c r="AH11" s="399"/>
      <c r="AI11" s="76">
        <f t="shared" ref="AI11:AI33" si="10">AH11*E11</f>
        <v>0</v>
      </c>
      <c r="AJ11" s="399"/>
      <c r="AK11" s="76">
        <f t="shared" ref="AK11:AK16" si="11">AJ11*E11</f>
        <v>0</v>
      </c>
      <c r="AL11" s="399"/>
      <c r="AM11" s="76">
        <f t="shared" ref="AM11:AM33" si="12">AL11*E11</f>
        <v>0</v>
      </c>
      <c r="AN11" s="399"/>
      <c r="AO11" s="76">
        <f t="shared" ref="AO11:AO16" si="13">AN11*E11</f>
        <v>0</v>
      </c>
      <c r="AP11" s="399"/>
      <c r="AQ11" s="76">
        <f t="shared" ref="AQ11:AQ33" si="14">AP11*E11</f>
        <v>0</v>
      </c>
      <c r="AR11" s="399"/>
      <c r="AS11" s="76">
        <f t="shared" ref="AS11:AS33" si="15">AR11*E11</f>
        <v>0</v>
      </c>
      <c r="AT11" s="399"/>
      <c r="AU11" s="76">
        <f t="shared" ref="AU11:AU16" si="16">AT11*E11</f>
        <v>0</v>
      </c>
      <c r="AV11" s="399"/>
      <c r="AW11" s="76">
        <f t="shared" si="1"/>
        <v>0</v>
      </c>
      <c r="AX11" s="399"/>
      <c r="AY11" s="76">
        <f t="shared" ref="AY11:AY16" si="17">AX11*E11</f>
        <v>0</v>
      </c>
      <c r="AZ11" s="399"/>
      <c r="BA11" s="76">
        <f t="shared" ref="BA11:BA33" si="18">AZ11*E11</f>
        <v>0</v>
      </c>
      <c r="BB11" s="399"/>
      <c r="BC11" s="76">
        <f t="shared" ref="BC11:BC33" si="19">BB11*E11</f>
        <v>0</v>
      </c>
      <c r="BD11" s="399"/>
      <c r="BE11" s="76">
        <f t="shared" ref="BE11:BE33" si="20">BD11*E11</f>
        <v>0</v>
      </c>
      <c r="BF11" s="399"/>
      <c r="BG11" s="76">
        <f t="shared" ref="BG11:BG33" si="21">BF11*E11</f>
        <v>0</v>
      </c>
      <c r="BH11" s="399"/>
      <c r="BI11" s="76">
        <f t="shared" ref="BI11:BI33" si="22">BH11*E11</f>
        <v>0</v>
      </c>
      <c r="BJ11" s="53">
        <f t="shared" si="2"/>
        <v>0</v>
      </c>
      <c r="BK11" s="53">
        <f t="shared" si="2"/>
        <v>0</v>
      </c>
      <c r="BL11" s="373"/>
      <c r="BN11" s="375"/>
      <c r="BO11" s="375"/>
      <c r="BP11" s="375"/>
      <c r="BQ11" s="375"/>
      <c r="BR11" s="375">
        <f t="shared" si="3"/>
        <v>0</v>
      </c>
      <c r="BS11" s="375"/>
      <c r="BT11" s="375"/>
      <c r="BU11" s="375">
        <f t="shared" si="4"/>
        <v>0</v>
      </c>
      <c r="BV11" s="377">
        <f t="shared" si="5"/>
        <v>0</v>
      </c>
    </row>
    <row r="12" spans="1:74" x14ac:dyDescent="0.25">
      <c r="A12" s="937"/>
      <c r="B12" s="38">
        <v>22111</v>
      </c>
      <c r="C12" s="38" t="s">
        <v>158</v>
      </c>
      <c r="D12" s="38" t="s">
        <v>120</v>
      </c>
      <c r="E12" s="229">
        <f>0*100000</f>
        <v>0</v>
      </c>
      <c r="F12" s="520">
        <v>0</v>
      </c>
      <c r="G12" s="231">
        <f t="shared" ref="G12:G17" si="23">E12*F12</f>
        <v>0</v>
      </c>
      <c r="H12" s="231"/>
      <c r="I12" s="231"/>
      <c r="J12" s="231"/>
      <c r="K12" s="231"/>
      <c r="L12" s="231"/>
      <c r="M12" s="231"/>
      <c r="N12" s="231"/>
      <c r="O12" s="521"/>
      <c r="P12" s="521"/>
      <c r="Q12" s="521"/>
      <c r="R12" s="272"/>
      <c r="S12" s="272"/>
      <c r="T12" s="272"/>
      <c r="U12" s="272"/>
      <c r="V12" s="274"/>
      <c r="W12" s="274"/>
      <c r="X12" s="274"/>
      <c r="Y12" s="149"/>
      <c r="Z12" s="399">
        <v>0</v>
      </c>
      <c r="AA12" s="76">
        <f t="shared" si="6"/>
        <v>0</v>
      </c>
      <c r="AB12" s="399">
        <v>0</v>
      </c>
      <c r="AC12" s="76">
        <f t="shared" si="7"/>
        <v>0</v>
      </c>
      <c r="AD12" s="399">
        <v>0</v>
      </c>
      <c r="AE12" s="76">
        <f t="shared" si="8"/>
        <v>0</v>
      </c>
      <c r="AF12" s="399">
        <v>0</v>
      </c>
      <c r="AG12" s="76">
        <f t="shared" si="9"/>
        <v>0</v>
      </c>
      <c r="AH12" s="399">
        <v>0</v>
      </c>
      <c r="AI12" s="76">
        <f t="shared" si="10"/>
        <v>0</v>
      </c>
      <c r="AJ12" s="399"/>
      <c r="AK12" s="76">
        <f t="shared" si="11"/>
        <v>0</v>
      </c>
      <c r="AL12" s="399">
        <v>0</v>
      </c>
      <c r="AM12" s="76">
        <f t="shared" si="12"/>
        <v>0</v>
      </c>
      <c r="AN12" s="399"/>
      <c r="AO12" s="76">
        <f t="shared" si="13"/>
        <v>0</v>
      </c>
      <c r="AP12" s="399">
        <v>0</v>
      </c>
      <c r="AQ12" s="76">
        <f t="shared" si="14"/>
        <v>0</v>
      </c>
      <c r="AR12" s="399">
        <v>0</v>
      </c>
      <c r="AS12" s="76">
        <f t="shared" si="15"/>
        <v>0</v>
      </c>
      <c r="AT12" s="399"/>
      <c r="AU12" s="76">
        <f t="shared" si="16"/>
        <v>0</v>
      </c>
      <c r="AV12" s="399"/>
      <c r="AW12" s="76">
        <f t="shared" si="1"/>
        <v>0</v>
      </c>
      <c r="AX12" s="399"/>
      <c r="AY12" s="76">
        <f t="shared" si="17"/>
        <v>0</v>
      </c>
      <c r="AZ12" s="399">
        <v>0</v>
      </c>
      <c r="BA12" s="76">
        <f t="shared" si="18"/>
        <v>0</v>
      </c>
      <c r="BB12" s="399">
        <v>0</v>
      </c>
      <c r="BC12" s="76">
        <f t="shared" si="19"/>
        <v>0</v>
      </c>
      <c r="BD12" s="399">
        <v>0</v>
      </c>
      <c r="BE12" s="76">
        <f t="shared" si="20"/>
        <v>0</v>
      </c>
      <c r="BF12" s="399">
        <v>0</v>
      </c>
      <c r="BG12" s="76">
        <f t="shared" si="21"/>
        <v>0</v>
      </c>
      <c r="BH12" s="399">
        <v>0</v>
      </c>
      <c r="BI12" s="76">
        <f t="shared" si="22"/>
        <v>0</v>
      </c>
      <c r="BJ12" s="53">
        <f t="shared" si="2"/>
        <v>0</v>
      </c>
      <c r="BK12" s="53">
        <f t="shared" si="2"/>
        <v>0</v>
      </c>
      <c r="BL12" s="327"/>
      <c r="BN12" s="375"/>
      <c r="BO12" s="375"/>
      <c r="BP12" s="375"/>
      <c r="BQ12" s="375"/>
      <c r="BR12" s="375">
        <f t="shared" si="3"/>
        <v>0</v>
      </c>
      <c r="BS12" s="375"/>
      <c r="BT12" s="375"/>
      <c r="BU12" s="375">
        <f t="shared" si="4"/>
        <v>0</v>
      </c>
      <c r="BV12" s="377">
        <f t="shared" si="5"/>
        <v>0</v>
      </c>
    </row>
    <row r="13" spans="1:74" x14ac:dyDescent="0.25">
      <c r="A13" s="937"/>
      <c r="B13" s="38">
        <v>22112</v>
      </c>
      <c r="C13" s="38" t="s">
        <v>159</v>
      </c>
      <c r="D13" s="38" t="s">
        <v>35</v>
      </c>
      <c r="E13" s="229">
        <f>0.1*100000</f>
        <v>10000</v>
      </c>
      <c r="F13" s="522">
        <f>BJ13</f>
        <v>480</v>
      </c>
      <c r="G13" s="521">
        <f t="shared" si="23"/>
        <v>4800000</v>
      </c>
      <c r="H13" s="231">
        <f>G13*0.2</f>
        <v>960000</v>
      </c>
      <c r="I13" s="521">
        <f>G13*0.8</f>
        <v>3840000</v>
      </c>
      <c r="J13" s="521"/>
      <c r="K13" s="521"/>
      <c r="L13" s="521">
        <f>G13*0</f>
        <v>0</v>
      </c>
      <c r="M13" s="521"/>
      <c r="N13" s="521"/>
      <c r="O13" s="521"/>
      <c r="P13" s="521"/>
      <c r="Q13" s="521"/>
      <c r="R13" s="272"/>
      <c r="S13" s="272">
        <f>F13</f>
        <v>480</v>
      </c>
      <c r="T13" s="272"/>
      <c r="U13" s="272"/>
      <c r="V13" s="274">
        <f>R13*10000</f>
        <v>0</v>
      </c>
      <c r="W13" s="274">
        <f>S13*E13</f>
        <v>4800000</v>
      </c>
      <c r="X13" s="274">
        <f>T13*10000</f>
        <v>0</v>
      </c>
      <c r="Y13" s="274">
        <f>U13*10000</f>
        <v>0</v>
      </c>
      <c r="Z13" s="399">
        <v>55</v>
      </c>
      <c r="AA13" s="76">
        <f t="shared" si="6"/>
        <v>550000</v>
      </c>
      <c r="AB13" s="633">
        <v>10</v>
      </c>
      <c r="AC13" s="76">
        <f t="shared" si="7"/>
        <v>100000</v>
      </c>
      <c r="AD13" s="399">
        <v>45</v>
      </c>
      <c r="AE13" s="76">
        <f t="shared" si="8"/>
        <v>450000</v>
      </c>
      <c r="AF13" s="633">
        <v>30</v>
      </c>
      <c r="AG13" s="76">
        <f t="shared" si="9"/>
        <v>300000</v>
      </c>
      <c r="AH13" s="399">
        <v>25</v>
      </c>
      <c r="AI13" s="76">
        <f t="shared" si="10"/>
        <v>250000</v>
      </c>
      <c r="AJ13" s="633">
        <v>10</v>
      </c>
      <c r="AK13" s="76">
        <f t="shared" si="11"/>
        <v>100000</v>
      </c>
      <c r="AL13" s="399">
        <v>30</v>
      </c>
      <c r="AM13" s="76">
        <f t="shared" si="12"/>
        <v>300000</v>
      </c>
      <c r="AN13" s="399">
        <v>30</v>
      </c>
      <c r="AO13" s="76">
        <f t="shared" si="13"/>
        <v>300000</v>
      </c>
      <c r="AP13" s="399">
        <v>20</v>
      </c>
      <c r="AQ13" s="76">
        <f t="shared" si="14"/>
        <v>200000</v>
      </c>
      <c r="AR13" s="399">
        <v>20</v>
      </c>
      <c r="AS13" s="76">
        <f t="shared" si="15"/>
        <v>200000</v>
      </c>
      <c r="AT13" s="633">
        <v>10</v>
      </c>
      <c r="AU13" s="76">
        <f t="shared" si="16"/>
        <v>100000</v>
      </c>
      <c r="AV13" s="753">
        <v>15</v>
      </c>
      <c r="AW13" s="76">
        <f t="shared" si="1"/>
        <v>150000</v>
      </c>
      <c r="AX13" s="399">
        <v>20</v>
      </c>
      <c r="AY13" s="76">
        <f t="shared" si="17"/>
        <v>200000</v>
      </c>
      <c r="AZ13" s="399">
        <v>30</v>
      </c>
      <c r="BA13" s="76">
        <f t="shared" si="18"/>
        <v>300000</v>
      </c>
      <c r="BB13" s="633">
        <v>15</v>
      </c>
      <c r="BC13" s="76">
        <f t="shared" si="19"/>
        <v>150000</v>
      </c>
      <c r="BD13" s="399">
        <v>60</v>
      </c>
      <c r="BE13" s="76">
        <f t="shared" si="20"/>
        <v>600000</v>
      </c>
      <c r="BF13" s="399">
        <v>55</v>
      </c>
      <c r="BG13" s="76">
        <f t="shared" si="21"/>
        <v>550000</v>
      </c>
      <c r="BH13" s="399">
        <v>0</v>
      </c>
      <c r="BI13" s="76">
        <f t="shared" si="22"/>
        <v>0</v>
      </c>
      <c r="BJ13" s="53">
        <f t="shared" ref="BJ13:BJ18" si="24">Z13+AB13+AD13+AF13+AH13+AL13+AP13+AR13+AZ13+BB13+BD13+BF13+BH13+AJ13+AT13+AV13+AX13+AN13</f>
        <v>480</v>
      </c>
      <c r="BK13" s="53">
        <f t="shared" si="2"/>
        <v>4800000</v>
      </c>
      <c r="BL13" s="327" t="s">
        <v>467</v>
      </c>
      <c r="BN13" s="375"/>
      <c r="BO13" s="375">
        <f>G13</f>
        <v>4800000</v>
      </c>
      <c r="BP13" s="375"/>
      <c r="BQ13" s="375"/>
      <c r="BR13" s="375">
        <f t="shared" si="3"/>
        <v>4800000</v>
      </c>
      <c r="BS13" s="375"/>
      <c r="BT13" s="375"/>
      <c r="BU13" s="375">
        <f t="shared" si="4"/>
        <v>0</v>
      </c>
      <c r="BV13" s="377">
        <f t="shared" si="5"/>
        <v>4800000</v>
      </c>
    </row>
    <row r="14" spans="1:74" x14ac:dyDescent="0.25">
      <c r="A14" s="937"/>
      <c r="B14" s="38">
        <v>22113</v>
      </c>
      <c r="C14" s="38" t="s">
        <v>160</v>
      </c>
      <c r="D14" s="38" t="s">
        <v>102</v>
      </c>
      <c r="E14" s="229">
        <f>0.1*100000</f>
        <v>10000</v>
      </c>
      <c r="F14" s="522">
        <f>BJ14</f>
        <v>255</v>
      </c>
      <c r="G14" s="231">
        <f t="shared" si="23"/>
        <v>2550000</v>
      </c>
      <c r="H14" s="231">
        <f>G14*0.2</f>
        <v>510000</v>
      </c>
      <c r="I14" s="521">
        <f>G14*0.8</f>
        <v>2040000</v>
      </c>
      <c r="J14" s="231"/>
      <c r="K14" s="231"/>
      <c r="L14" s="521">
        <f>G14*0</f>
        <v>0</v>
      </c>
      <c r="M14" s="231"/>
      <c r="N14" s="231"/>
      <c r="O14" s="521"/>
      <c r="P14" s="521"/>
      <c r="Q14" s="521"/>
      <c r="R14" s="272"/>
      <c r="S14" s="272">
        <f>F14</f>
        <v>255</v>
      </c>
      <c r="T14" s="272"/>
      <c r="U14" s="272"/>
      <c r="V14" s="274">
        <f>R14*10000</f>
        <v>0</v>
      </c>
      <c r="W14" s="274">
        <f>S14*E14</f>
        <v>2550000</v>
      </c>
      <c r="X14" s="274">
        <f>T14*10000</f>
        <v>0</v>
      </c>
      <c r="Y14" s="274">
        <f>U14*10000</f>
        <v>0</v>
      </c>
      <c r="Z14" s="399">
        <v>30</v>
      </c>
      <c r="AA14" s="76">
        <f t="shared" si="6"/>
        <v>300000</v>
      </c>
      <c r="AB14" s="633">
        <v>0</v>
      </c>
      <c r="AC14" s="76">
        <f t="shared" si="7"/>
        <v>0</v>
      </c>
      <c r="AD14" s="633">
        <v>20</v>
      </c>
      <c r="AE14" s="76">
        <f t="shared" si="8"/>
        <v>200000</v>
      </c>
      <c r="AF14" s="399">
        <v>20</v>
      </c>
      <c r="AG14" s="76">
        <f t="shared" si="9"/>
        <v>200000</v>
      </c>
      <c r="AH14" s="399">
        <v>20</v>
      </c>
      <c r="AI14" s="76">
        <f t="shared" si="10"/>
        <v>200000</v>
      </c>
      <c r="AJ14" s="633">
        <v>5</v>
      </c>
      <c r="AK14" s="76">
        <f t="shared" si="11"/>
        <v>50000</v>
      </c>
      <c r="AL14" s="754">
        <v>10</v>
      </c>
      <c r="AM14" s="76">
        <f t="shared" si="12"/>
        <v>100000</v>
      </c>
      <c r="AN14" s="753">
        <v>0</v>
      </c>
      <c r="AO14" s="76">
        <f t="shared" si="13"/>
        <v>0</v>
      </c>
      <c r="AP14" s="399">
        <v>10</v>
      </c>
      <c r="AQ14" s="76">
        <f t="shared" si="14"/>
        <v>100000</v>
      </c>
      <c r="AR14" s="399">
        <v>20</v>
      </c>
      <c r="AS14" s="76">
        <f t="shared" si="15"/>
        <v>200000</v>
      </c>
      <c r="AT14" s="633">
        <v>0</v>
      </c>
      <c r="AU14" s="76">
        <f t="shared" si="16"/>
        <v>0</v>
      </c>
      <c r="AV14" s="399">
        <v>30</v>
      </c>
      <c r="AW14" s="76">
        <f t="shared" si="1"/>
        <v>300000</v>
      </c>
      <c r="AX14" s="399">
        <v>20</v>
      </c>
      <c r="AY14" s="76">
        <f t="shared" si="17"/>
        <v>200000</v>
      </c>
      <c r="AZ14" s="633">
        <v>0</v>
      </c>
      <c r="BA14" s="76">
        <f t="shared" si="18"/>
        <v>0</v>
      </c>
      <c r="BB14" s="633">
        <v>10</v>
      </c>
      <c r="BC14" s="76">
        <f t="shared" si="19"/>
        <v>100000</v>
      </c>
      <c r="BD14" s="399">
        <v>40</v>
      </c>
      <c r="BE14" s="76">
        <f t="shared" si="20"/>
        <v>400000</v>
      </c>
      <c r="BF14" s="399">
        <v>20</v>
      </c>
      <c r="BG14" s="76">
        <f t="shared" si="21"/>
        <v>200000</v>
      </c>
      <c r="BH14" s="520">
        <v>0</v>
      </c>
      <c r="BI14" s="76">
        <f t="shared" si="22"/>
        <v>0</v>
      </c>
      <c r="BJ14" s="53">
        <f t="shared" si="24"/>
        <v>255</v>
      </c>
      <c r="BK14" s="53">
        <f t="shared" si="2"/>
        <v>2550000</v>
      </c>
      <c r="BL14" s="327" t="s">
        <v>467</v>
      </c>
      <c r="BN14" s="375"/>
      <c r="BO14" s="375"/>
      <c r="BP14" s="375">
        <f>G14</f>
        <v>2550000</v>
      </c>
      <c r="BQ14" s="375"/>
      <c r="BR14" s="375">
        <f t="shared" si="3"/>
        <v>2550000</v>
      </c>
      <c r="BS14" s="375"/>
      <c r="BT14" s="375"/>
      <c r="BU14" s="375">
        <f t="shared" si="4"/>
        <v>0</v>
      </c>
      <c r="BV14" s="377">
        <f t="shared" si="5"/>
        <v>2550000</v>
      </c>
    </row>
    <row r="15" spans="1:74" ht="31.5" x14ac:dyDescent="0.25">
      <c r="A15" s="937"/>
      <c r="B15" s="38">
        <v>22114</v>
      </c>
      <c r="C15" s="38" t="s">
        <v>839</v>
      </c>
      <c r="D15" s="38" t="s">
        <v>765</v>
      </c>
      <c r="E15" s="231">
        <v>15000</v>
      </c>
      <c r="F15" s="522">
        <f>BJ15</f>
        <v>265</v>
      </c>
      <c r="G15" s="231">
        <f t="shared" si="23"/>
        <v>3975000</v>
      </c>
      <c r="H15" s="231">
        <f>G15*0.2</f>
        <v>795000</v>
      </c>
      <c r="I15" s="521">
        <f>G15*0.8</f>
        <v>3180000</v>
      </c>
      <c r="J15" s="231"/>
      <c r="K15" s="231"/>
      <c r="L15" s="521">
        <f>G15*0</f>
        <v>0</v>
      </c>
      <c r="M15" s="231"/>
      <c r="N15" s="231"/>
      <c r="O15" s="521"/>
      <c r="P15" s="521"/>
      <c r="Q15" s="521"/>
      <c r="R15" s="272"/>
      <c r="S15" s="272">
        <f>F15</f>
        <v>265</v>
      </c>
      <c r="T15" s="272"/>
      <c r="U15" s="272"/>
      <c r="V15" s="274">
        <f>R15*5000</f>
        <v>0</v>
      </c>
      <c r="W15" s="274">
        <f>S15*E15</f>
        <v>3975000</v>
      </c>
      <c r="X15" s="274">
        <f>T15*5000</f>
        <v>0</v>
      </c>
      <c r="Y15" s="274">
        <f>U15*5000</f>
        <v>0</v>
      </c>
      <c r="Z15" s="399">
        <v>15</v>
      </c>
      <c r="AA15" s="76">
        <f t="shared" si="6"/>
        <v>225000</v>
      </c>
      <c r="AB15" s="399">
        <v>20</v>
      </c>
      <c r="AC15" s="76">
        <f t="shared" si="7"/>
        <v>300000</v>
      </c>
      <c r="AD15" s="399">
        <v>15</v>
      </c>
      <c r="AE15" s="76">
        <f t="shared" si="8"/>
        <v>225000</v>
      </c>
      <c r="AF15" s="399">
        <v>10</v>
      </c>
      <c r="AG15" s="76">
        <f t="shared" si="9"/>
        <v>150000</v>
      </c>
      <c r="AH15" s="399">
        <v>20</v>
      </c>
      <c r="AI15" s="76">
        <f t="shared" si="10"/>
        <v>300000</v>
      </c>
      <c r="AJ15" s="399">
        <v>10</v>
      </c>
      <c r="AK15" s="76">
        <f t="shared" si="11"/>
        <v>150000</v>
      </c>
      <c r="AL15" s="399">
        <v>30</v>
      </c>
      <c r="AM15" s="76">
        <f t="shared" si="12"/>
        <v>450000</v>
      </c>
      <c r="AN15" s="399">
        <v>10</v>
      </c>
      <c r="AO15" s="76">
        <f t="shared" si="13"/>
        <v>150000</v>
      </c>
      <c r="AP15" s="399">
        <v>5</v>
      </c>
      <c r="AQ15" s="76">
        <f t="shared" si="14"/>
        <v>75000</v>
      </c>
      <c r="AR15" s="399">
        <v>20</v>
      </c>
      <c r="AS15" s="76">
        <f t="shared" si="15"/>
        <v>300000</v>
      </c>
      <c r="AT15" s="399">
        <v>20</v>
      </c>
      <c r="AU15" s="76">
        <f t="shared" si="16"/>
        <v>300000</v>
      </c>
      <c r="AV15" s="399">
        <v>10</v>
      </c>
      <c r="AW15" s="76">
        <f t="shared" si="1"/>
        <v>150000</v>
      </c>
      <c r="AX15" s="399">
        <v>10</v>
      </c>
      <c r="AY15" s="76">
        <f t="shared" si="17"/>
        <v>150000</v>
      </c>
      <c r="AZ15" s="399">
        <v>20</v>
      </c>
      <c r="BA15" s="76">
        <f t="shared" si="18"/>
        <v>300000</v>
      </c>
      <c r="BB15" s="633">
        <v>20</v>
      </c>
      <c r="BC15" s="76">
        <f t="shared" si="19"/>
        <v>300000</v>
      </c>
      <c r="BD15" s="399">
        <v>10</v>
      </c>
      <c r="BE15" s="76">
        <f t="shared" si="20"/>
        <v>150000</v>
      </c>
      <c r="BF15" s="399">
        <v>20</v>
      </c>
      <c r="BG15" s="76">
        <f t="shared" si="21"/>
        <v>300000</v>
      </c>
      <c r="BH15" s="399">
        <v>0</v>
      </c>
      <c r="BI15" s="76">
        <f t="shared" si="22"/>
        <v>0</v>
      </c>
      <c r="BJ15" s="53">
        <f t="shared" si="24"/>
        <v>265</v>
      </c>
      <c r="BK15" s="53">
        <f t="shared" si="2"/>
        <v>3975000</v>
      </c>
      <c r="BL15" s="327" t="s">
        <v>467</v>
      </c>
      <c r="BN15" s="375"/>
      <c r="BO15" s="375"/>
      <c r="BP15" s="375">
        <f>G15</f>
        <v>3975000</v>
      </c>
      <c r="BQ15" s="375"/>
      <c r="BR15" s="375">
        <f t="shared" si="3"/>
        <v>3975000</v>
      </c>
      <c r="BS15" s="375"/>
      <c r="BT15" s="375"/>
      <c r="BU15" s="375">
        <f t="shared" si="4"/>
        <v>0</v>
      </c>
      <c r="BV15" s="377">
        <f t="shared" si="5"/>
        <v>3975000</v>
      </c>
    </row>
    <row r="16" spans="1:74" x14ac:dyDescent="0.25">
      <c r="A16" s="937"/>
      <c r="B16" s="38"/>
      <c r="C16" s="38" t="s">
        <v>893</v>
      </c>
      <c r="D16" s="38"/>
      <c r="E16" s="231">
        <v>300000</v>
      </c>
      <c r="F16" s="522">
        <f>BJ16</f>
        <v>17</v>
      </c>
      <c r="G16" s="231">
        <f t="shared" si="23"/>
        <v>5100000</v>
      </c>
      <c r="H16" s="231">
        <f>G16*0.2</f>
        <v>1020000</v>
      </c>
      <c r="I16" s="521">
        <f>G16*0.8</f>
        <v>4080000</v>
      </c>
      <c r="J16" s="231"/>
      <c r="K16" s="231"/>
      <c r="L16" s="521"/>
      <c r="M16" s="231"/>
      <c r="N16" s="231"/>
      <c r="O16" s="521"/>
      <c r="P16" s="521"/>
      <c r="Q16" s="521"/>
      <c r="R16" s="272"/>
      <c r="S16" s="272"/>
      <c r="T16" s="272">
        <v>9</v>
      </c>
      <c r="U16" s="272">
        <v>8</v>
      </c>
      <c r="V16" s="274">
        <f t="shared" ref="V16:V17" si="25">R16*D16</f>
        <v>0</v>
      </c>
      <c r="W16" s="274">
        <f t="shared" ref="W16:W17" si="26">S16*E16</f>
        <v>0</v>
      </c>
      <c r="X16" s="274">
        <f>T16*E16</f>
        <v>2700000</v>
      </c>
      <c r="Y16" s="274">
        <f>U16*E16</f>
        <v>2400000</v>
      </c>
      <c r="Z16" s="399">
        <v>1</v>
      </c>
      <c r="AA16" s="76">
        <f t="shared" si="6"/>
        <v>300000</v>
      </c>
      <c r="AB16" s="399">
        <v>1</v>
      </c>
      <c r="AC16" s="76">
        <f t="shared" si="7"/>
        <v>300000</v>
      </c>
      <c r="AD16" s="399">
        <v>1</v>
      </c>
      <c r="AE16" s="76">
        <f t="shared" si="8"/>
        <v>300000</v>
      </c>
      <c r="AF16" s="399">
        <v>1</v>
      </c>
      <c r="AG16" s="76">
        <f t="shared" si="9"/>
        <v>300000</v>
      </c>
      <c r="AH16" s="399">
        <v>1</v>
      </c>
      <c r="AI16" s="76">
        <f t="shared" si="10"/>
        <v>300000</v>
      </c>
      <c r="AJ16" s="399">
        <v>1</v>
      </c>
      <c r="AK16" s="76">
        <f t="shared" si="11"/>
        <v>300000</v>
      </c>
      <c r="AL16" s="399">
        <v>1</v>
      </c>
      <c r="AM16" s="76">
        <f t="shared" si="12"/>
        <v>300000</v>
      </c>
      <c r="AN16" s="399">
        <v>1</v>
      </c>
      <c r="AO16" s="76">
        <f t="shared" si="13"/>
        <v>300000</v>
      </c>
      <c r="AP16" s="399">
        <v>1</v>
      </c>
      <c r="AQ16" s="76">
        <f t="shared" si="14"/>
        <v>300000</v>
      </c>
      <c r="AR16" s="399">
        <v>1</v>
      </c>
      <c r="AS16" s="76">
        <f t="shared" si="15"/>
        <v>300000</v>
      </c>
      <c r="AT16" s="399">
        <v>1</v>
      </c>
      <c r="AU16" s="76">
        <f t="shared" si="16"/>
        <v>300000</v>
      </c>
      <c r="AV16" s="399">
        <v>1</v>
      </c>
      <c r="AW16" s="76">
        <f t="shared" si="1"/>
        <v>300000</v>
      </c>
      <c r="AX16" s="399">
        <v>1</v>
      </c>
      <c r="AY16" s="76">
        <f t="shared" si="17"/>
        <v>300000</v>
      </c>
      <c r="AZ16" s="399">
        <v>1</v>
      </c>
      <c r="BA16" s="76">
        <f t="shared" si="18"/>
        <v>300000</v>
      </c>
      <c r="BB16" s="399">
        <v>1</v>
      </c>
      <c r="BC16" s="76">
        <f t="shared" si="19"/>
        <v>300000</v>
      </c>
      <c r="BD16" s="399">
        <v>1</v>
      </c>
      <c r="BE16" s="76">
        <f t="shared" si="20"/>
        <v>300000</v>
      </c>
      <c r="BF16" s="399">
        <v>1</v>
      </c>
      <c r="BG16" s="76">
        <f t="shared" si="21"/>
        <v>300000</v>
      </c>
      <c r="BH16" s="399">
        <v>0</v>
      </c>
      <c r="BI16" s="76">
        <f t="shared" si="22"/>
        <v>0</v>
      </c>
      <c r="BJ16" s="53">
        <f t="shared" si="24"/>
        <v>17</v>
      </c>
      <c r="BK16" s="53">
        <f t="shared" si="2"/>
        <v>5100000</v>
      </c>
      <c r="BL16" s="327" t="s">
        <v>467</v>
      </c>
      <c r="BN16" s="375">
        <f>G16</f>
        <v>5100000</v>
      </c>
      <c r="BO16" s="375"/>
      <c r="BP16" s="375"/>
      <c r="BQ16" s="375"/>
      <c r="BR16" s="375">
        <f t="shared" si="3"/>
        <v>5100000</v>
      </c>
      <c r="BS16" s="375"/>
      <c r="BT16" s="375"/>
      <c r="BU16" s="375"/>
      <c r="BV16" s="377">
        <f t="shared" si="5"/>
        <v>5100000</v>
      </c>
    </row>
    <row r="17" spans="1:74" ht="31.5" x14ac:dyDescent="0.25">
      <c r="A17" s="937"/>
      <c r="B17" s="38"/>
      <c r="C17" s="685" t="s">
        <v>894</v>
      </c>
      <c r="D17" s="38"/>
      <c r="E17" s="231">
        <v>30000</v>
      </c>
      <c r="F17" s="522">
        <f>BJ17</f>
        <v>0</v>
      </c>
      <c r="G17" s="231">
        <f t="shared" si="23"/>
        <v>0</v>
      </c>
      <c r="H17" s="231">
        <f>G17*0.2</f>
        <v>0</v>
      </c>
      <c r="I17" s="521">
        <f>G17*0.8</f>
        <v>0</v>
      </c>
      <c r="J17" s="231"/>
      <c r="K17" s="231"/>
      <c r="L17" s="521"/>
      <c r="M17" s="231"/>
      <c r="N17" s="231"/>
      <c r="O17" s="521"/>
      <c r="P17" s="521"/>
      <c r="Q17" s="521"/>
      <c r="R17" s="272"/>
      <c r="S17" s="272"/>
      <c r="T17" s="272"/>
      <c r="U17" s="272">
        <f>F17</f>
        <v>0</v>
      </c>
      <c r="V17" s="274">
        <f t="shared" si="25"/>
        <v>0</v>
      </c>
      <c r="W17" s="274">
        <f t="shared" si="26"/>
        <v>0</v>
      </c>
      <c r="X17" s="274">
        <f t="shared" ref="X17" si="27">T17*F17</f>
        <v>0</v>
      </c>
      <c r="Y17" s="274">
        <f>U17*E17</f>
        <v>0</v>
      </c>
      <c r="Z17" s="399"/>
      <c r="AA17" s="76"/>
      <c r="AB17" s="399"/>
      <c r="AC17" s="76"/>
      <c r="AD17" s="399"/>
      <c r="AE17" s="76"/>
      <c r="AF17" s="399"/>
      <c r="AG17" s="76"/>
      <c r="AH17" s="399"/>
      <c r="AI17" s="76"/>
      <c r="AJ17" s="399"/>
      <c r="AK17" s="76"/>
      <c r="AL17" s="399">
        <v>0</v>
      </c>
      <c r="AM17" s="76">
        <f t="shared" si="12"/>
        <v>0</v>
      </c>
      <c r="AN17" s="399"/>
      <c r="AO17" s="76"/>
      <c r="AP17" s="399">
        <v>0</v>
      </c>
      <c r="AQ17" s="76">
        <f t="shared" si="14"/>
        <v>0</v>
      </c>
      <c r="AR17" s="399"/>
      <c r="AS17" s="76"/>
      <c r="AT17" s="399"/>
      <c r="AU17" s="76"/>
      <c r="AV17" s="399"/>
      <c r="AW17" s="76"/>
      <c r="AX17" s="399"/>
      <c r="AY17" s="76"/>
      <c r="AZ17" s="399"/>
      <c r="BA17" s="76"/>
      <c r="BB17" s="399"/>
      <c r="BC17" s="76"/>
      <c r="BD17" s="399"/>
      <c r="BE17" s="76"/>
      <c r="BF17" s="399"/>
      <c r="BG17" s="76"/>
      <c r="BH17" s="399"/>
      <c r="BI17" s="76"/>
      <c r="BJ17" s="53">
        <f t="shared" si="24"/>
        <v>0</v>
      </c>
      <c r="BK17" s="53">
        <f t="shared" si="2"/>
        <v>0</v>
      </c>
      <c r="BL17" s="327" t="s">
        <v>467</v>
      </c>
      <c r="BN17" s="375"/>
      <c r="BO17" s="375"/>
      <c r="BP17" s="375">
        <f>G17</f>
        <v>0</v>
      </c>
      <c r="BQ17" s="375"/>
      <c r="BR17" s="375">
        <f t="shared" si="3"/>
        <v>0</v>
      </c>
      <c r="BS17" s="375"/>
      <c r="BT17" s="375"/>
      <c r="BU17" s="375"/>
      <c r="BV17" s="377">
        <f t="shared" si="5"/>
        <v>0</v>
      </c>
    </row>
    <row r="18" spans="1:74" x14ac:dyDescent="0.25">
      <c r="A18" s="937"/>
      <c r="B18" s="280"/>
      <c r="C18" s="280"/>
      <c r="D18" s="280"/>
      <c r="E18" s="391"/>
      <c r="F18" s="523">
        <f>SUM(F13:F17)</f>
        <v>1017</v>
      </c>
      <c r="G18" s="523">
        <f t="shared" ref="G18:I18" si="28">SUM(G13:G17)</f>
        <v>16425000</v>
      </c>
      <c r="H18" s="523">
        <f t="shared" si="28"/>
        <v>3285000</v>
      </c>
      <c r="I18" s="523">
        <f t="shared" si="28"/>
        <v>13140000</v>
      </c>
      <c r="J18" s="523">
        <f t="shared" ref="J18:BI18" si="29">SUM(J13:J16)</f>
        <v>0</v>
      </c>
      <c r="K18" s="523">
        <f t="shared" si="29"/>
        <v>0</v>
      </c>
      <c r="L18" s="523">
        <f t="shared" si="29"/>
        <v>0</v>
      </c>
      <c r="M18" s="523">
        <f t="shared" si="29"/>
        <v>0</v>
      </c>
      <c r="N18" s="523">
        <f t="shared" si="29"/>
        <v>0</v>
      </c>
      <c r="O18" s="523">
        <f t="shared" si="29"/>
        <v>0</v>
      </c>
      <c r="P18" s="523">
        <f t="shared" si="29"/>
        <v>0</v>
      </c>
      <c r="Q18" s="523">
        <f t="shared" si="29"/>
        <v>0</v>
      </c>
      <c r="R18" s="523">
        <f t="shared" si="29"/>
        <v>0</v>
      </c>
      <c r="S18" s="523">
        <f t="shared" si="29"/>
        <v>1000</v>
      </c>
      <c r="T18" s="523">
        <f t="shared" si="29"/>
        <v>9</v>
      </c>
      <c r="U18" s="523">
        <f>SUM(U13:U17)</f>
        <v>8</v>
      </c>
      <c r="V18" s="523">
        <f t="shared" si="29"/>
        <v>0</v>
      </c>
      <c r="W18" s="523">
        <f t="shared" si="29"/>
        <v>11325000</v>
      </c>
      <c r="X18" s="523">
        <f t="shared" si="29"/>
        <v>2700000</v>
      </c>
      <c r="Y18" s="523">
        <f>SUM(Y13:Y17)</f>
        <v>2400000</v>
      </c>
      <c r="Z18" s="523">
        <f t="shared" si="29"/>
        <v>101</v>
      </c>
      <c r="AA18" s="523">
        <f t="shared" si="29"/>
        <v>1375000</v>
      </c>
      <c r="AB18" s="523">
        <f t="shared" si="29"/>
        <v>31</v>
      </c>
      <c r="AC18" s="523">
        <f t="shared" si="29"/>
        <v>700000</v>
      </c>
      <c r="AD18" s="523">
        <f t="shared" si="29"/>
        <v>81</v>
      </c>
      <c r="AE18" s="523">
        <f t="shared" si="29"/>
        <v>1175000</v>
      </c>
      <c r="AF18" s="523">
        <f t="shared" si="29"/>
        <v>61</v>
      </c>
      <c r="AG18" s="523">
        <f t="shared" si="29"/>
        <v>950000</v>
      </c>
      <c r="AH18" s="523">
        <f t="shared" si="29"/>
        <v>66</v>
      </c>
      <c r="AI18" s="523">
        <f t="shared" si="29"/>
        <v>1050000</v>
      </c>
      <c r="AJ18" s="523">
        <f t="shared" si="29"/>
        <v>26</v>
      </c>
      <c r="AK18" s="523">
        <f t="shared" si="29"/>
        <v>600000</v>
      </c>
      <c r="AL18" s="523">
        <f t="shared" si="29"/>
        <v>71</v>
      </c>
      <c r="AM18" s="523">
        <f>SUM(AM13:AM17)</f>
        <v>1150000</v>
      </c>
      <c r="AN18" s="523">
        <f t="shared" si="29"/>
        <v>41</v>
      </c>
      <c r="AO18" s="523">
        <f t="shared" si="29"/>
        <v>750000</v>
      </c>
      <c r="AP18" s="523">
        <f>SUM(AP13:AP17)</f>
        <v>36</v>
      </c>
      <c r="AQ18" s="523">
        <f>SUM(AQ13:AQ17)</f>
        <v>675000</v>
      </c>
      <c r="AR18" s="523">
        <f t="shared" si="29"/>
        <v>61</v>
      </c>
      <c r="AS18" s="523">
        <f t="shared" si="29"/>
        <v>1000000</v>
      </c>
      <c r="AT18" s="523">
        <f t="shared" si="29"/>
        <v>31</v>
      </c>
      <c r="AU18" s="523">
        <f t="shared" si="29"/>
        <v>700000</v>
      </c>
      <c r="AV18" s="523">
        <f t="shared" si="29"/>
        <v>56</v>
      </c>
      <c r="AW18" s="523">
        <f t="shared" si="29"/>
        <v>900000</v>
      </c>
      <c r="AX18" s="523">
        <f t="shared" si="29"/>
        <v>51</v>
      </c>
      <c r="AY18" s="523">
        <f t="shared" si="29"/>
        <v>850000</v>
      </c>
      <c r="AZ18" s="523">
        <f t="shared" si="29"/>
        <v>51</v>
      </c>
      <c r="BA18" s="523">
        <f t="shared" si="29"/>
        <v>900000</v>
      </c>
      <c r="BB18" s="523">
        <f t="shared" si="29"/>
        <v>46</v>
      </c>
      <c r="BC18" s="523">
        <f t="shared" si="29"/>
        <v>850000</v>
      </c>
      <c r="BD18" s="523">
        <f t="shared" si="29"/>
        <v>111</v>
      </c>
      <c r="BE18" s="523">
        <f t="shared" si="29"/>
        <v>1450000</v>
      </c>
      <c r="BF18" s="523">
        <f t="shared" si="29"/>
        <v>96</v>
      </c>
      <c r="BG18" s="523">
        <f t="shared" si="29"/>
        <v>1350000</v>
      </c>
      <c r="BH18" s="523">
        <f t="shared" si="29"/>
        <v>0</v>
      </c>
      <c r="BI18" s="523">
        <f t="shared" si="29"/>
        <v>0</v>
      </c>
      <c r="BJ18" s="523">
        <f t="shared" si="24"/>
        <v>1017</v>
      </c>
      <c r="BK18" s="523">
        <f>AA18+AC18+AE18+AG18+AI18+AM18+AQ18+AS18+BA18+BC18+BE18+BG18+BI18+AK18+AU18+AW18+AY18+AO18</f>
        <v>16425000</v>
      </c>
      <c r="BL18" s="373"/>
      <c r="BN18" s="491">
        <f>SUM(BN10:BN16)</f>
        <v>5100000</v>
      </c>
      <c r="BO18" s="491">
        <f t="shared" ref="BO18:BU18" si="30">SUM(BO12:BO15)</f>
        <v>4800000</v>
      </c>
      <c r="BP18" s="491">
        <f>SUM(BP12:BP17)</f>
        <v>6525000</v>
      </c>
      <c r="BQ18" s="491">
        <f t="shared" si="30"/>
        <v>0</v>
      </c>
      <c r="BR18" s="491">
        <f>SUM(BR10:BR17)</f>
        <v>16425000</v>
      </c>
      <c r="BS18" s="491">
        <f t="shared" si="30"/>
        <v>0</v>
      </c>
      <c r="BT18" s="491">
        <f t="shared" si="30"/>
        <v>0</v>
      </c>
      <c r="BU18" s="491">
        <f t="shared" si="30"/>
        <v>0</v>
      </c>
      <c r="BV18" s="524">
        <f t="shared" si="5"/>
        <v>16425000</v>
      </c>
    </row>
    <row r="19" spans="1:74" ht="15" customHeight="1" x14ac:dyDescent="0.25">
      <c r="A19" s="937"/>
      <c r="B19" s="38">
        <v>22120</v>
      </c>
      <c r="C19" s="169" t="s">
        <v>161</v>
      </c>
      <c r="D19" s="525"/>
      <c r="E19" s="526"/>
      <c r="F19" s="526"/>
      <c r="G19" s="526"/>
      <c r="H19" s="527"/>
      <c r="I19" s="527"/>
      <c r="J19" s="527"/>
      <c r="K19" s="527"/>
      <c r="L19" s="527"/>
      <c r="M19" s="527"/>
      <c r="N19" s="527"/>
      <c r="O19" s="527"/>
      <c r="P19" s="526"/>
      <c r="Q19" s="526"/>
      <c r="R19" s="528"/>
      <c r="S19" s="528"/>
      <c r="T19" s="528"/>
      <c r="U19" s="528"/>
      <c r="V19" s="529"/>
      <c r="W19" s="529"/>
      <c r="X19" s="529"/>
      <c r="Y19" s="530"/>
      <c r="Z19" s="399"/>
      <c r="AA19" s="76"/>
      <c r="AB19" s="399"/>
      <c r="AC19" s="76"/>
      <c r="AD19" s="399"/>
      <c r="AE19" s="76"/>
      <c r="AF19" s="399"/>
      <c r="AG19" s="76">
        <f t="shared" si="9"/>
        <v>0</v>
      </c>
      <c r="AH19" s="399"/>
      <c r="AI19" s="76">
        <f t="shared" si="10"/>
        <v>0</v>
      </c>
      <c r="AJ19" s="399"/>
      <c r="AK19" s="76">
        <f>AJ19*E19</f>
        <v>0</v>
      </c>
      <c r="AL19" s="399"/>
      <c r="AM19" s="76">
        <f t="shared" si="12"/>
        <v>0</v>
      </c>
      <c r="AN19" s="399"/>
      <c r="AO19" s="76">
        <f>AN19*G19</f>
        <v>0</v>
      </c>
      <c r="AP19" s="399"/>
      <c r="AQ19" s="76">
        <f t="shared" si="14"/>
        <v>0</v>
      </c>
      <c r="AR19" s="399"/>
      <c r="AS19" s="76">
        <f t="shared" si="15"/>
        <v>0</v>
      </c>
      <c r="AT19" s="399"/>
      <c r="AU19" s="76">
        <f>AT19*E19</f>
        <v>0</v>
      </c>
      <c r="AV19" s="399"/>
      <c r="AW19" s="76">
        <f>AV19*E19</f>
        <v>0</v>
      </c>
      <c r="AX19" s="399"/>
      <c r="AY19" s="76">
        <f>AX19*E19</f>
        <v>0</v>
      </c>
      <c r="AZ19" s="399"/>
      <c r="BA19" s="76">
        <f t="shared" si="18"/>
        <v>0</v>
      </c>
      <c r="BB19" s="399"/>
      <c r="BC19" s="76">
        <f t="shared" si="19"/>
        <v>0</v>
      </c>
      <c r="BD19" s="399"/>
      <c r="BE19" s="76">
        <f t="shared" si="20"/>
        <v>0</v>
      </c>
      <c r="BF19" s="399"/>
      <c r="BG19" s="76">
        <f t="shared" si="21"/>
        <v>0</v>
      </c>
      <c r="BH19" s="399"/>
      <c r="BI19" s="76">
        <f t="shared" si="22"/>
        <v>0</v>
      </c>
      <c r="BJ19" s="53">
        <f t="shared" ref="BJ19:BK21" si="31">Z19+AB19+AD19+AF19+AH19+AL19+AP19+AR19+AZ19+BB19+BD19+BF19+BH19+AJ19+AT19+AV19+AX19+AN19</f>
        <v>0</v>
      </c>
      <c r="BK19" s="53">
        <f t="shared" si="31"/>
        <v>0</v>
      </c>
      <c r="BL19" s="373"/>
      <c r="BN19" s="375"/>
      <c r="BO19" s="375"/>
      <c r="BP19" s="375"/>
      <c r="BQ19" s="375"/>
      <c r="BR19" s="375"/>
      <c r="BS19" s="375"/>
      <c r="BT19" s="375"/>
      <c r="BU19" s="375"/>
      <c r="BV19" s="377">
        <f t="shared" si="5"/>
        <v>0</v>
      </c>
    </row>
    <row r="20" spans="1:74" ht="30.75" customHeight="1" x14ac:dyDescent="0.25">
      <c r="A20" s="937"/>
      <c r="B20" s="498"/>
      <c r="C20" s="169" t="s">
        <v>863</v>
      </c>
      <c r="D20" s="38" t="s">
        <v>163</v>
      </c>
      <c r="E20" s="229">
        <v>7000</v>
      </c>
      <c r="F20" s="522">
        <f>BJ20</f>
        <v>334</v>
      </c>
      <c r="G20" s="231">
        <f>E20*F20</f>
        <v>2338000</v>
      </c>
      <c r="H20" s="231">
        <f>G20*0.2</f>
        <v>467600</v>
      </c>
      <c r="I20" s="521">
        <f>G20*0.8</f>
        <v>1870400</v>
      </c>
      <c r="J20" s="231">
        <f>G20*0</f>
        <v>0</v>
      </c>
      <c r="K20" s="231">
        <f>G20*0</f>
        <v>0</v>
      </c>
      <c r="L20" s="231">
        <f>H20*0</f>
        <v>0</v>
      </c>
      <c r="M20" s="231">
        <f>G20*0</f>
        <v>0</v>
      </c>
      <c r="N20" s="231">
        <f>G20*0</f>
        <v>0</v>
      </c>
      <c r="O20" s="521">
        <f>G20*0</f>
        <v>0</v>
      </c>
      <c r="P20" s="521">
        <f>G20*0</f>
        <v>0</v>
      </c>
      <c r="Q20" s="521">
        <f>G20*0</f>
        <v>0</v>
      </c>
      <c r="R20" s="272"/>
      <c r="S20" s="272">
        <f>F20</f>
        <v>334</v>
      </c>
      <c r="T20" s="272"/>
      <c r="U20" s="272"/>
      <c r="V20" s="274">
        <f>R20*1000</f>
        <v>0</v>
      </c>
      <c r="W20" s="274">
        <f>S20*E20</f>
        <v>2338000</v>
      </c>
      <c r="X20" s="274">
        <f>T20*1000</f>
        <v>0</v>
      </c>
      <c r="Y20" s="274">
        <f>U20*1000</f>
        <v>0</v>
      </c>
      <c r="Z20" s="399">
        <v>25</v>
      </c>
      <c r="AA20" s="76">
        <f t="shared" ref="AA20:AA33" si="32">Z20*E20</f>
        <v>175000</v>
      </c>
      <c r="AB20" s="399">
        <v>12</v>
      </c>
      <c r="AC20" s="76">
        <f t="shared" ref="AC20:AC33" si="33">AB20*E20</f>
        <v>84000</v>
      </c>
      <c r="AD20" s="633">
        <v>20</v>
      </c>
      <c r="AE20" s="76">
        <f t="shared" ref="AE20:AE33" si="34">AD20*E20</f>
        <v>140000</v>
      </c>
      <c r="AF20" s="399">
        <v>50</v>
      </c>
      <c r="AG20" s="76">
        <f t="shared" si="9"/>
        <v>350000</v>
      </c>
      <c r="AH20" s="633">
        <v>2</v>
      </c>
      <c r="AI20" s="76">
        <f t="shared" si="10"/>
        <v>14000</v>
      </c>
      <c r="AJ20" s="633">
        <v>20</v>
      </c>
      <c r="AK20" s="76">
        <f>AJ20*E20</f>
        <v>140000</v>
      </c>
      <c r="AL20" s="753">
        <v>10</v>
      </c>
      <c r="AM20" s="76">
        <f t="shared" si="12"/>
        <v>70000</v>
      </c>
      <c r="AN20" s="753">
        <v>25</v>
      </c>
      <c r="AO20" s="76">
        <f>AN20*E20</f>
        <v>175000</v>
      </c>
      <c r="AP20" s="399">
        <v>5</v>
      </c>
      <c r="AQ20" s="76">
        <f t="shared" si="14"/>
        <v>35000</v>
      </c>
      <c r="AR20" s="399">
        <v>15</v>
      </c>
      <c r="AS20" s="76">
        <f t="shared" si="15"/>
        <v>105000</v>
      </c>
      <c r="AT20" s="633">
        <v>10</v>
      </c>
      <c r="AU20" s="76">
        <f>AT20*E20</f>
        <v>70000</v>
      </c>
      <c r="AV20" s="399">
        <v>25</v>
      </c>
      <c r="AW20" s="76">
        <f>AV20*E20</f>
        <v>175000</v>
      </c>
      <c r="AX20" s="633">
        <v>20</v>
      </c>
      <c r="AY20" s="76">
        <f>AX20*E20</f>
        <v>140000</v>
      </c>
      <c r="AZ20" s="753">
        <v>20</v>
      </c>
      <c r="BA20" s="76">
        <f t="shared" si="18"/>
        <v>140000</v>
      </c>
      <c r="BB20" s="633">
        <v>10</v>
      </c>
      <c r="BC20" s="76">
        <f t="shared" si="19"/>
        <v>70000</v>
      </c>
      <c r="BD20" s="633">
        <v>35</v>
      </c>
      <c r="BE20" s="76">
        <f t="shared" si="20"/>
        <v>245000</v>
      </c>
      <c r="BF20" s="633">
        <v>30</v>
      </c>
      <c r="BG20" s="76">
        <f t="shared" si="21"/>
        <v>210000</v>
      </c>
      <c r="BH20" s="399">
        <v>0</v>
      </c>
      <c r="BI20" s="76">
        <f t="shared" si="22"/>
        <v>0</v>
      </c>
      <c r="BJ20" s="53">
        <f t="shared" si="31"/>
        <v>334</v>
      </c>
      <c r="BK20" s="53">
        <f t="shared" si="31"/>
        <v>2338000</v>
      </c>
      <c r="BL20" s="327" t="s">
        <v>467</v>
      </c>
      <c r="BN20" s="375"/>
      <c r="BO20" s="375">
        <f>G20</f>
        <v>2338000</v>
      </c>
      <c r="BP20" s="375"/>
      <c r="BQ20" s="375"/>
      <c r="BR20" s="375">
        <f>BN20+BO20+BP20+BQ20</f>
        <v>2338000</v>
      </c>
      <c r="BS20" s="375"/>
      <c r="BT20" s="375"/>
      <c r="BU20" s="375">
        <f>BS20+BT20</f>
        <v>0</v>
      </c>
      <c r="BV20" s="377">
        <f t="shared" si="5"/>
        <v>2338000</v>
      </c>
    </row>
    <row r="21" spans="1:74" x14ac:dyDescent="0.25">
      <c r="A21" s="937"/>
      <c r="B21" s="498"/>
      <c r="C21" s="169" t="s">
        <v>162</v>
      </c>
      <c r="D21" s="38" t="s">
        <v>164</v>
      </c>
      <c r="E21" s="229">
        <v>0</v>
      </c>
      <c r="F21" s="522">
        <f>BJ21</f>
        <v>0</v>
      </c>
      <c r="G21" s="231">
        <f>E21*F21</f>
        <v>0</v>
      </c>
      <c r="H21" s="231">
        <f>G21*0.2</f>
        <v>0</v>
      </c>
      <c r="I21" s="231">
        <f>G21*0.8</f>
        <v>0</v>
      </c>
      <c r="J21" s="231">
        <f>G21*0</f>
        <v>0</v>
      </c>
      <c r="K21" s="231">
        <f>G21*0</f>
        <v>0</v>
      </c>
      <c r="L21" s="231">
        <f>H21*0</f>
        <v>0</v>
      </c>
      <c r="M21" s="231">
        <f>G21*0</f>
        <v>0</v>
      </c>
      <c r="N21" s="231">
        <f>G21*0</f>
        <v>0</v>
      </c>
      <c r="O21" s="521">
        <f>G21*0</f>
        <v>0</v>
      </c>
      <c r="P21" s="521">
        <f>G21*0</f>
        <v>0</v>
      </c>
      <c r="Q21" s="521">
        <f>G21*0</f>
        <v>0</v>
      </c>
      <c r="R21" s="272">
        <f>F21*0</f>
        <v>0</v>
      </c>
      <c r="S21" s="272">
        <f>F21*0</f>
        <v>0</v>
      </c>
      <c r="T21" s="272">
        <f>F21*0</f>
        <v>0</v>
      </c>
      <c r="U21" s="272"/>
      <c r="V21" s="274">
        <f>R21*E21</f>
        <v>0</v>
      </c>
      <c r="W21" s="274">
        <f>S21*E21</f>
        <v>0</v>
      </c>
      <c r="X21" s="274">
        <f>T21*E21</f>
        <v>0</v>
      </c>
      <c r="Y21" s="274">
        <f>U21*2000</f>
        <v>0</v>
      </c>
      <c r="Z21" s="399">
        <v>0</v>
      </c>
      <c r="AA21" s="76">
        <f t="shared" si="32"/>
        <v>0</v>
      </c>
      <c r="AB21" s="399">
        <v>0</v>
      </c>
      <c r="AC21" s="76">
        <f t="shared" si="33"/>
        <v>0</v>
      </c>
      <c r="AD21" s="399">
        <v>0</v>
      </c>
      <c r="AE21" s="76">
        <f t="shared" si="34"/>
        <v>0</v>
      </c>
      <c r="AF21" s="399">
        <v>0</v>
      </c>
      <c r="AG21" s="76">
        <f t="shared" si="9"/>
        <v>0</v>
      </c>
      <c r="AH21" s="399">
        <v>0</v>
      </c>
      <c r="AI21" s="76">
        <f t="shared" si="10"/>
        <v>0</v>
      </c>
      <c r="AJ21" s="399">
        <v>0</v>
      </c>
      <c r="AK21" s="76">
        <f>AJ21*E21</f>
        <v>0</v>
      </c>
      <c r="AL21" s="399">
        <v>0</v>
      </c>
      <c r="AM21" s="76">
        <f t="shared" si="12"/>
        <v>0</v>
      </c>
      <c r="AN21" s="399">
        <v>0</v>
      </c>
      <c r="AO21" s="76">
        <f>AN21*E21</f>
        <v>0</v>
      </c>
      <c r="AP21" s="399">
        <v>0</v>
      </c>
      <c r="AQ21" s="76">
        <f t="shared" si="14"/>
        <v>0</v>
      </c>
      <c r="AR21" s="399">
        <v>0</v>
      </c>
      <c r="AS21" s="76">
        <f t="shared" si="15"/>
        <v>0</v>
      </c>
      <c r="AT21" s="399">
        <v>0</v>
      </c>
      <c r="AU21" s="76">
        <f>AT21*E21</f>
        <v>0</v>
      </c>
      <c r="AV21" s="399">
        <v>0</v>
      </c>
      <c r="AW21" s="76">
        <f>AV21*E21</f>
        <v>0</v>
      </c>
      <c r="AX21" s="399">
        <v>0</v>
      </c>
      <c r="AY21" s="76">
        <f>AX21*E21</f>
        <v>0</v>
      </c>
      <c r="AZ21" s="399">
        <v>0</v>
      </c>
      <c r="BA21" s="76">
        <f t="shared" si="18"/>
        <v>0</v>
      </c>
      <c r="BB21" s="399">
        <v>0</v>
      </c>
      <c r="BC21" s="76">
        <f t="shared" si="19"/>
        <v>0</v>
      </c>
      <c r="BD21" s="399">
        <v>0</v>
      </c>
      <c r="BE21" s="76">
        <f t="shared" si="20"/>
        <v>0</v>
      </c>
      <c r="BF21" s="399">
        <v>0</v>
      </c>
      <c r="BG21" s="76">
        <f t="shared" si="21"/>
        <v>0</v>
      </c>
      <c r="BH21" s="399">
        <v>0</v>
      </c>
      <c r="BI21" s="76">
        <f t="shared" si="22"/>
        <v>0</v>
      </c>
      <c r="BJ21" s="53">
        <f t="shared" si="31"/>
        <v>0</v>
      </c>
      <c r="BK21" s="53">
        <f t="shared" si="31"/>
        <v>0</v>
      </c>
      <c r="BL21" s="327" t="s">
        <v>467</v>
      </c>
      <c r="BN21" s="375"/>
      <c r="BO21" s="375">
        <f>G21</f>
        <v>0</v>
      </c>
      <c r="BP21" s="375"/>
      <c r="BQ21" s="375"/>
      <c r="BR21" s="375">
        <f>BN21+BO21+BP21+BQ21</f>
        <v>0</v>
      </c>
      <c r="BS21" s="375"/>
      <c r="BT21" s="375"/>
      <c r="BU21" s="375">
        <f>BS21+BT21</f>
        <v>0</v>
      </c>
      <c r="BV21" s="377">
        <f t="shared" si="5"/>
        <v>0</v>
      </c>
    </row>
    <row r="22" spans="1:74" x14ac:dyDescent="0.25">
      <c r="A22" s="937"/>
      <c r="B22" s="280"/>
      <c r="C22" s="280"/>
      <c r="D22" s="280"/>
      <c r="E22" s="391"/>
      <c r="F22" s="391">
        <f>SUM(F20:F21)</f>
        <v>334</v>
      </c>
      <c r="G22" s="491">
        <f>SUM(G20:G21)</f>
        <v>2338000</v>
      </c>
      <c r="H22" s="491">
        <f t="shared" ref="H22:Q22" si="35">SUM(H20:H21)</f>
        <v>467600</v>
      </c>
      <c r="I22" s="491">
        <f t="shared" si="35"/>
        <v>1870400</v>
      </c>
      <c r="J22" s="491">
        <f t="shared" si="35"/>
        <v>0</v>
      </c>
      <c r="K22" s="491">
        <f t="shared" si="35"/>
        <v>0</v>
      </c>
      <c r="L22" s="491">
        <f t="shared" si="35"/>
        <v>0</v>
      </c>
      <c r="M22" s="491">
        <f t="shared" si="35"/>
        <v>0</v>
      </c>
      <c r="N22" s="491">
        <f t="shared" si="35"/>
        <v>0</v>
      </c>
      <c r="O22" s="491">
        <f t="shared" si="35"/>
        <v>0</v>
      </c>
      <c r="P22" s="491">
        <f t="shared" si="35"/>
        <v>0</v>
      </c>
      <c r="Q22" s="491">
        <f t="shared" si="35"/>
        <v>0</v>
      </c>
      <c r="R22" s="391">
        <f t="shared" ref="R22:BK22" si="36">SUM(R20:R21)</f>
        <v>0</v>
      </c>
      <c r="S22" s="391">
        <f t="shared" si="36"/>
        <v>334</v>
      </c>
      <c r="T22" s="391">
        <f t="shared" si="36"/>
        <v>0</v>
      </c>
      <c r="U22" s="391">
        <f t="shared" si="36"/>
        <v>0</v>
      </c>
      <c r="V22" s="491">
        <f t="shared" si="36"/>
        <v>0</v>
      </c>
      <c r="W22" s="491">
        <f t="shared" si="36"/>
        <v>2338000</v>
      </c>
      <c r="X22" s="491">
        <f t="shared" si="36"/>
        <v>0</v>
      </c>
      <c r="Y22" s="491">
        <f t="shared" si="36"/>
        <v>0</v>
      </c>
      <c r="Z22" s="391">
        <f t="shared" si="36"/>
        <v>25</v>
      </c>
      <c r="AA22" s="391">
        <f t="shared" si="36"/>
        <v>175000</v>
      </c>
      <c r="AB22" s="391">
        <f t="shared" si="36"/>
        <v>12</v>
      </c>
      <c r="AC22" s="391">
        <f t="shared" si="36"/>
        <v>84000</v>
      </c>
      <c r="AD22" s="391">
        <f t="shared" si="36"/>
        <v>20</v>
      </c>
      <c r="AE22" s="391">
        <f t="shared" si="36"/>
        <v>140000</v>
      </c>
      <c r="AF22" s="391">
        <f t="shared" si="36"/>
        <v>50</v>
      </c>
      <c r="AG22" s="391">
        <f t="shared" si="36"/>
        <v>350000</v>
      </c>
      <c r="AH22" s="391">
        <f t="shared" si="36"/>
        <v>2</v>
      </c>
      <c r="AI22" s="391">
        <f t="shared" si="36"/>
        <v>14000</v>
      </c>
      <c r="AJ22" s="391">
        <f t="shared" si="36"/>
        <v>20</v>
      </c>
      <c r="AK22" s="391">
        <f t="shared" si="36"/>
        <v>140000</v>
      </c>
      <c r="AL22" s="391">
        <f t="shared" si="36"/>
        <v>10</v>
      </c>
      <c r="AM22" s="391">
        <f t="shared" si="36"/>
        <v>70000</v>
      </c>
      <c r="AN22" s="391">
        <f t="shared" si="36"/>
        <v>25</v>
      </c>
      <c r="AO22" s="391">
        <f t="shared" si="36"/>
        <v>175000</v>
      </c>
      <c r="AP22" s="391">
        <f t="shared" si="36"/>
        <v>5</v>
      </c>
      <c r="AQ22" s="391">
        <f t="shared" si="36"/>
        <v>35000</v>
      </c>
      <c r="AR22" s="391">
        <f t="shared" si="36"/>
        <v>15</v>
      </c>
      <c r="AS22" s="391">
        <f t="shared" si="36"/>
        <v>105000</v>
      </c>
      <c r="AT22" s="391">
        <f t="shared" si="36"/>
        <v>10</v>
      </c>
      <c r="AU22" s="391">
        <f t="shared" si="36"/>
        <v>70000</v>
      </c>
      <c r="AV22" s="391">
        <f t="shared" si="36"/>
        <v>25</v>
      </c>
      <c r="AW22" s="391">
        <f t="shared" si="36"/>
        <v>175000</v>
      </c>
      <c r="AX22" s="391">
        <f t="shared" si="36"/>
        <v>20</v>
      </c>
      <c r="AY22" s="391">
        <f t="shared" si="36"/>
        <v>140000</v>
      </c>
      <c r="AZ22" s="391">
        <f t="shared" si="36"/>
        <v>20</v>
      </c>
      <c r="BA22" s="391">
        <f t="shared" si="36"/>
        <v>140000</v>
      </c>
      <c r="BB22" s="391">
        <f t="shared" si="36"/>
        <v>10</v>
      </c>
      <c r="BC22" s="391">
        <f t="shared" si="36"/>
        <v>70000</v>
      </c>
      <c r="BD22" s="391">
        <f t="shared" si="36"/>
        <v>35</v>
      </c>
      <c r="BE22" s="391">
        <f t="shared" si="36"/>
        <v>245000</v>
      </c>
      <c r="BF22" s="391">
        <f t="shared" si="36"/>
        <v>30</v>
      </c>
      <c r="BG22" s="391">
        <f t="shared" si="36"/>
        <v>210000</v>
      </c>
      <c r="BH22" s="391">
        <f t="shared" si="36"/>
        <v>0</v>
      </c>
      <c r="BI22" s="391">
        <f t="shared" si="36"/>
        <v>0</v>
      </c>
      <c r="BJ22" s="391">
        <f t="shared" si="36"/>
        <v>334</v>
      </c>
      <c r="BK22" s="391">
        <f t="shared" si="36"/>
        <v>2338000</v>
      </c>
      <c r="BL22" s="373"/>
      <c r="BN22" s="491">
        <f t="shared" ref="BN22:BU22" si="37">SUM(BN20:BN21)</f>
        <v>0</v>
      </c>
      <c r="BO22" s="491">
        <f t="shared" si="37"/>
        <v>2338000</v>
      </c>
      <c r="BP22" s="491">
        <f t="shared" si="37"/>
        <v>0</v>
      </c>
      <c r="BQ22" s="491">
        <f t="shared" si="37"/>
        <v>0</v>
      </c>
      <c r="BR22" s="491">
        <f t="shared" si="37"/>
        <v>2338000</v>
      </c>
      <c r="BS22" s="491">
        <f t="shared" si="37"/>
        <v>0</v>
      </c>
      <c r="BT22" s="491">
        <f t="shared" si="37"/>
        <v>0</v>
      </c>
      <c r="BU22" s="491">
        <f t="shared" si="37"/>
        <v>0</v>
      </c>
      <c r="BV22" s="524">
        <f t="shared" si="5"/>
        <v>2338000</v>
      </c>
    </row>
    <row r="23" spans="1:74" ht="31.5" x14ac:dyDescent="0.25">
      <c r="A23" s="937"/>
      <c r="B23" s="38">
        <v>22130</v>
      </c>
      <c r="C23" s="38" t="s">
        <v>165</v>
      </c>
      <c r="D23" s="373"/>
      <c r="E23" s="399"/>
      <c r="F23" s="399"/>
      <c r="G23" s="399"/>
      <c r="Z23" s="399"/>
      <c r="AA23" s="76">
        <f t="shared" si="32"/>
        <v>0</v>
      </c>
      <c r="AB23" s="399"/>
      <c r="AC23" s="76">
        <f t="shared" si="33"/>
        <v>0</v>
      </c>
      <c r="AD23" s="399"/>
      <c r="AE23" s="76">
        <f t="shared" si="34"/>
        <v>0</v>
      </c>
      <c r="AF23" s="399"/>
      <c r="AG23" s="76">
        <f t="shared" si="9"/>
        <v>0</v>
      </c>
      <c r="AH23" s="399"/>
      <c r="AI23" s="76">
        <f t="shared" si="10"/>
        <v>0</v>
      </c>
      <c r="AJ23" s="399"/>
      <c r="AK23" s="76">
        <f>AJ23*E23</f>
        <v>0</v>
      </c>
      <c r="AL23" s="399"/>
      <c r="AM23" s="76">
        <f t="shared" si="12"/>
        <v>0</v>
      </c>
      <c r="AN23" s="399"/>
      <c r="AO23" s="76">
        <f>AN23*E23</f>
        <v>0</v>
      </c>
      <c r="AP23" s="399"/>
      <c r="AQ23" s="76">
        <f t="shared" si="14"/>
        <v>0</v>
      </c>
      <c r="AR23" s="399"/>
      <c r="AS23" s="76">
        <f t="shared" si="15"/>
        <v>0</v>
      </c>
      <c r="AT23" s="399"/>
      <c r="AU23" s="76">
        <f>AT23*E23</f>
        <v>0</v>
      </c>
      <c r="AV23" s="399"/>
      <c r="AW23" s="76">
        <f>AV23*E23</f>
        <v>0</v>
      </c>
      <c r="AX23" s="399"/>
      <c r="AY23" s="76">
        <f>AX23*E23</f>
        <v>0</v>
      </c>
      <c r="AZ23" s="399"/>
      <c r="BA23" s="76">
        <f t="shared" si="18"/>
        <v>0</v>
      </c>
      <c r="BB23" s="399"/>
      <c r="BC23" s="76">
        <f t="shared" si="19"/>
        <v>0</v>
      </c>
      <c r="BD23" s="399"/>
      <c r="BE23" s="76">
        <f t="shared" si="20"/>
        <v>0</v>
      </c>
      <c r="BF23" s="399"/>
      <c r="BG23" s="76">
        <f t="shared" si="21"/>
        <v>0</v>
      </c>
      <c r="BH23" s="399"/>
      <c r="BI23" s="76">
        <f t="shared" si="22"/>
        <v>0</v>
      </c>
      <c r="BJ23" s="53">
        <f t="shared" ref="BJ23:BK25" si="38">Z23+AB23+AD23+AF23+AH23+AL23+AP23+AR23+AZ23+BB23+BD23+BF23+BH23+AJ23+AT23+AV23+AX23+AN23</f>
        <v>0</v>
      </c>
      <c r="BK23" s="53">
        <f t="shared" si="38"/>
        <v>0</v>
      </c>
      <c r="BL23" s="373"/>
      <c r="BN23" s="375"/>
      <c r="BO23" s="375"/>
      <c r="BP23" s="375"/>
      <c r="BQ23" s="375"/>
      <c r="BR23" s="375"/>
      <c r="BS23" s="375"/>
      <c r="BT23" s="375"/>
      <c r="BU23" s="375"/>
      <c r="BV23" s="377">
        <f t="shared" si="5"/>
        <v>0</v>
      </c>
    </row>
    <row r="24" spans="1:74" ht="31.5" x14ac:dyDescent="0.25">
      <c r="A24" s="937"/>
      <c r="B24" s="399"/>
      <c r="C24" s="38" t="s">
        <v>166</v>
      </c>
      <c r="D24" s="38" t="s">
        <v>17</v>
      </c>
      <c r="E24" s="229">
        <f>75*100000</f>
        <v>7500000</v>
      </c>
      <c r="F24" s="522">
        <f>BJ24</f>
        <v>0</v>
      </c>
      <c r="G24" s="231">
        <f>E24*F24</f>
        <v>0</v>
      </c>
      <c r="H24" s="231">
        <f>G24*0</f>
        <v>0</v>
      </c>
      <c r="I24" s="231">
        <f>G24*0.826</f>
        <v>0</v>
      </c>
      <c r="J24" s="231">
        <f>G24*0.007</f>
        <v>0</v>
      </c>
      <c r="K24" s="231">
        <f>G24*0.076</f>
        <v>0</v>
      </c>
      <c r="L24" s="231">
        <f>G24*0.091</f>
        <v>0</v>
      </c>
      <c r="M24" s="231">
        <f>G24*0</f>
        <v>0</v>
      </c>
      <c r="N24" s="231">
        <f>G24*0</f>
        <v>0</v>
      </c>
      <c r="O24" s="521">
        <f>G24*0</f>
        <v>0</v>
      </c>
      <c r="P24" s="521">
        <f>G24*0</f>
        <v>0</v>
      </c>
      <c r="Q24" s="521">
        <f>G24*0</f>
        <v>0</v>
      </c>
      <c r="R24" s="267">
        <v>0</v>
      </c>
      <c r="S24" s="267">
        <v>0</v>
      </c>
      <c r="T24" s="267">
        <v>0</v>
      </c>
      <c r="U24" s="267">
        <v>0</v>
      </c>
      <c r="V24" s="76">
        <f>R24*7500000</f>
        <v>0</v>
      </c>
      <c r="W24" s="274">
        <f>S24*E24</f>
        <v>0</v>
      </c>
      <c r="X24" s="274">
        <f>T24*E24</f>
        <v>0</v>
      </c>
      <c r="Y24" s="76">
        <f>U24*7500000</f>
        <v>0</v>
      </c>
      <c r="Z24" s="399">
        <v>0</v>
      </c>
      <c r="AA24" s="76">
        <f t="shared" si="32"/>
        <v>0</v>
      </c>
      <c r="AB24" s="399">
        <v>0</v>
      </c>
      <c r="AC24" s="76">
        <f t="shared" si="33"/>
        <v>0</v>
      </c>
      <c r="AD24" s="399">
        <v>0</v>
      </c>
      <c r="AE24" s="76">
        <f>AD24*E24</f>
        <v>0</v>
      </c>
      <c r="AF24" s="399">
        <v>0</v>
      </c>
      <c r="AG24" s="76">
        <f t="shared" si="9"/>
        <v>0</v>
      </c>
      <c r="AH24" s="399">
        <v>0</v>
      </c>
      <c r="AI24" s="76">
        <f t="shared" si="10"/>
        <v>0</v>
      </c>
      <c r="AJ24" s="399"/>
      <c r="AK24" s="76">
        <f>AJ24*E24</f>
        <v>0</v>
      </c>
      <c r="AL24" s="399">
        <v>0</v>
      </c>
      <c r="AM24" s="76">
        <f t="shared" si="12"/>
        <v>0</v>
      </c>
      <c r="AN24" s="399"/>
      <c r="AO24" s="76">
        <f>AN24*E24</f>
        <v>0</v>
      </c>
      <c r="AP24" s="399">
        <v>0</v>
      </c>
      <c r="AQ24" s="76">
        <f t="shared" si="14"/>
        <v>0</v>
      </c>
      <c r="AR24" s="399">
        <v>0</v>
      </c>
      <c r="AS24" s="76">
        <f t="shared" si="15"/>
        <v>0</v>
      </c>
      <c r="AT24" s="399"/>
      <c r="AU24" s="76">
        <f>AT24*E24</f>
        <v>0</v>
      </c>
      <c r="AV24" s="399"/>
      <c r="AW24" s="76">
        <f>AV24*E24</f>
        <v>0</v>
      </c>
      <c r="AX24" s="399"/>
      <c r="AY24" s="76">
        <f>AX24*E24</f>
        <v>0</v>
      </c>
      <c r="AZ24" s="399">
        <v>0</v>
      </c>
      <c r="BA24" s="76">
        <f t="shared" si="18"/>
        <v>0</v>
      </c>
      <c r="BB24" s="399">
        <v>0</v>
      </c>
      <c r="BC24" s="76">
        <f t="shared" si="19"/>
        <v>0</v>
      </c>
      <c r="BD24" s="399">
        <v>0</v>
      </c>
      <c r="BE24" s="76">
        <f t="shared" si="20"/>
        <v>0</v>
      </c>
      <c r="BF24" s="399">
        <v>0</v>
      </c>
      <c r="BG24" s="76">
        <f t="shared" si="21"/>
        <v>0</v>
      </c>
      <c r="BH24" s="399">
        <v>0</v>
      </c>
      <c r="BI24" s="76">
        <f t="shared" si="22"/>
        <v>0</v>
      </c>
      <c r="BJ24" s="53">
        <f t="shared" si="38"/>
        <v>0</v>
      </c>
      <c r="BK24" s="53">
        <f t="shared" si="38"/>
        <v>0</v>
      </c>
      <c r="BL24" s="327" t="s">
        <v>469</v>
      </c>
      <c r="BN24" s="375"/>
      <c r="BO24" s="375"/>
      <c r="BP24" s="375"/>
      <c r="BQ24" s="375"/>
      <c r="BR24" s="375">
        <f>BN24+BO24+BP24+BQ24</f>
        <v>0</v>
      </c>
      <c r="BS24" s="375"/>
      <c r="BT24" s="375"/>
      <c r="BU24" s="375">
        <f>BS24+BT24</f>
        <v>0</v>
      </c>
      <c r="BV24" s="377">
        <f t="shared" si="5"/>
        <v>0</v>
      </c>
    </row>
    <row r="25" spans="1:74" x14ac:dyDescent="0.25">
      <c r="A25" s="937"/>
      <c r="B25" s="399"/>
      <c r="C25" s="38" t="s">
        <v>167</v>
      </c>
      <c r="D25" s="38" t="s">
        <v>168</v>
      </c>
      <c r="E25" s="229">
        <f>0.1*100000</f>
        <v>10000</v>
      </c>
      <c r="F25" s="522">
        <f>BJ25</f>
        <v>365</v>
      </c>
      <c r="G25" s="231">
        <f>E25*F25</f>
        <v>3650000</v>
      </c>
      <c r="H25" s="231">
        <f>G25*0.2</f>
        <v>730000</v>
      </c>
      <c r="I25" s="231">
        <f>G25*0.8</f>
        <v>2920000</v>
      </c>
      <c r="J25" s="231">
        <f>G25*0</f>
        <v>0</v>
      </c>
      <c r="K25" s="231">
        <f>G25*0</f>
        <v>0</v>
      </c>
      <c r="L25" s="231">
        <f>G25*0</f>
        <v>0</v>
      </c>
      <c r="M25" s="231">
        <f>G25*0</f>
        <v>0</v>
      </c>
      <c r="N25" s="231">
        <f>G25*0</f>
        <v>0</v>
      </c>
      <c r="O25" s="521">
        <f>G25*0</f>
        <v>0</v>
      </c>
      <c r="P25" s="521">
        <f>G25*0</f>
        <v>0</v>
      </c>
      <c r="Q25" s="521">
        <f>G25*0</f>
        <v>0</v>
      </c>
      <c r="R25" s="272"/>
      <c r="S25" s="272">
        <f>F25*0.5</f>
        <v>182.5</v>
      </c>
      <c r="T25" s="272">
        <f>F25*0.5</f>
        <v>182.5</v>
      </c>
      <c r="U25" s="272">
        <v>0</v>
      </c>
      <c r="V25" s="274">
        <f>R25*10000</f>
        <v>0</v>
      </c>
      <c r="W25" s="274">
        <f>S25*E25</f>
        <v>1825000</v>
      </c>
      <c r="X25" s="274">
        <f>T25*E25</f>
        <v>1825000</v>
      </c>
      <c r="Y25" s="274">
        <f>U25*10000</f>
        <v>0</v>
      </c>
      <c r="Z25" s="399">
        <v>25</v>
      </c>
      <c r="AA25" s="76">
        <f t="shared" si="32"/>
        <v>250000</v>
      </c>
      <c r="AB25" s="399">
        <v>20</v>
      </c>
      <c r="AC25" s="76">
        <f t="shared" si="33"/>
        <v>200000</v>
      </c>
      <c r="AD25" s="633">
        <v>0</v>
      </c>
      <c r="AE25" s="76">
        <f t="shared" si="34"/>
        <v>0</v>
      </c>
      <c r="AF25" s="399">
        <v>60</v>
      </c>
      <c r="AG25" s="76">
        <f t="shared" si="9"/>
        <v>600000</v>
      </c>
      <c r="AH25" s="399">
        <v>30</v>
      </c>
      <c r="AI25" s="76">
        <f t="shared" si="10"/>
        <v>300000</v>
      </c>
      <c r="AJ25" s="753">
        <v>10</v>
      </c>
      <c r="AK25" s="76">
        <f>AJ25*E25</f>
        <v>100000</v>
      </c>
      <c r="AL25" s="399">
        <v>20</v>
      </c>
      <c r="AM25" s="76">
        <f t="shared" si="12"/>
        <v>200000</v>
      </c>
      <c r="AN25" s="753">
        <v>10</v>
      </c>
      <c r="AO25" s="76">
        <f>AN25*E25</f>
        <v>100000</v>
      </c>
      <c r="AP25" s="399">
        <v>10</v>
      </c>
      <c r="AQ25" s="76">
        <f t="shared" si="14"/>
        <v>100000</v>
      </c>
      <c r="AR25" s="399">
        <v>30</v>
      </c>
      <c r="AS25" s="76">
        <f t="shared" si="15"/>
        <v>300000</v>
      </c>
      <c r="AT25" s="633">
        <v>20</v>
      </c>
      <c r="AU25" s="76">
        <f>AT25*E25</f>
        <v>200000</v>
      </c>
      <c r="AV25" s="399">
        <v>25</v>
      </c>
      <c r="AW25" s="76">
        <f>AV25*E25</f>
        <v>250000</v>
      </c>
      <c r="AX25" s="399">
        <v>10</v>
      </c>
      <c r="AY25" s="76">
        <f>AX25*E25</f>
        <v>100000</v>
      </c>
      <c r="AZ25" s="399">
        <v>50</v>
      </c>
      <c r="BA25" s="76">
        <f t="shared" si="18"/>
        <v>500000</v>
      </c>
      <c r="BB25" s="633">
        <v>20</v>
      </c>
      <c r="BC25" s="76">
        <f t="shared" si="19"/>
        <v>200000</v>
      </c>
      <c r="BD25" s="399">
        <v>15</v>
      </c>
      <c r="BE25" s="76">
        <f t="shared" si="20"/>
        <v>150000</v>
      </c>
      <c r="BF25" s="399">
        <v>10</v>
      </c>
      <c r="BG25" s="76">
        <f t="shared" si="21"/>
        <v>100000</v>
      </c>
      <c r="BH25" s="399">
        <v>0</v>
      </c>
      <c r="BI25" s="76">
        <f t="shared" si="22"/>
        <v>0</v>
      </c>
      <c r="BJ25" s="53">
        <f t="shared" si="38"/>
        <v>365</v>
      </c>
      <c r="BK25" s="53">
        <f t="shared" si="38"/>
        <v>3650000</v>
      </c>
      <c r="BL25" s="327" t="s">
        <v>467</v>
      </c>
      <c r="BN25" s="375"/>
      <c r="BO25" s="375">
        <f>G25</f>
        <v>3650000</v>
      </c>
      <c r="BP25" s="375"/>
      <c r="BQ25" s="375"/>
      <c r="BR25" s="375">
        <f>BN25+BO25+BP25+BQ25</f>
        <v>3650000</v>
      </c>
      <c r="BS25" s="375"/>
      <c r="BT25" s="375"/>
      <c r="BU25" s="375">
        <f>BS25+BT25</f>
        <v>0</v>
      </c>
      <c r="BV25" s="377">
        <f t="shared" si="5"/>
        <v>3650000</v>
      </c>
    </row>
    <row r="26" spans="1:74" x14ac:dyDescent="0.25">
      <c r="A26" s="937"/>
      <c r="B26" s="280"/>
      <c r="C26" s="280" t="s">
        <v>37</v>
      </c>
      <c r="D26" s="280"/>
      <c r="E26" s="391"/>
      <c r="F26" s="391">
        <f>SUM(F24:F25)</f>
        <v>365</v>
      </c>
      <c r="G26" s="491">
        <f>SUM(G24:G25)</f>
        <v>3650000</v>
      </c>
      <c r="H26" s="491">
        <f t="shared" ref="H26:Q26" si="39">SUM(H24:H25)</f>
        <v>730000</v>
      </c>
      <c r="I26" s="491">
        <f t="shared" si="39"/>
        <v>2920000</v>
      </c>
      <c r="J26" s="491">
        <f t="shared" si="39"/>
        <v>0</v>
      </c>
      <c r="K26" s="491">
        <f t="shared" si="39"/>
        <v>0</v>
      </c>
      <c r="L26" s="491">
        <f t="shared" si="39"/>
        <v>0</v>
      </c>
      <c r="M26" s="491">
        <f t="shared" si="39"/>
        <v>0</v>
      </c>
      <c r="N26" s="491">
        <f t="shared" si="39"/>
        <v>0</v>
      </c>
      <c r="O26" s="491">
        <f t="shared" si="39"/>
        <v>0</v>
      </c>
      <c r="P26" s="491">
        <f t="shared" si="39"/>
        <v>0</v>
      </c>
      <c r="Q26" s="491">
        <f t="shared" si="39"/>
        <v>0</v>
      </c>
      <c r="R26" s="391">
        <f t="shared" ref="R26:BK26" si="40">SUM(R24:R25)</f>
        <v>0</v>
      </c>
      <c r="S26" s="391">
        <f t="shared" si="40"/>
        <v>182.5</v>
      </c>
      <c r="T26" s="391">
        <f t="shared" si="40"/>
        <v>182.5</v>
      </c>
      <c r="U26" s="391">
        <f t="shared" si="40"/>
        <v>0</v>
      </c>
      <c r="V26" s="491">
        <f t="shared" si="40"/>
        <v>0</v>
      </c>
      <c r="W26" s="491">
        <f t="shared" si="40"/>
        <v>1825000</v>
      </c>
      <c r="X26" s="491">
        <f t="shared" si="40"/>
        <v>1825000</v>
      </c>
      <c r="Y26" s="491">
        <f t="shared" si="40"/>
        <v>0</v>
      </c>
      <c r="Z26" s="391">
        <f t="shared" si="40"/>
        <v>25</v>
      </c>
      <c r="AA26" s="391">
        <f t="shared" si="40"/>
        <v>250000</v>
      </c>
      <c r="AB26" s="391">
        <f t="shared" si="40"/>
        <v>20</v>
      </c>
      <c r="AC26" s="391">
        <f t="shared" si="40"/>
        <v>200000</v>
      </c>
      <c r="AD26" s="391">
        <f t="shared" si="40"/>
        <v>0</v>
      </c>
      <c r="AE26" s="391">
        <f t="shared" si="40"/>
        <v>0</v>
      </c>
      <c r="AF26" s="391">
        <f t="shared" si="40"/>
        <v>60</v>
      </c>
      <c r="AG26" s="391">
        <f t="shared" si="40"/>
        <v>600000</v>
      </c>
      <c r="AH26" s="391">
        <f t="shared" si="40"/>
        <v>30</v>
      </c>
      <c r="AI26" s="391">
        <f t="shared" si="40"/>
        <v>300000</v>
      </c>
      <c r="AJ26" s="391">
        <f t="shared" si="40"/>
        <v>10</v>
      </c>
      <c r="AK26" s="391">
        <f t="shared" si="40"/>
        <v>100000</v>
      </c>
      <c r="AL26" s="391">
        <f t="shared" si="40"/>
        <v>20</v>
      </c>
      <c r="AM26" s="391">
        <f t="shared" si="40"/>
        <v>200000</v>
      </c>
      <c r="AN26" s="391">
        <f t="shared" si="40"/>
        <v>10</v>
      </c>
      <c r="AO26" s="391">
        <f t="shared" si="40"/>
        <v>100000</v>
      </c>
      <c r="AP26" s="391">
        <f t="shared" si="40"/>
        <v>10</v>
      </c>
      <c r="AQ26" s="391">
        <f t="shared" si="40"/>
        <v>100000</v>
      </c>
      <c r="AR26" s="391">
        <f t="shared" si="40"/>
        <v>30</v>
      </c>
      <c r="AS26" s="391">
        <f t="shared" si="40"/>
        <v>300000</v>
      </c>
      <c r="AT26" s="391">
        <f t="shared" si="40"/>
        <v>20</v>
      </c>
      <c r="AU26" s="391">
        <f t="shared" si="40"/>
        <v>200000</v>
      </c>
      <c r="AV26" s="391">
        <f t="shared" si="40"/>
        <v>25</v>
      </c>
      <c r="AW26" s="391">
        <f t="shared" si="40"/>
        <v>250000</v>
      </c>
      <c r="AX26" s="391">
        <f t="shared" si="40"/>
        <v>10</v>
      </c>
      <c r="AY26" s="391">
        <f t="shared" si="40"/>
        <v>100000</v>
      </c>
      <c r="AZ26" s="391">
        <f t="shared" si="40"/>
        <v>50</v>
      </c>
      <c r="BA26" s="391">
        <f t="shared" si="40"/>
        <v>500000</v>
      </c>
      <c r="BB26" s="391">
        <f t="shared" si="40"/>
        <v>20</v>
      </c>
      <c r="BC26" s="391">
        <f t="shared" si="40"/>
        <v>200000</v>
      </c>
      <c r="BD26" s="391">
        <f t="shared" si="40"/>
        <v>15</v>
      </c>
      <c r="BE26" s="391">
        <f t="shared" si="40"/>
        <v>150000</v>
      </c>
      <c r="BF26" s="391">
        <f t="shared" si="40"/>
        <v>10</v>
      </c>
      <c r="BG26" s="391">
        <f t="shared" si="40"/>
        <v>100000</v>
      </c>
      <c r="BH26" s="391">
        <f t="shared" si="40"/>
        <v>0</v>
      </c>
      <c r="BI26" s="391">
        <f t="shared" si="40"/>
        <v>0</v>
      </c>
      <c r="BJ26" s="391">
        <f t="shared" si="40"/>
        <v>365</v>
      </c>
      <c r="BK26" s="391">
        <f t="shared" si="40"/>
        <v>3650000</v>
      </c>
      <c r="BL26" s="373"/>
      <c r="BN26" s="491">
        <f t="shared" ref="BN26:BU26" si="41">SUM(BN24:BN25)</f>
        <v>0</v>
      </c>
      <c r="BO26" s="491">
        <f t="shared" si="41"/>
        <v>3650000</v>
      </c>
      <c r="BP26" s="491">
        <f t="shared" si="41"/>
        <v>0</v>
      </c>
      <c r="BQ26" s="491">
        <f t="shared" si="41"/>
        <v>0</v>
      </c>
      <c r="BR26" s="491">
        <f t="shared" si="41"/>
        <v>3650000</v>
      </c>
      <c r="BS26" s="491">
        <f t="shared" si="41"/>
        <v>0</v>
      </c>
      <c r="BT26" s="491">
        <f t="shared" si="41"/>
        <v>0</v>
      </c>
      <c r="BU26" s="491">
        <f t="shared" si="41"/>
        <v>0</v>
      </c>
      <c r="BV26" s="377">
        <f t="shared" si="5"/>
        <v>3650000</v>
      </c>
    </row>
    <row r="27" spans="1:74" x14ac:dyDescent="0.25">
      <c r="A27" s="937"/>
      <c r="B27" s="38">
        <v>22200</v>
      </c>
      <c r="C27" s="38" t="s">
        <v>169</v>
      </c>
      <c r="D27" s="38"/>
      <c r="E27" s="229"/>
      <c r="F27" s="520"/>
      <c r="G27" s="76"/>
      <c r="H27" s="532"/>
      <c r="I27" s="532"/>
      <c r="J27" s="532"/>
      <c r="K27" s="532"/>
      <c r="L27" s="532"/>
      <c r="M27" s="532"/>
      <c r="N27" s="532"/>
      <c r="O27" s="532"/>
      <c r="P27" s="76"/>
      <c r="Q27" s="76"/>
      <c r="R27" s="267"/>
      <c r="S27" s="267"/>
      <c r="T27" s="267"/>
      <c r="U27" s="267"/>
      <c r="V27" s="76"/>
      <c r="W27" s="76"/>
      <c r="X27" s="76"/>
      <c r="Y27" s="122"/>
      <c r="Z27" s="54"/>
      <c r="AA27" s="76">
        <f t="shared" si="32"/>
        <v>0</v>
      </c>
      <c r="AB27" s="54"/>
      <c r="AC27" s="76">
        <f t="shared" si="33"/>
        <v>0</v>
      </c>
      <c r="AD27" s="54"/>
      <c r="AE27" s="76">
        <f t="shared" si="34"/>
        <v>0</v>
      </c>
      <c r="AF27" s="54"/>
      <c r="AG27" s="76">
        <f t="shared" si="9"/>
        <v>0</v>
      </c>
      <c r="AH27" s="54"/>
      <c r="AI27" s="76">
        <f t="shared" si="10"/>
        <v>0</v>
      </c>
      <c r="AJ27" s="399"/>
      <c r="AK27" s="76">
        <f>AJ27*E27</f>
        <v>0</v>
      </c>
      <c r="AL27" s="54"/>
      <c r="AM27" s="76">
        <f t="shared" si="12"/>
        <v>0</v>
      </c>
      <c r="AN27" s="399"/>
      <c r="AO27" s="76">
        <f>AN27*E27</f>
        <v>0</v>
      </c>
      <c r="AP27" s="54"/>
      <c r="AQ27" s="76">
        <f t="shared" si="14"/>
        <v>0</v>
      </c>
      <c r="AR27" s="54"/>
      <c r="AS27" s="76">
        <f t="shared" si="15"/>
        <v>0</v>
      </c>
      <c r="AT27" s="399"/>
      <c r="AU27" s="76">
        <f>AT27*E27</f>
        <v>0</v>
      </c>
      <c r="AV27" s="399"/>
      <c r="AW27" s="76">
        <f>AV27*E27</f>
        <v>0</v>
      </c>
      <c r="AX27" s="399"/>
      <c r="AY27" s="76">
        <f>AX27*E27</f>
        <v>0</v>
      </c>
      <c r="AZ27" s="54"/>
      <c r="BA27" s="76">
        <f t="shared" si="18"/>
        <v>0</v>
      </c>
      <c r="BB27" s="54"/>
      <c r="BC27" s="76">
        <f t="shared" si="19"/>
        <v>0</v>
      </c>
      <c r="BD27" s="54"/>
      <c r="BE27" s="76">
        <f t="shared" si="20"/>
        <v>0</v>
      </c>
      <c r="BF27" s="54"/>
      <c r="BG27" s="76">
        <f t="shared" si="21"/>
        <v>0</v>
      </c>
      <c r="BH27" s="54"/>
      <c r="BI27" s="76">
        <f t="shared" si="22"/>
        <v>0</v>
      </c>
      <c r="BJ27" s="53">
        <f t="shared" ref="BJ27:BK31" si="42">Z27+AB27+AD27+AF27+AH27+AL27+AP27+AR27+AZ27+BB27+BD27+BF27+BH27+AJ27+AT27+AV27+AX27+AN27</f>
        <v>0</v>
      </c>
      <c r="BK27" s="53">
        <f t="shared" si="42"/>
        <v>0</v>
      </c>
      <c r="BL27" s="373"/>
      <c r="BN27" s="375"/>
      <c r="BO27" s="375"/>
      <c r="BP27" s="375"/>
      <c r="BQ27" s="375"/>
      <c r="BR27" s="375"/>
      <c r="BS27" s="375"/>
      <c r="BT27" s="375"/>
      <c r="BU27" s="375"/>
      <c r="BV27" s="377">
        <f t="shared" si="5"/>
        <v>0</v>
      </c>
    </row>
    <row r="28" spans="1:74" ht="31.5" x14ac:dyDescent="0.25">
      <c r="A28" s="937"/>
      <c r="B28" s="38">
        <v>22210</v>
      </c>
      <c r="C28" s="38" t="s">
        <v>170</v>
      </c>
      <c r="D28" s="38"/>
      <c r="E28" s="229"/>
      <c r="F28" s="522">
        <f>BJ28</f>
        <v>0</v>
      </c>
      <c r="G28" s="231">
        <f>E28*F28</f>
        <v>0</v>
      </c>
      <c r="H28" s="532"/>
      <c r="I28" s="532"/>
      <c r="J28" s="532"/>
      <c r="K28" s="532"/>
      <c r="L28" s="532"/>
      <c r="M28" s="532"/>
      <c r="N28" s="532"/>
      <c r="O28" s="532"/>
      <c r="P28" s="76"/>
      <c r="Q28" s="76"/>
      <c r="R28" s="267"/>
      <c r="S28" s="267"/>
      <c r="T28" s="267"/>
      <c r="U28" s="267"/>
      <c r="V28" s="76"/>
      <c r="W28" s="76"/>
      <c r="X28" s="76"/>
      <c r="Y28" s="122"/>
      <c r="Z28" s="54"/>
      <c r="AA28" s="76">
        <f t="shared" si="32"/>
        <v>0</v>
      </c>
      <c r="AB28" s="54"/>
      <c r="AC28" s="76">
        <f t="shared" si="33"/>
        <v>0</v>
      </c>
      <c r="AD28" s="54"/>
      <c r="AE28" s="76">
        <f t="shared" si="34"/>
        <v>0</v>
      </c>
      <c r="AF28" s="54"/>
      <c r="AG28" s="76">
        <f t="shared" si="9"/>
        <v>0</v>
      </c>
      <c r="AH28" s="54"/>
      <c r="AI28" s="76">
        <f t="shared" si="10"/>
        <v>0</v>
      </c>
      <c r="AJ28" s="399"/>
      <c r="AK28" s="76">
        <f>AJ28*E28</f>
        <v>0</v>
      </c>
      <c r="AL28" s="54"/>
      <c r="AM28" s="76">
        <f t="shared" si="12"/>
        <v>0</v>
      </c>
      <c r="AN28" s="399"/>
      <c r="AO28" s="76">
        <f>AN28*E28</f>
        <v>0</v>
      </c>
      <c r="AP28" s="54"/>
      <c r="AQ28" s="76">
        <f t="shared" si="14"/>
        <v>0</v>
      </c>
      <c r="AR28" s="54"/>
      <c r="AS28" s="76">
        <f t="shared" si="15"/>
        <v>0</v>
      </c>
      <c r="AT28" s="399"/>
      <c r="AU28" s="76">
        <f>AT28*E28</f>
        <v>0</v>
      </c>
      <c r="AV28" s="399"/>
      <c r="AW28" s="76">
        <f>AV28*E28</f>
        <v>0</v>
      </c>
      <c r="AX28" s="399"/>
      <c r="AY28" s="76">
        <f>AX28*E28</f>
        <v>0</v>
      </c>
      <c r="AZ28" s="54"/>
      <c r="BA28" s="76">
        <f t="shared" si="18"/>
        <v>0</v>
      </c>
      <c r="BB28" s="54"/>
      <c r="BC28" s="76">
        <f t="shared" si="19"/>
        <v>0</v>
      </c>
      <c r="BD28" s="54"/>
      <c r="BE28" s="76">
        <f t="shared" si="20"/>
        <v>0</v>
      </c>
      <c r="BF28" s="54"/>
      <c r="BG28" s="76">
        <f t="shared" si="21"/>
        <v>0</v>
      </c>
      <c r="BH28" s="54"/>
      <c r="BI28" s="76">
        <f t="shared" si="22"/>
        <v>0</v>
      </c>
      <c r="BJ28" s="53">
        <f t="shared" si="42"/>
        <v>0</v>
      </c>
      <c r="BK28" s="53">
        <f t="shared" si="42"/>
        <v>0</v>
      </c>
      <c r="BL28" s="373"/>
      <c r="BN28" s="375"/>
      <c r="BO28" s="375"/>
      <c r="BP28" s="375"/>
      <c r="BQ28" s="375"/>
      <c r="BR28" s="375"/>
      <c r="BS28" s="375"/>
      <c r="BT28" s="375"/>
      <c r="BU28" s="375"/>
      <c r="BV28" s="377">
        <f t="shared" si="5"/>
        <v>0</v>
      </c>
    </row>
    <row r="29" spans="1:74" x14ac:dyDescent="0.25">
      <c r="A29" s="937"/>
      <c r="B29" s="484"/>
      <c r="C29" s="38" t="s">
        <v>171</v>
      </c>
      <c r="D29" s="38" t="s">
        <v>128</v>
      </c>
      <c r="E29" s="229">
        <f>5*100000</f>
        <v>500000</v>
      </c>
      <c r="F29" s="522">
        <f>BJ29</f>
        <v>0</v>
      </c>
      <c r="G29" s="231">
        <f>E29*F29</f>
        <v>0</v>
      </c>
      <c r="H29" s="231">
        <f>G29*0</f>
        <v>0</v>
      </c>
      <c r="I29" s="231">
        <f>G29*0.826</f>
        <v>0</v>
      </c>
      <c r="J29" s="231">
        <f>G29*0.007</f>
        <v>0</v>
      </c>
      <c r="K29" s="231">
        <f>G29*0.076</f>
        <v>0</v>
      </c>
      <c r="L29" s="231">
        <f>G29*0.091</f>
        <v>0</v>
      </c>
      <c r="M29" s="231">
        <f>G29*0</f>
        <v>0</v>
      </c>
      <c r="N29" s="231">
        <f>G29*0</f>
        <v>0</v>
      </c>
      <c r="O29" s="521">
        <f>G29*0</f>
        <v>0</v>
      </c>
      <c r="P29" s="521">
        <f>G29*0</f>
        <v>0</v>
      </c>
      <c r="Q29" s="521">
        <f>G29*0</f>
        <v>0</v>
      </c>
      <c r="R29" s="267"/>
      <c r="S29" s="267"/>
      <c r="T29" s="267"/>
      <c r="U29" s="267"/>
      <c r="V29" s="76">
        <f t="shared" ref="V29:Y30" si="43">R29*500000</f>
        <v>0</v>
      </c>
      <c r="W29" s="76">
        <f t="shared" si="43"/>
        <v>0</v>
      </c>
      <c r="X29" s="76">
        <f t="shared" si="43"/>
        <v>0</v>
      </c>
      <c r="Y29" s="76">
        <f t="shared" si="43"/>
        <v>0</v>
      </c>
      <c r="Z29" s="520">
        <v>0</v>
      </c>
      <c r="AA29" s="76">
        <f t="shared" si="32"/>
        <v>0</v>
      </c>
      <c r="AB29" s="520">
        <v>0</v>
      </c>
      <c r="AC29" s="76">
        <f t="shared" si="33"/>
        <v>0</v>
      </c>
      <c r="AD29" s="520">
        <v>0</v>
      </c>
      <c r="AE29" s="76">
        <f t="shared" si="34"/>
        <v>0</v>
      </c>
      <c r="AF29" s="520">
        <v>0</v>
      </c>
      <c r="AG29" s="76">
        <f t="shared" si="9"/>
        <v>0</v>
      </c>
      <c r="AH29" s="520">
        <v>0</v>
      </c>
      <c r="AI29" s="76">
        <f t="shared" si="10"/>
        <v>0</v>
      </c>
      <c r="AJ29" s="399"/>
      <c r="AK29" s="76">
        <f>AJ29*E29</f>
        <v>0</v>
      </c>
      <c r="AL29" s="520">
        <v>0</v>
      </c>
      <c r="AM29" s="76">
        <f t="shared" si="12"/>
        <v>0</v>
      </c>
      <c r="AN29" s="399"/>
      <c r="AO29" s="76">
        <f>AN29*E29</f>
        <v>0</v>
      </c>
      <c r="AP29" s="520">
        <v>0</v>
      </c>
      <c r="AQ29" s="76">
        <f t="shared" si="14"/>
        <v>0</v>
      </c>
      <c r="AR29" s="520">
        <v>0</v>
      </c>
      <c r="AS29" s="76">
        <f t="shared" si="15"/>
        <v>0</v>
      </c>
      <c r="AT29" s="399"/>
      <c r="AU29" s="76">
        <f>AT29*E29</f>
        <v>0</v>
      </c>
      <c r="AV29" s="399"/>
      <c r="AW29" s="76">
        <f>AV29*E29</f>
        <v>0</v>
      </c>
      <c r="AX29" s="399"/>
      <c r="AY29" s="76">
        <f>AX29*E29</f>
        <v>0</v>
      </c>
      <c r="AZ29" s="520">
        <v>0</v>
      </c>
      <c r="BA29" s="76">
        <f t="shared" si="18"/>
        <v>0</v>
      </c>
      <c r="BB29" s="520">
        <v>0</v>
      </c>
      <c r="BC29" s="76">
        <f t="shared" si="19"/>
        <v>0</v>
      </c>
      <c r="BD29" s="520">
        <v>0</v>
      </c>
      <c r="BE29" s="76">
        <f t="shared" si="20"/>
        <v>0</v>
      </c>
      <c r="BF29" s="520">
        <v>0</v>
      </c>
      <c r="BG29" s="76">
        <f t="shared" si="21"/>
        <v>0</v>
      </c>
      <c r="BH29" s="520">
        <v>0</v>
      </c>
      <c r="BI29" s="76">
        <f t="shared" si="22"/>
        <v>0</v>
      </c>
      <c r="BJ29" s="53">
        <f t="shared" si="42"/>
        <v>0</v>
      </c>
      <c r="BK29" s="53">
        <f t="shared" si="42"/>
        <v>0</v>
      </c>
      <c r="BL29" s="327" t="s">
        <v>467</v>
      </c>
      <c r="BN29" s="375"/>
      <c r="BO29" s="375"/>
      <c r="BP29" s="375"/>
      <c r="BQ29" s="375"/>
      <c r="BR29" s="375">
        <f>BN29+BO29+BP29+BQ29</f>
        <v>0</v>
      </c>
      <c r="BS29" s="375"/>
      <c r="BT29" s="375"/>
      <c r="BU29" s="375">
        <f>BS29+BT29</f>
        <v>0</v>
      </c>
      <c r="BV29" s="377">
        <f t="shared" si="5"/>
        <v>0</v>
      </c>
    </row>
    <row r="30" spans="1:74" ht="56.25" customHeight="1" x14ac:dyDescent="0.25">
      <c r="A30" s="937"/>
      <c r="B30" s="484"/>
      <c r="C30" s="38" t="s">
        <v>172</v>
      </c>
      <c r="D30" s="38" t="s">
        <v>128</v>
      </c>
      <c r="E30" s="229">
        <f>5*100000</f>
        <v>500000</v>
      </c>
      <c r="F30" s="522">
        <f>BJ30</f>
        <v>0</v>
      </c>
      <c r="G30" s="231">
        <f>E30*F30</f>
        <v>0</v>
      </c>
      <c r="H30" s="231">
        <f>G30*0</f>
        <v>0</v>
      </c>
      <c r="I30" s="231">
        <f>G30*0.826</f>
        <v>0</v>
      </c>
      <c r="J30" s="231">
        <f>G30*0.007</f>
        <v>0</v>
      </c>
      <c r="K30" s="231">
        <f>G30*0.076</f>
        <v>0</v>
      </c>
      <c r="L30" s="231">
        <f>G30*0.091</f>
        <v>0</v>
      </c>
      <c r="M30" s="231">
        <f>G30*0</f>
        <v>0</v>
      </c>
      <c r="N30" s="231">
        <f>G30*0</f>
        <v>0</v>
      </c>
      <c r="O30" s="521">
        <f>G30*0</f>
        <v>0</v>
      </c>
      <c r="P30" s="521">
        <f>G30*0</f>
        <v>0</v>
      </c>
      <c r="Q30" s="521">
        <f>G30*0</f>
        <v>0</v>
      </c>
      <c r="R30" s="267"/>
      <c r="S30" s="267"/>
      <c r="T30" s="267"/>
      <c r="U30" s="267"/>
      <c r="V30" s="76">
        <f t="shared" si="43"/>
        <v>0</v>
      </c>
      <c r="W30" s="76">
        <f t="shared" si="43"/>
        <v>0</v>
      </c>
      <c r="X30" s="76">
        <f t="shared" si="43"/>
        <v>0</v>
      </c>
      <c r="Y30" s="76">
        <f t="shared" si="43"/>
        <v>0</v>
      </c>
      <c r="Z30" s="520">
        <v>0</v>
      </c>
      <c r="AA30" s="76">
        <f t="shared" si="32"/>
        <v>0</v>
      </c>
      <c r="AB30" s="520">
        <v>0</v>
      </c>
      <c r="AC30" s="76">
        <f t="shared" si="33"/>
        <v>0</v>
      </c>
      <c r="AD30" s="520">
        <v>0</v>
      </c>
      <c r="AE30" s="76">
        <f t="shared" si="34"/>
        <v>0</v>
      </c>
      <c r="AF30" s="520">
        <v>0</v>
      </c>
      <c r="AG30" s="76">
        <f t="shared" si="9"/>
        <v>0</v>
      </c>
      <c r="AH30" s="520">
        <v>0</v>
      </c>
      <c r="AI30" s="76">
        <f t="shared" si="10"/>
        <v>0</v>
      </c>
      <c r="AJ30" s="399"/>
      <c r="AK30" s="76">
        <f>AJ30*E30</f>
        <v>0</v>
      </c>
      <c r="AL30" s="520">
        <v>0</v>
      </c>
      <c r="AM30" s="76">
        <f t="shared" si="12"/>
        <v>0</v>
      </c>
      <c r="AN30" s="399"/>
      <c r="AO30" s="76">
        <f>AN30*E30</f>
        <v>0</v>
      </c>
      <c r="AP30" s="520">
        <v>0</v>
      </c>
      <c r="AQ30" s="76">
        <f t="shared" si="14"/>
        <v>0</v>
      </c>
      <c r="AR30" s="520">
        <v>0</v>
      </c>
      <c r="AS30" s="76">
        <f t="shared" si="15"/>
        <v>0</v>
      </c>
      <c r="AT30" s="399"/>
      <c r="AU30" s="76">
        <f>AT30*E30</f>
        <v>0</v>
      </c>
      <c r="AV30" s="399"/>
      <c r="AW30" s="76">
        <f>AV30*E30</f>
        <v>0</v>
      </c>
      <c r="AX30" s="399"/>
      <c r="AY30" s="76">
        <f>AX30*E30</f>
        <v>0</v>
      </c>
      <c r="AZ30" s="520">
        <v>0</v>
      </c>
      <c r="BA30" s="76">
        <f t="shared" si="18"/>
        <v>0</v>
      </c>
      <c r="BB30" s="520">
        <v>0</v>
      </c>
      <c r="BC30" s="76">
        <f t="shared" si="19"/>
        <v>0</v>
      </c>
      <c r="BD30" s="520">
        <v>0</v>
      </c>
      <c r="BE30" s="76">
        <f t="shared" si="20"/>
        <v>0</v>
      </c>
      <c r="BF30" s="520">
        <v>0</v>
      </c>
      <c r="BG30" s="76">
        <f t="shared" si="21"/>
        <v>0</v>
      </c>
      <c r="BH30" s="520">
        <v>0</v>
      </c>
      <c r="BI30" s="76">
        <f t="shared" si="22"/>
        <v>0</v>
      </c>
      <c r="BJ30" s="53">
        <f t="shared" si="42"/>
        <v>0</v>
      </c>
      <c r="BK30" s="53">
        <f t="shared" si="42"/>
        <v>0</v>
      </c>
      <c r="BL30" s="327" t="s">
        <v>467</v>
      </c>
      <c r="BN30" s="375"/>
      <c r="BO30" s="375"/>
      <c r="BP30" s="375"/>
      <c r="BQ30" s="375"/>
      <c r="BR30" s="375">
        <f>BN30+BO30+BP30+BQ30</f>
        <v>0</v>
      </c>
      <c r="BS30" s="375"/>
      <c r="BT30" s="375"/>
      <c r="BU30" s="375">
        <f>BS30+BT30</f>
        <v>0</v>
      </c>
      <c r="BV30" s="377">
        <f t="shared" si="5"/>
        <v>0</v>
      </c>
    </row>
    <row r="31" spans="1:74" ht="47.25" x14ac:dyDescent="0.25">
      <c r="A31" s="937"/>
      <c r="B31" s="484"/>
      <c r="C31" s="38" t="s">
        <v>867</v>
      </c>
      <c r="D31" s="38" t="s">
        <v>168</v>
      </c>
      <c r="E31" s="229">
        <f>0.05*100000</f>
        <v>5000</v>
      </c>
      <c r="F31" s="522">
        <f>BJ31</f>
        <v>2190</v>
      </c>
      <c r="G31" s="231">
        <f>E31*F31</f>
        <v>10950000</v>
      </c>
      <c r="H31" s="231">
        <f>G31*0</f>
        <v>0</v>
      </c>
      <c r="I31" s="231">
        <f>G31*0.8</f>
        <v>8760000</v>
      </c>
      <c r="J31" s="231">
        <f>G31*0.2</f>
        <v>2190000</v>
      </c>
      <c r="K31" s="231">
        <f>G31*0</f>
        <v>0</v>
      </c>
      <c r="L31" s="231">
        <f>G31*0</f>
        <v>0</v>
      </c>
      <c r="M31" s="231">
        <f>G31*0</f>
        <v>0</v>
      </c>
      <c r="N31" s="231">
        <f>G31*0</f>
        <v>0</v>
      </c>
      <c r="O31" s="521">
        <f>G31*0</f>
        <v>0</v>
      </c>
      <c r="P31" s="521">
        <f>G31*0</f>
        <v>0</v>
      </c>
      <c r="Q31" s="521">
        <f>G31*0</f>
        <v>0</v>
      </c>
      <c r="R31" s="267"/>
      <c r="S31" s="267">
        <f>F31</f>
        <v>2190</v>
      </c>
      <c r="T31" s="267"/>
      <c r="U31" s="267"/>
      <c r="V31" s="76">
        <f>R31*2500</f>
        <v>0</v>
      </c>
      <c r="W31" s="76">
        <f>S31*E31</f>
        <v>10950000</v>
      </c>
      <c r="X31" s="76">
        <f>T31*2500</f>
        <v>0</v>
      </c>
      <c r="Y31" s="76">
        <f>U31*2500</f>
        <v>0</v>
      </c>
      <c r="Z31" s="54">
        <v>100</v>
      </c>
      <c r="AA31" s="76">
        <f t="shared" si="32"/>
        <v>500000</v>
      </c>
      <c r="AB31" s="54">
        <v>50</v>
      </c>
      <c r="AC31" s="76">
        <f t="shared" si="33"/>
        <v>250000</v>
      </c>
      <c r="AD31" s="54">
        <v>160</v>
      </c>
      <c r="AE31" s="76">
        <f t="shared" si="34"/>
        <v>800000</v>
      </c>
      <c r="AF31" s="54">
        <v>210</v>
      </c>
      <c r="AG31" s="76">
        <f t="shared" si="9"/>
        <v>1050000</v>
      </c>
      <c r="AH31" s="54">
        <v>90</v>
      </c>
      <c r="AI31" s="76">
        <f t="shared" si="10"/>
        <v>450000</v>
      </c>
      <c r="AJ31" s="399">
        <v>50</v>
      </c>
      <c r="AK31" s="76">
        <f>AJ31*E31</f>
        <v>250000</v>
      </c>
      <c r="AL31" s="54">
        <v>90</v>
      </c>
      <c r="AM31" s="76">
        <f t="shared" si="12"/>
        <v>450000</v>
      </c>
      <c r="AN31" s="399">
        <v>350</v>
      </c>
      <c r="AO31" s="76">
        <f>AN31*E31</f>
        <v>1750000</v>
      </c>
      <c r="AP31" s="54">
        <v>20</v>
      </c>
      <c r="AQ31" s="76">
        <f t="shared" si="14"/>
        <v>100000</v>
      </c>
      <c r="AR31" s="54">
        <v>80</v>
      </c>
      <c r="AS31" s="76">
        <f t="shared" si="15"/>
        <v>400000</v>
      </c>
      <c r="AT31" s="633">
        <v>200</v>
      </c>
      <c r="AU31" s="76">
        <f>AT31*E31</f>
        <v>1000000</v>
      </c>
      <c r="AV31" s="399">
        <v>100</v>
      </c>
      <c r="AW31" s="76">
        <f>AV31*E31</f>
        <v>500000</v>
      </c>
      <c r="AX31" s="399">
        <v>20</v>
      </c>
      <c r="AY31" s="76">
        <f>AX31*E31</f>
        <v>100000</v>
      </c>
      <c r="AZ31" s="54">
        <v>170</v>
      </c>
      <c r="BA31" s="76">
        <f t="shared" si="18"/>
        <v>850000</v>
      </c>
      <c r="BB31" s="752">
        <v>100</v>
      </c>
      <c r="BC31" s="76">
        <f t="shared" si="19"/>
        <v>500000</v>
      </c>
      <c r="BD31" s="54">
        <v>200</v>
      </c>
      <c r="BE31" s="76">
        <f t="shared" si="20"/>
        <v>1000000</v>
      </c>
      <c r="BF31" s="54">
        <v>200</v>
      </c>
      <c r="BG31" s="76">
        <f t="shared" si="21"/>
        <v>1000000</v>
      </c>
      <c r="BH31" s="54">
        <v>0</v>
      </c>
      <c r="BI31" s="76">
        <f t="shared" si="22"/>
        <v>0</v>
      </c>
      <c r="BJ31" s="53">
        <f t="shared" si="42"/>
        <v>2190</v>
      </c>
      <c r="BK31" s="53">
        <f t="shared" si="42"/>
        <v>10950000</v>
      </c>
      <c r="BL31" s="327" t="s">
        <v>478</v>
      </c>
      <c r="BN31" s="375"/>
      <c r="BO31" s="375"/>
      <c r="BP31" s="375">
        <f>G31</f>
        <v>10950000</v>
      </c>
      <c r="BQ31" s="375"/>
      <c r="BR31" s="375">
        <f>BN31+BO31+BP31+BQ31</f>
        <v>10950000</v>
      </c>
      <c r="BS31" s="375"/>
      <c r="BT31" s="375"/>
      <c r="BU31" s="375">
        <f>BS31+BT31</f>
        <v>0</v>
      </c>
      <c r="BV31" s="377">
        <f t="shared" si="5"/>
        <v>10950000</v>
      </c>
    </row>
    <row r="32" spans="1:74" s="269" customFormat="1" x14ac:dyDescent="0.25">
      <c r="A32" s="937"/>
      <c r="B32" s="280"/>
      <c r="C32" s="280"/>
      <c r="D32" s="280"/>
      <c r="E32" s="391"/>
      <c r="F32" s="391">
        <f>SUM(F29:F31)</f>
        <v>2190</v>
      </c>
      <c r="G32" s="491">
        <f>SUM(G27:G31)</f>
        <v>10950000</v>
      </c>
      <c r="H32" s="491">
        <f t="shared" ref="H32:Q32" si="44">SUM(H29:H31)</f>
        <v>0</v>
      </c>
      <c r="I32" s="491">
        <f t="shared" si="44"/>
        <v>8760000</v>
      </c>
      <c r="J32" s="491">
        <f t="shared" si="44"/>
        <v>2190000</v>
      </c>
      <c r="K32" s="491">
        <f t="shared" si="44"/>
        <v>0</v>
      </c>
      <c r="L32" s="491">
        <f t="shared" si="44"/>
        <v>0</v>
      </c>
      <c r="M32" s="491">
        <f t="shared" si="44"/>
        <v>0</v>
      </c>
      <c r="N32" s="491">
        <f t="shared" si="44"/>
        <v>0</v>
      </c>
      <c r="O32" s="491">
        <f t="shared" si="44"/>
        <v>0</v>
      </c>
      <c r="P32" s="491">
        <f t="shared" si="44"/>
        <v>0</v>
      </c>
      <c r="Q32" s="491">
        <f t="shared" si="44"/>
        <v>0</v>
      </c>
      <c r="R32" s="391">
        <f t="shared" ref="R32:Y32" si="45">SUM(R29:R31)</f>
        <v>0</v>
      </c>
      <c r="S32" s="391">
        <f t="shared" si="45"/>
        <v>2190</v>
      </c>
      <c r="T32" s="391">
        <f t="shared" si="45"/>
        <v>0</v>
      </c>
      <c r="U32" s="391">
        <f t="shared" si="45"/>
        <v>0</v>
      </c>
      <c r="V32" s="491">
        <f t="shared" si="45"/>
        <v>0</v>
      </c>
      <c r="W32" s="491">
        <f t="shared" si="45"/>
        <v>10950000</v>
      </c>
      <c r="X32" s="491">
        <f t="shared" si="45"/>
        <v>0</v>
      </c>
      <c r="Y32" s="491">
        <f t="shared" si="45"/>
        <v>0</v>
      </c>
      <c r="Z32" s="533">
        <f>SUM(Z27:Z31)</f>
        <v>100</v>
      </c>
      <c r="AA32" s="533">
        <f t="shared" ref="AA32:BK32" si="46">SUM(AA27:AA31)</f>
        <v>500000</v>
      </c>
      <c r="AB32" s="533">
        <f t="shared" si="46"/>
        <v>50</v>
      </c>
      <c r="AC32" s="533">
        <f t="shared" si="46"/>
        <v>250000</v>
      </c>
      <c r="AD32" s="533">
        <f t="shared" si="46"/>
        <v>160</v>
      </c>
      <c r="AE32" s="533">
        <f t="shared" si="46"/>
        <v>800000</v>
      </c>
      <c r="AF32" s="533">
        <f t="shared" si="46"/>
        <v>210</v>
      </c>
      <c r="AG32" s="533">
        <f t="shared" si="46"/>
        <v>1050000</v>
      </c>
      <c r="AH32" s="533">
        <f t="shared" si="46"/>
        <v>90</v>
      </c>
      <c r="AI32" s="533">
        <f t="shared" si="46"/>
        <v>450000</v>
      </c>
      <c r="AJ32" s="533">
        <f t="shared" si="46"/>
        <v>50</v>
      </c>
      <c r="AK32" s="533">
        <f t="shared" si="46"/>
        <v>250000</v>
      </c>
      <c r="AL32" s="533">
        <f t="shared" si="46"/>
        <v>90</v>
      </c>
      <c r="AM32" s="533">
        <f t="shared" si="46"/>
        <v>450000</v>
      </c>
      <c r="AN32" s="533">
        <f t="shared" si="46"/>
        <v>350</v>
      </c>
      <c r="AO32" s="533">
        <f t="shared" si="46"/>
        <v>1750000</v>
      </c>
      <c r="AP32" s="533">
        <f t="shared" si="46"/>
        <v>20</v>
      </c>
      <c r="AQ32" s="533">
        <f t="shared" si="46"/>
        <v>100000</v>
      </c>
      <c r="AR32" s="533">
        <f t="shared" si="46"/>
        <v>80</v>
      </c>
      <c r="AS32" s="533">
        <f t="shared" si="46"/>
        <v>400000</v>
      </c>
      <c r="AT32" s="533">
        <f t="shared" si="46"/>
        <v>200</v>
      </c>
      <c r="AU32" s="533">
        <f t="shared" si="46"/>
        <v>1000000</v>
      </c>
      <c r="AV32" s="533">
        <f t="shared" si="46"/>
        <v>100</v>
      </c>
      <c r="AW32" s="533">
        <f t="shared" si="46"/>
        <v>500000</v>
      </c>
      <c r="AX32" s="533">
        <f t="shared" si="46"/>
        <v>20</v>
      </c>
      <c r="AY32" s="533">
        <f t="shared" si="46"/>
        <v>100000</v>
      </c>
      <c r="AZ32" s="533">
        <f t="shared" si="46"/>
        <v>170</v>
      </c>
      <c r="BA32" s="533">
        <f t="shared" si="46"/>
        <v>850000</v>
      </c>
      <c r="BB32" s="533">
        <f t="shared" si="46"/>
        <v>100</v>
      </c>
      <c r="BC32" s="533">
        <f t="shared" si="46"/>
        <v>500000</v>
      </c>
      <c r="BD32" s="533">
        <f t="shared" si="46"/>
        <v>200</v>
      </c>
      <c r="BE32" s="533">
        <f t="shared" si="46"/>
        <v>1000000</v>
      </c>
      <c r="BF32" s="533">
        <f t="shared" si="46"/>
        <v>200</v>
      </c>
      <c r="BG32" s="533">
        <f t="shared" si="46"/>
        <v>1000000</v>
      </c>
      <c r="BH32" s="533">
        <f t="shared" si="46"/>
        <v>0</v>
      </c>
      <c r="BI32" s="533">
        <f t="shared" si="46"/>
        <v>0</v>
      </c>
      <c r="BJ32" s="533">
        <f>SUM(BJ27:BJ31)</f>
        <v>2190</v>
      </c>
      <c r="BK32" s="533">
        <f t="shared" si="46"/>
        <v>10950000</v>
      </c>
      <c r="BL32" s="410"/>
      <c r="BN32" s="491">
        <f t="shared" ref="BN32:BU32" si="47">SUM(BN29:BN31)</f>
        <v>0</v>
      </c>
      <c r="BO32" s="491">
        <f t="shared" si="47"/>
        <v>0</v>
      </c>
      <c r="BP32" s="491">
        <f t="shared" si="47"/>
        <v>10950000</v>
      </c>
      <c r="BQ32" s="491">
        <f t="shared" si="47"/>
        <v>0</v>
      </c>
      <c r="BR32" s="491">
        <f t="shared" si="47"/>
        <v>10950000</v>
      </c>
      <c r="BS32" s="491">
        <f t="shared" si="47"/>
        <v>0</v>
      </c>
      <c r="BT32" s="491">
        <f t="shared" si="47"/>
        <v>0</v>
      </c>
      <c r="BU32" s="491">
        <f t="shared" si="47"/>
        <v>0</v>
      </c>
      <c r="BV32" s="470">
        <f t="shared" si="5"/>
        <v>10950000</v>
      </c>
    </row>
    <row r="33" spans="1:74" x14ac:dyDescent="0.25">
      <c r="A33" s="937"/>
      <c r="B33" s="38">
        <v>22220</v>
      </c>
      <c r="C33" s="38" t="s">
        <v>732</v>
      </c>
      <c r="D33" s="38" t="s">
        <v>17</v>
      </c>
      <c r="E33" s="229">
        <v>0</v>
      </c>
      <c r="F33" s="520">
        <v>0</v>
      </c>
      <c r="G33" s="231">
        <f>E33*F33</f>
        <v>0</v>
      </c>
      <c r="H33" s="231">
        <f>G33*0</f>
        <v>0</v>
      </c>
      <c r="I33" s="231">
        <f>G33*0.8</f>
        <v>0</v>
      </c>
      <c r="J33" s="231">
        <f>G33*0</f>
        <v>0</v>
      </c>
      <c r="K33" s="231">
        <f>G33*0.2</f>
        <v>0</v>
      </c>
      <c r="L33" s="231">
        <f>G33*0</f>
        <v>0</v>
      </c>
      <c r="M33" s="231">
        <f>G33*0</f>
        <v>0</v>
      </c>
      <c r="N33" s="231">
        <f>G33*0</f>
        <v>0</v>
      </c>
      <c r="O33" s="521">
        <f>G33*0</f>
        <v>0</v>
      </c>
      <c r="P33" s="521">
        <f>G33*0</f>
        <v>0</v>
      </c>
      <c r="Q33" s="521">
        <f>G33*0</f>
        <v>0</v>
      </c>
      <c r="R33" s="267"/>
      <c r="S33" s="267">
        <f>F33*0.4</f>
        <v>0</v>
      </c>
      <c r="T33" s="267">
        <f>F33*0.3</f>
        <v>0</v>
      </c>
      <c r="U33" s="267">
        <f>F33*0.3</f>
        <v>0</v>
      </c>
      <c r="V33" s="76">
        <f>R33*12500</f>
        <v>0</v>
      </c>
      <c r="W33" s="76">
        <f>S33*12500</f>
        <v>0</v>
      </c>
      <c r="X33" s="76">
        <f>T33*12500</f>
        <v>0</v>
      </c>
      <c r="Y33" s="76">
        <f>U33*12500</f>
        <v>0</v>
      </c>
      <c r="Z33" s="54">
        <v>0</v>
      </c>
      <c r="AA33" s="76">
        <f t="shared" si="32"/>
        <v>0</v>
      </c>
      <c r="AB33" s="54">
        <v>0</v>
      </c>
      <c r="AC33" s="76">
        <f t="shared" si="33"/>
        <v>0</v>
      </c>
      <c r="AD33" s="54">
        <v>0</v>
      </c>
      <c r="AE33" s="76">
        <f t="shared" si="34"/>
        <v>0</v>
      </c>
      <c r="AF33" s="54">
        <v>0</v>
      </c>
      <c r="AG33" s="76">
        <f t="shared" si="9"/>
        <v>0</v>
      </c>
      <c r="AH33" s="54">
        <v>0</v>
      </c>
      <c r="AI33" s="76">
        <f t="shared" si="10"/>
        <v>0</v>
      </c>
      <c r="AJ33" s="399"/>
      <c r="AK33" s="76">
        <f>AJ33*E33</f>
        <v>0</v>
      </c>
      <c r="AL33" s="54">
        <v>0</v>
      </c>
      <c r="AM33" s="76">
        <f t="shared" si="12"/>
        <v>0</v>
      </c>
      <c r="AN33" s="399"/>
      <c r="AO33" s="76">
        <f>AN33*G33</f>
        <v>0</v>
      </c>
      <c r="AP33" s="54">
        <v>0</v>
      </c>
      <c r="AQ33" s="76">
        <f t="shared" si="14"/>
        <v>0</v>
      </c>
      <c r="AR33" s="54">
        <v>0</v>
      </c>
      <c r="AS33" s="76">
        <f t="shared" si="15"/>
        <v>0</v>
      </c>
      <c r="AT33" s="399"/>
      <c r="AU33" s="76">
        <f>AT33*E33</f>
        <v>0</v>
      </c>
      <c r="AV33" s="399"/>
      <c r="AW33" s="76">
        <f>AV33*E33</f>
        <v>0</v>
      </c>
      <c r="AX33" s="399"/>
      <c r="AY33" s="76">
        <f>AX33*E33</f>
        <v>0</v>
      </c>
      <c r="AZ33" s="54">
        <v>0</v>
      </c>
      <c r="BA33" s="76">
        <f t="shared" si="18"/>
        <v>0</v>
      </c>
      <c r="BB33" s="54">
        <v>0</v>
      </c>
      <c r="BC33" s="76">
        <f t="shared" si="19"/>
        <v>0</v>
      </c>
      <c r="BD33" s="54">
        <v>0</v>
      </c>
      <c r="BE33" s="76">
        <f t="shared" si="20"/>
        <v>0</v>
      </c>
      <c r="BF33" s="54">
        <v>0</v>
      </c>
      <c r="BG33" s="76">
        <f t="shared" si="21"/>
        <v>0</v>
      </c>
      <c r="BH33" s="54">
        <v>0</v>
      </c>
      <c r="BI33" s="76">
        <f t="shared" si="22"/>
        <v>0</v>
      </c>
      <c r="BJ33" s="53">
        <f>Z33+AB33+AD33+AF33+AH33+AL33+AP33+AR33+AZ33+BB33+BD33+BF33+BH33+AJ33+AT33+AV33+AX33+AN33</f>
        <v>0</v>
      </c>
      <c r="BK33" s="53">
        <f>AA33+AC33+AE33+AG33+AI33+AM33+AQ33+AS33+BA33+BC33+BE33+BG33+BI33+AK33+AU33+AW33+AY33+AO33</f>
        <v>0</v>
      </c>
      <c r="BL33" s="327" t="s">
        <v>469</v>
      </c>
      <c r="BN33" s="375"/>
      <c r="BO33" s="375"/>
      <c r="BP33" s="375">
        <f>G33</f>
        <v>0</v>
      </c>
      <c r="BQ33" s="375"/>
      <c r="BR33" s="375">
        <f>BN33+BO33+BP33+BQ33</f>
        <v>0</v>
      </c>
      <c r="BS33" s="375"/>
      <c r="BT33" s="375"/>
      <c r="BU33" s="375">
        <f>BS33+BT33</f>
        <v>0</v>
      </c>
      <c r="BV33" s="377">
        <f t="shared" si="5"/>
        <v>0</v>
      </c>
    </row>
    <row r="34" spans="1:74" s="269" customFormat="1" x14ac:dyDescent="0.25">
      <c r="A34" s="937"/>
      <c r="B34" s="280"/>
      <c r="C34" s="280"/>
      <c r="D34" s="280"/>
      <c r="E34" s="391"/>
      <c r="F34" s="391">
        <f>SUM(F33)</f>
        <v>0</v>
      </c>
      <c r="G34" s="491">
        <f>SUM(G33)</f>
        <v>0</v>
      </c>
      <c r="H34" s="491">
        <f t="shared" ref="H34:Q34" si="48">SUM(H33)</f>
        <v>0</v>
      </c>
      <c r="I34" s="491">
        <f t="shared" si="48"/>
        <v>0</v>
      </c>
      <c r="J34" s="491">
        <f t="shared" si="48"/>
        <v>0</v>
      </c>
      <c r="K34" s="491">
        <f t="shared" si="48"/>
        <v>0</v>
      </c>
      <c r="L34" s="491">
        <f t="shared" si="48"/>
        <v>0</v>
      </c>
      <c r="M34" s="491">
        <f t="shared" si="48"/>
        <v>0</v>
      </c>
      <c r="N34" s="491">
        <f t="shared" si="48"/>
        <v>0</v>
      </c>
      <c r="O34" s="491">
        <f t="shared" si="48"/>
        <v>0</v>
      </c>
      <c r="P34" s="491">
        <f t="shared" si="48"/>
        <v>0</v>
      </c>
      <c r="Q34" s="491">
        <f t="shared" si="48"/>
        <v>0</v>
      </c>
      <c r="R34" s="391">
        <f t="shared" ref="R34:Y34" si="49">SUM(R33)</f>
        <v>0</v>
      </c>
      <c r="S34" s="391">
        <f t="shared" si="49"/>
        <v>0</v>
      </c>
      <c r="T34" s="391">
        <f t="shared" si="49"/>
        <v>0</v>
      </c>
      <c r="U34" s="391">
        <f t="shared" si="49"/>
        <v>0</v>
      </c>
      <c r="V34" s="491">
        <f t="shared" si="49"/>
        <v>0</v>
      </c>
      <c r="W34" s="491">
        <f t="shared" si="49"/>
        <v>0</v>
      </c>
      <c r="X34" s="491">
        <f t="shared" si="49"/>
        <v>0</v>
      </c>
      <c r="Y34" s="491">
        <f t="shared" si="49"/>
        <v>0</v>
      </c>
      <c r="Z34" s="391">
        <f t="shared" ref="Z34:BK34" si="50">SUM(Z33)</f>
        <v>0</v>
      </c>
      <c r="AA34" s="391">
        <f t="shared" si="50"/>
        <v>0</v>
      </c>
      <c r="AB34" s="391">
        <f t="shared" si="50"/>
        <v>0</v>
      </c>
      <c r="AC34" s="391">
        <f t="shared" si="50"/>
        <v>0</v>
      </c>
      <c r="AD34" s="391">
        <f t="shared" si="50"/>
        <v>0</v>
      </c>
      <c r="AE34" s="391">
        <f t="shared" si="50"/>
        <v>0</v>
      </c>
      <c r="AF34" s="391">
        <f t="shared" si="50"/>
        <v>0</v>
      </c>
      <c r="AG34" s="391">
        <f t="shared" si="50"/>
        <v>0</v>
      </c>
      <c r="AH34" s="391">
        <f t="shared" si="50"/>
        <v>0</v>
      </c>
      <c r="AI34" s="391">
        <f t="shared" si="50"/>
        <v>0</v>
      </c>
      <c r="AJ34" s="391">
        <f t="shared" si="50"/>
        <v>0</v>
      </c>
      <c r="AK34" s="391">
        <f t="shared" si="50"/>
        <v>0</v>
      </c>
      <c r="AL34" s="391">
        <f t="shared" si="50"/>
        <v>0</v>
      </c>
      <c r="AM34" s="391">
        <f t="shared" si="50"/>
        <v>0</v>
      </c>
      <c r="AN34" s="391">
        <f t="shared" si="50"/>
        <v>0</v>
      </c>
      <c r="AO34" s="391">
        <f t="shared" si="50"/>
        <v>0</v>
      </c>
      <c r="AP34" s="391">
        <f t="shared" si="50"/>
        <v>0</v>
      </c>
      <c r="AQ34" s="391">
        <f t="shared" si="50"/>
        <v>0</v>
      </c>
      <c r="AR34" s="391">
        <f t="shared" si="50"/>
        <v>0</v>
      </c>
      <c r="AS34" s="391">
        <f t="shared" si="50"/>
        <v>0</v>
      </c>
      <c r="AT34" s="391">
        <f t="shared" si="50"/>
        <v>0</v>
      </c>
      <c r="AU34" s="391">
        <f t="shared" si="50"/>
        <v>0</v>
      </c>
      <c r="AV34" s="391">
        <f t="shared" si="50"/>
        <v>0</v>
      </c>
      <c r="AW34" s="391">
        <f t="shared" si="50"/>
        <v>0</v>
      </c>
      <c r="AX34" s="391">
        <f t="shared" si="50"/>
        <v>0</v>
      </c>
      <c r="AY34" s="391">
        <f t="shared" si="50"/>
        <v>0</v>
      </c>
      <c r="AZ34" s="391">
        <f t="shared" si="50"/>
        <v>0</v>
      </c>
      <c r="BA34" s="391">
        <f t="shared" si="50"/>
        <v>0</v>
      </c>
      <c r="BB34" s="391">
        <f t="shared" si="50"/>
        <v>0</v>
      </c>
      <c r="BC34" s="391">
        <f t="shared" si="50"/>
        <v>0</v>
      </c>
      <c r="BD34" s="391">
        <f t="shared" si="50"/>
        <v>0</v>
      </c>
      <c r="BE34" s="391">
        <f t="shared" si="50"/>
        <v>0</v>
      </c>
      <c r="BF34" s="391">
        <f t="shared" si="50"/>
        <v>0</v>
      </c>
      <c r="BG34" s="391">
        <f t="shared" si="50"/>
        <v>0</v>
      </c>
      <c r="BH34" s="391">
        <f t="shared" si="50"/>
        <v>0</v>
      </c>
      <c r="BI34" s="391">
        <f t="shared" si="50"/>
        <v>0</v>
      </c>
      <c r="BJ34" s="391">
        <f t="shared" si="50"/>
        <v>0</v>
      </c>
      <c r="BK34" s="391">
        <f t="shared" si="50"/>
        <v>0</v>
      </c>
      <c r="BL34" s="410"/>
      <c r="BN34" s="491">
        <f t="shared" ref="BN34:BU34" si="51">SUM(BN33)</f>
        <v>0</v>
      </c>
      <c r="BO34" s="491">
        <f t="shared" si="51"/>
        <v>0</v>
      </c>
      <c r="BP34" s="491">
        <f t="shared" si="51"/>
        <v>0</v>
      </c>
      <c r="BQ34" s="491">
        <f t="shared" si="51"/>
        <v>0</v>
      </c>
      <c r="BR34" s="491">
        <f t="shared" si="51"/>
        <v>0</v>
      </c>
      <c r="BS34" s="491">
        <f t="shared" si="51"/>
        <v>0</v>
      </c>
      <c r="BT34" s="491">
        <f t="shared" si="51"/>
        <v>0</v>
      </c>
      <c r="BU34" s="491">
        <f t="shared" si="51"/>
        <v>0</v>
      </c>
      <c r="BV34" s="470">
        <f t="shared" si="5"/>
        <v>0</v>
      </c>
    </row>
    <row r="35" spans="1:74" s="269" customFormat="1" x14ac:dyDescent="0.25">
      <c r="A35" s="938"/>
      <c r="B35" s="415"/>
      <c r="C35" s="534" t="s">
        <v>13</v>
      </c>
      <c r="D35" s="534"/>
      <c r="E35" s="478"/>
      <c r="F35" s="535">
        <f>F34+F32+F26+F22+F18</f>
        <v>3906</v>
      </c>
      <c r="G35" s="535">
        <f>G34+G32+G26+G22+G18</f>
        <v>33363000</v>
      </c>
      <c r="H35" s="535">
        <f t="shared" ref="H35:Y35" si="52">H34+H32+H26+H22+H18</f>
        <v>4482600</v>
      </c>
      <c r="I35" s="535">
        <f t="shared" si="52"/>
        <v>26690400</v>
      </c>
      <c r="J35" s="535">
        <f t="shared" si="52"/>
        <v>2190000</v>
      </c>
      <c r="K35" s="535">
        <f t="shared" si="52"/>
        <v>0</v>
      </c>
      <c r="L35" s="535">
        <f t="shared" si="52"/>
        <v>0</v>
      </c>
      <c r="M35" s="535">
        <f t="shared" si="52"/>
        <v>0</v>
      </c>
      <c r="N35" s="535">
        <f t="shared" si="52"/>
        <v>0</v>
      </c>
      <c r="O35" s="535">
        <f t="shared" si="52"/>
        <v>0</v>
      </c>
      <c r="P35" s="535">
        <f t="shared" si="52"/>
        <v>0</v>
      </c>
      <c r="Q35" s="535">
        <f t="shared" si="52"/>
        <v>0</v>
      </c>
      <c r="R35" s="535">
        <f t="shared" si="52"/>
        <v>0</v>
      </c>
      <c r="S35" s="535">
        <f t="shared" si="52"/>
        <v>3706.5</v>
      </c>
      <c r="T35" s="535">
        <f t="shared" si="52"/>
        <v>191.5</v>
      </c>
      <c r="U35" s="535">
        <f t="shared" si="52"/>
        <v>8</v>
      </c>
      <c r="V35" s="535">
        <f t="shared" si="52"/>
        <v>0</v>
      </c>
      <c r="W35" s="535">
        <f t="shared" si="52"/>
        <v>26438000</v>
      </c>
      <c r="X35" s="535">
        <f t="shared" si="52"/>
        <v>4525000</v>
      </c>
      <c r="Y35" s="535">
        <f t="shared" si="52"/>
        <v>2400000</v>
      </c>
      <c r="Z35" s="535">
        <f>Z34+Z32+Z26+Z22+Z18</f>
        <v>251</v>
      </c>
      <c r="AA35" s="535">
        <f t="shared" ref="AA35:BK35" si="53">AA34+AA32+AA26+AA22+AA18</f>
        <v>2300000</v>
      </c>
      <c r="AB35" s="535">
        <f t="shared" si="53"/>
        <v>113</v>
      </c>
      <c r="AC35" s="535">
        <f t="shared" si="53"/>
        <v>1234000</v>
      </c>
      <c r="AD35" s="535">
        <f t="shared" si="53"/>
        <v>261</v>
      </c>
      <c r="AE35" s="535">
        <f t="shared" si="53"/>
        <v>2115000</v>
      </c>
      <c r="AF35" s="535">
        <f t="shared" si="53"/>
        <v>381</v>
      </c>
      <c r="AG35" s="535">
        <f t="shared" si="53"/>
        <v>2950000</v>
      </c>
      <c r="AH35" s="535">
        <f t="shared" si="53"/>
        <v>188</v>
      </c>
      <c r="AI35" s="535">
        <f t="shared" si="53"/>
        <v>1814000</v>
      </c>
      <c r="AJ35" s="535">
        <f t="shared" si="53"/>
        <v>106</v>
      </c>
      <c r="AK35" s="535">
        <f t="shared" si="53"/>
        <v>1090000</v>
      </c>
      <c r="AL35" s="535">
        <f t="shared" si="53"/>
        <v>191</v>
      </c>
      <c r="AM35" s="535">
        <f t="shared" si="53"/>
        <v>1870000</v>
      </c>
      <c r="AN35" s="535">
        <f t="shared" si="53"/>
        <v>426</v>
      </c>
      <c r="AO35" s="535">
        <f t="shared" si="53"/>
        <v>2775000</v>
      </c>
      <c r="AP35" s="535">
        <f t="shared" si="53"/>
        <v>71</v>
      </c>
      <c r="AQ35" s="535">
        <f t="shared" si="53"/>
        <v>910000</v>
      </c>
      <c r="AR35" s="535">
        <f t="shared" si="53"/>
        <v>186</v>
      </c>
      <c r="AS35" s="535">
        <f t="shared" si="53"/>
        <v>1805000</v>
      </c>
      <c r="AT35" s="535">
        <f t="shared" si="53"/>
        <v>261</v>
      </c>
      <c r="AU35" s="535">
        <f t="shared" si="53"/>
        <v>1970000</v>
      </c>
      <c r="AV35" s="535">
        <f t="shared" si="53"/>
        <v>206</v>
      </c>
      <c r="AW35" s="535">
        <f t="shared" si="53"/>
        <v>1825000</v>
      </c>
      <c r="AX35" s="535">
        <f t="shared" si="53"/>
        <v>101</v>
      </c>
      <c r="AY35" s="535">
        <f t="shared" si="53"/>
        <v>1190000</v>
      </c>
      <c r="AZ35" s="535">
        <f t="shared" si="53"/>
        <v>291</v>
      </c>
      <c r="BA35" s="535">
        <f t="shared" si="53"/>
        <v>2390000</v>
      </c>
      <c r="BB35" s="535">
        <f t="shared" si="53"/>
        <v>176</v>
      </c>
      <c r="BC35" s="535">
        <f t="shared" si="53"/>
        <v>1620000</v>
      </c>
      <c r="BD35" s="535">
        <f t="shared" si="53"/>
        <v>361</v>
      </c>
      <c r="BE35" s="535">
        <f t="shared" si="53"/>
        <v>2845000</v>
      </c>
      <c r="BF35" s="535">
        <f t="shared" si="53"/>
        <v>336</v>
      </c>
      <c r="BG35" s="535">
        <f t="shared" si="53"/>
        <v>2660000</v>
      </c>
      <c r="BH35" s="535">
        <f t="shared" si="53"/>
        <v>0</v>
      </c>
      <c r="BI35" s="535">
        <f t="shared" si="53"/>
        <v>0</v>
      </c>
      <c r="BJ35" s="535">
        <f t="shared" si="53"/>
        <v>3906</v>
      </c>
      <c r="BK35" s="535">
        <f t="shared" si="53"/>
        <v>33363000</v>
      </c>
      <c r="BL35" s="410"/>
      <c r="BN35" s="478">
        <f t="shared" ref="BN35:BU35" si="54">BN34+BN32+BN26+BN22+BN18</f>
        <v>5100000</v>
      </c>
      <c r="BO35" s="478">
        <f t="shared" si="54"/>
        <v>10788000</v>
      </c>
      <c r="BP35" s="478">
        <f t="shared" si="54"/>
        <v>17475000</v>
      </c>
      <c r="BQ35" s="478">
        <f t="shared" si="54"/>
        <v>0</v>
      </c>
      <c r="BR35" s="478">
        <f t="shared" si="54"/>
        <v>33363000</v>
      </c>
      <c r="BS35" s="478">
        <f t="shared" si="54"/>
        <v>0</v>
      </c>
      <c r="BT35" s="478">
        <f t="shared" si="54"/>
        <v>0</v>
      </c>
      <c r="BU35" s="478">
        <f t="shared" si="54"/>
        <v>0</v>
      </c>
      <c r="BV35" s="377">
        <f t="shared" si="5"/>
        <v>33363000</v>
      </c>
    </row>
    <row r="36" spans="1:74" x14ac:dyDescent="0.25">
      <c r="C36" s="39" t="s">
        <v>505</v>
      </c>
      <c r="AB36" s="450"/>
      <c r="AD36" s="450"/>
      <c r="AF36" s="450"/>
      <c r="AH36" s="450"/>
      <c r="AJ36" s="450"/>
      <c r="AL36" s="450"/>
      <c r="AN36" s="450"/>
      <c r="AP36" s="450"/>
      <c r="AR36" s="450"/>
      <c r="AT36" s="450"/>
      <c r="AV36" s="450"/>
      <c r="AX36" s="450"/>
      <c r="AZ36" s="450"/>
      <c r="BB36" s="450"/>
      <c r="BD36" s="450"/>
      <c r="BF36" s="450"/>
      <c r="BH36" s="450"/>
      <c r="BJ36" s="450"/>
    </row>
    <row r="37" spans="1:74" x14ac:dyDescent="0.25">
      <c r="C37" s="39" t="s">
        <v>544</v>
      </c>
    </row>
    <row r="38" spans="1:74" x14ac:dyDescent="0.25">
      <c r="C38" s="39" t="s">
        <v>545</v>
      </c>
    </row>
    <row r="39" spans="1:74" x14ac:dyDescent="0.25">
      <c r="C39" s="39" t="s">
        <v>851</v>
      </c>
    </row>
    <row r="40" spans="1:74" x14ac:dyDescent="0.25">
      <c r="C40" s="39" t="s">
        <v>546</v>
      </c>
    </row>
    <row r="41" spans="1:74" x14ac:dyDescent="0.25">
      <c r="C41" s="39" t="s">
        <v>547</v>
      </c>
    </row>
    <row r="42" spans="1:74" x14ac:dyDescent="0.25">
      <c r="C42" s="39" t="s">
        <v>548</v>
      </c>
    </row>
    <row r="43" spans="1:74" x14ac:dyDescent="0.25">
      <c r="C43" s="39" t="s">
        <v>850</v>
      </c>
    </row>
    <row r="44" spans="1:74" x14ac:dyDescent="0.25">
      <c r="C44" s="39" t="s">
        <v>549</v>
      </c>
    </row>
    <row r="45" spans="1:74" x14ac:dyDescent="0.25">
      <c r="C45" s="39"/>
    </row>
  </sheetData>
  <mergeCells count="41">
    <mergeCell ref="AZ6:BA7"/>
    <mergeCell ref="AH6:AI7"/>
    <mergeCell ref="AN6:AO7"/>
    <mergeCell ref="V6:Y7"/>
    <mergeCell ref="R6:U7"/>
    <mergeCell ref="AJ6:AK7"/>
    <mergeCell ref="AL6:AM7"/>
    <mergeCell ref="Z6:AA7"/>
    <mergeCell ref="AB6:AC7"/>
    <mergeCell ref="AD6:AE7"/>
    <mergeCell ref="AP6:AQ7"/>
    <mergeCell ref="A9:A35"/>
    <mergeCell ref="AT6:AU7"/>
    <mergeCell ref="AV6:AW7"/>
    <mergeCell ref="AX6:AY7"/>
    <mergeCell ref="AF6:AG7"/>
    <mergeCell ref="AR6:AS7"/>
    <mergeCell ref="A1:B1"/>
    <mergeCell ref="C1:Q1"/>
    <mergeCell ref="A2:B2"/>
    <mergeCell ref="C2:Q2"/>
    <mergeCell ref="G7:G8"/>
    <mergeCell ref="A6:D6"/>
    <mergeCell ref="H6:Q6"/>
    <mergeCell ref="A3:B3"/>
    <mergeCell ref="C3:Q3"/>
    <mergeCell ref="A4:B4"/>
    <mergeCell ref="C4:Q4"/>
    <mergeCell ref="A5:B5"/>
    <mergeCell ref="C7:C8"/>
    <mergeCell ref="C5:Q5"/>
    <mergeCell ref="E6:G6"/>
    <mergeCell ref="BV7:BV8"/>
    <mergeCell ref="BF6:BG7"/>
    <mergeCell ref="BH6:BI7"/>
    <mergeCell ref="BJ6:BK7"/>
    <mergeCell ref="BB6:BC7"/>
    <mergeCell ref="BL6:BL8"/>
    <mergeCell ref="BN7:BR7"/>
    <mergeCell ref="BS7:BU7"/>
    <mergeCell ref="BD6:BE7"/>
  </mergeCells>
  <pageMargins left="0.27" right="0.38" top="0.75" bottom="0.75" header="0.3" footer="0.3"/>
  <pageSetup paperSize="9" scale="1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CB73"/>
  <sheetViews>
    <sheetView zoomScale="80" zoomScaleNormal="80" workbookViewId="0">
      <pane xSplit="7" ySplit="8" topLeftCell="AI30" activePane="bottomRight" state="frozen"/>
      <selection pane="topRight" activeCell="H1" sqref="H1"/>
      <selection pane="bottomLeft" activeCell="A9" sqref="A9"/>
      <selection pane="bottomRight" activeCell="AI50" sqref="AI50"/>
    </sheetView>
  </sheetViews>
  <sheetFormatPr defaultColWidth="9.140625" defaultRowHeight="15.75" x14ac:dyDescent="0.25"/>
  <cols>
    <col min="1" max="1" width="9.28515625" style="106" hidden="1" customWidth="1"/>
    <col min="2" max="2" width="9" style="106" hidden="1" customWidth="1"/>
    <col min="3" max="3" width="42" style="106" customWidth="1"/>
    <col min="4" max="4" width="11.85546875" style="106" customWidth="1"/>
    <col min="5" max="5" width="16.42578125" style="106" customWidth="1"/>
    <col min="6" max="6" width="11.28515625" style="106" customWidth="1"/>
    <col min="7" max="7" width="25.7109375" style="449" customWidth="1"/>
    <col min="8" max="8" width="17.140625" style="449" customWidth="1"/>
    <col min="9" max="9" width="18.7109375" style="449" customWidth="1"/>
    <col min="10" max="10" width="20.28515625" style="449" customWidth="1"/>
    <col min="11" max="11" width="9.85546875" style="449" customWidth="1"/>
    <col min="12" max="12" width="15.85546875" style="449" customWidth="1"/>
    <col min="13" max="13" width="7" style="449" customWidth="1"/>
    <col min="14" max="14" width="5.5703125" style="449" customWidth="1"/>
    <col min="15" max="15" width="7.140625" style="449" customWidth="1"/>
    <col min="16" max="16" width="17.5703125" style="449" customWidth="1"/>
    <col min="17" max="17" width="18.140625" style="449" customWidth="1"/>
    <col min="18" max="18" width="8.140625" style="106" customWidth="1"/>
    <col min="19" max="19" width="10.85546875" style="106" customWidth="1"/>
    <col min="20" max="20" width="11.28515625" style="106" customWidth="1"/>
    <col min="21" max="21" width="10.28515625" style="106" customWidth="1"/>
    <col min="22" max="25" width="17.140625" style="106" customWidth="1"/>
    <col min="26" max="26" width="8" style="106" bestFit="1" customWidth="1"/>
    <col min="27" max="27" width="16" style="402" bestFit="1" customWidth="1"/>
    <col min="28" max="28" width="5.5703125" style="106" bestFit="1" customWidth="1"/>
    <col min="29" max="29" width="16" style="106" bestFit="1" customWidth="1"/>
    <col min="30" max="30" width="5.5703125" style="106" customWidth="1"/>
    <col min="31" max="31" width="16" style="106" bestFit="1" customWidth="1"/>
    <col min="32" max="32" width="5.5703125" style="106" bestFit="1" customWidth="1"/>
    <col min="33" max="33" width="16" style="106" bestFit="1" customWidth="1"/>
    <col min="34" max="34" width="5.5703125" style="106" bestFit="1" customWidth="1"/>
    <col min="35" max="35" width="14.28515625" style="106" customWidth="1"/>
    <col min="36" max="36" width="5.5703125" style="106" bestFit="1" customWidth="1"/>
    <col min="37" max="37" width="16" style="106" bestFit="1" customWidth="1"/>
    <col min="38" max="38" width="5.5703125" style="106" bestFit="1" customWidth="1"/>
    <col min="39" max="39" width="16" style="106" bestFit="1" customWidth="1"/>
    <col min="40" max="40" width="5.5703125" style="106" bestFit="1" customWidth="1"/>
    <col min="41" max="41" width="16" style="106" bestFit="1" customWidth="1"/>
    <col min="42" max="42" width="6.7109375" style="106" bestFit="1" customWidth="1"/>
    <col min="43" max="43" width="12.85546875" style="106" bestFit="1" customWidth="1"/>
    <col min="44" max="44" width="8.28515625" style="106" bestFit="1" customWidth="1"/>
    <col min="45" max="45" width="14.28515625" style="106" bestFit="1" customWidth="1"/>
    <col min="46" max="46" width="6.7109375" style="106" bestFit="1" customWidth="1"/>
    <col min="47" max="47" width="14.28515625" style="106" bestFit="1" customWidth="1"/>
    <col min="48" max="48" width="6.7109375" style="106" bestFit="1" customWidth="1"/>
    <col min="49" max="49" width="14.28515625" style="106" bestFit="1" customWidth="1"/>
    <col min="50" max="50" width="6.7109375" style="106" bestFit="1" customWidth="1"/>
    <col min="51" max="51" width="14.28515625" style="106" bestFit="1" customWidth="1"/>
    <col min="52" max="52" width="6.7109375" style="106" bestFit="1" customWidth="1"/>
    <col min="53" max="53" width="14.28515625" style="106" bestFit="1" customWidth="1"/>
    <col min="54" max="54" width="8.28515625" style="106" bestFit="1" customWidth="1"/>
    <col min="55" max="55" width="14.28515625" style="106" bestFit="1" customWidth="1"/>
    <col min="56" max="56" width="6.7109375" style="106" bestFit="1" customWidth="1"/>
    <col min="57" max="57" width="14.28515625" style="106" bestFit="1" customWidth="1"/>
    <col min="58" max="58" width="6.7109375" style="106" bestFit="1" customWidth="1"/>
    <col min="59" max="59" width="16" style="106" bestFit="1" customWidth="1"/>
    <col min="60" max="60" width="8.7109375" style="106" customWidth="1"/>
    <col min="61" max="61" width="14.28515625" style="106" bestFit="1" customWidth="1"/>
    <col min="62" max="62" width="9.5703125" style="106" customWidth="1"/>
    <col min="63" max="63" width="16" style="106" bestFit="1" customWidth="1"/>
    <col min="64" max="64" width="28.7109375" style="481" customWidth="1"/>
    <col min="65" max="65" width="9.140625" style="106" customWidth="1"/>
    <col min="66" max="66" width="20.42578125" style="106" customWidth="1"/>
    <col min="67" max="67" width="17.42578125" style="106" bestFit="1" customWidth="1"/>
    <col min="68" max="68" width="18.85546875" style="106" bestFit="1" customWidth="1"/>
    <col min="69" max="69" width="18" style="106" customWidth="1"/>
    <col min="70" max="70" width="18.42578125" style="106" customWidth="1"/>
    <col min="71" max="73" width="9.140625" style="106" customWidth="1"/>
    <col min="74" max="74" width="19.85546875" style="106" customWidth="1"/>
    <col min="75" max="16384" width="9.140625" style="106"/>
  </cols>
  <sheetData>
    <row r="1" spans="1:74" ht="18.75" hidden="1" customHeight="1" x14ac:dyDescent="0.25">
      <c r="A1" s="928" t="s">
        <v>407</v>
      </c>
      <c r="B1" s="928"/>
      <c r="C1" s="929" t="s">
        <v>401</v>
      </c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  <c r="R1" s="269"/>
      <c r="S1" s="269"/>
      <c r="T1" s="269"/>
      <c r="U1" s="269"/>
      <c r="V1" s="269"/>
      <c r="W1" s="269"/>
      <c r="X1" s="269"/>
      <c r="Y1" s="269"/>
    </row>
    <row r="2" spans="1:74" ht="15" hidden="1" customHeight="1" x14ac:dyDescent="0.25">
      <c r="A2" s="928" t="s">
        <v>403</v>
      </c>
      <c r="B2" s="928"/>
      <c r="C2" s="929" t="s">
        <v>402</v>
      </c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269"/>
      <c r="S2" s="269"/>
      <c r="T2" s="269"/>
      <c r="U2" s="269"/>
      <c r="V2" s="269"/>
      <c r="W2" s="269"/>
      <c r="X2" s="269"/>
      <c r="Y2" s="269"/>
      <c r="Z2" s="351" t="s">
        <v>781</v>
      </c>
      <c r="AA2" s="351">
        <v>8.34</v>
      </c>
      <c r="AB2" s="351"/>
      <c r="AC2" s="351">
        <v>2.85</v>
      </c>
      <c r="AD2" s="351"/>
      <c r="AE2" s="351">
        <v>8.3800000000000008</v>
      </c>
      <c r="AF2" s="351"/>
      <c r="AG2" s="351">
        <v>7.49</v>
      </c>
      <c r="AH2" s="351"/>
      <c r="AI2" s="351">
        <v>3.33</v>
      </c>
      <c r="AJ2" s="351"/>
      <c r="AK2" s="351">
        <v>6.64</v>
      </c>
      <c r="AL2" s="351"/>
      <c r="AM2" s="351">
        <v>3.67</v>
      </c>
      <c r="AN2" s="351"/>
      <c r="AO2" s="351">
        <v>5.0599999999999996</v>
      </c>
      <c r="AP2" s="351"/>
      <c r="AQ2" s="351">
        <v>5.94</v>
      </c>
      <c r="AR2" s="351"/>
      <c r="AS2" s="351">
        <v>6.85</v>
      </c>
      <c r="AT2" s="351"/>
      <c r="AU2" s="351">
        <v>7.45</v>
      </c>
      <c r="AV2" s="351"/>
      <c r="AW2" s="351">
        <v>5.13</v>
      </c>
      <c r="AX2" s="351"/>
      <c r="AY2" s="351">
        <v>4.8600000000000003</v>
      </c>
      <c r="AZ2" s="351"/>
      <c r="BA2" s="351">
        <v>5.79</v>
      </c>
      <c r="BB2" s="351"/>
      <c r="BC2" s="351">
        <v>5.3</v>
      </c>
      <c r="BD2" s="351"/>
      <c r="BE2" s="351">
        <v>3.47</v>
      </c>
      <c r="BF2" s="351"/>
      <c r="BG2" s="351">
        <v>9.42</v>
      </c>
      <c r="BH2" s="351"/>
      <c r="BI2" s="351"/>
      <c r="BJ2" s="351"/>
      <c r="BK2" s="351"/>
    </row>
    <row r="3" spans="1:74" ht="17.25" hidden="1" customHeight="1" x14ac:dyDescent="0.25">
      <c r="A3" s="928" t="s">
        <v>404</v>
      </c>
      <c r="B3" s="928"/>
      <c r="C3" s="929" t="s">
        <v>746</v>
      </c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269"/>
      <c r="S3" s="269"/>
      <c r="T3" s="269"/>
      <c r="U3" s="269"/>
      <c r="V3" s="269"/>
      <c r="W3" s="269"/>
      <c r="X3" s="269"/>
      <c r="Y3" s="269"/>
      <c r="Z3" s="351" t="s">
        <v>779</v>
      </c>
      <c r="AA3" s="351">
        <v>48</v>
      </c>
      <c r="AB3" s="351"/>
      <c r="AC3" s="351">
        <v>23</v>
      </c>
      <c r="AD3" s="351"/>
      <c r="AE3" s="351">
        <v>80</v>
      </c>
      <c r="AF3" s="351"/>
      <c r="AG3" s="351">
        <v>105</v>
      </c>
      <c r="AH3" s="351"/>
      <c r="AI3" s="351">
        <v>43</v>
      </c>
      <c r="AJ3" s="351"/>
      <c r="AK3" s="351">
        <v>75</v>
      </c>
      <c r="AL3" s="351"/>
      <c r="AM3" s="351">
        <v>41</v>
      </c>
      <c r="AN3" s="351"/>
      <c r="AO3" s="351">
        <v>101</v>
      </c>
      <c r="AP3" s="351"/>
      <c r="AQ3" s="351">
        <v>8</v>
      </c>
      <c r="AR3" s="351"/>
      <c r="AS3" s="351">
        <v>33</v>
      </c>
      <c r="AT3" s="351"/>
      <c r="AU3" s="351">
        <v>53</v>
      </c>
      <c r="AV3" s="351"/>
      <c r="AW3" s="351">
        <v>52</v>
      </c>
      <c r="AX3" s="351"/>
      <c r="AY3" s="351">
        <v>76</v>
      </c>
      <c r="AZ3" s="351"/>
      <c r="BA3" s="351">
        <v>82</v>
      </c>
      <c r="BB3" s="351"/>
      <c r="BC3" s="351">
        <v>104</v>
      </c>
      <c r="BD3" s="351"/>
      <c r="BE3" s="351">
        <v>147</v>
      </c>
      <c r="BF3" s="351"/>
      <c r="BG3" s="351">
        <v>54</v>
      </c>
      <c r="BH3" s="351"/>
      <c r="BI3" s="351"/>
      <c r="BJ3" s="351"/>
      <c r="BK3" s="351"/>
    </row>
    <row r="4" spans="1:74" ht="17.25" hidden="1" customHeight="1" x14ac:dyDescent="0.25">
      <c r="A4" s="928" t="s">
        <v>420</v>
      </c>
      <c r="B4" s="928"/>
      <c r="C4" s="929" t="s">
        <v>199</v>
      </c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269"/>
      <c r="S4" s="269"/>
      <c r="T4" s="269"/>
      <c r="U4" s="269"/>
      <c r="V4" s="269"/>
      <c r="W4" s="269"/>
      <c r="X4" s="269"/>
      <c r="Y4" s="269"/>
      <c r="Z4" s="351" t="s">
        <v>780</v>
      </c>
      <c r="AA4" s="442">
        <f>AA3/1125*100</f>
        <v>4.2666666666666666</v>
      </c>
      <c r="AB4" s="442">
        <f t="shared" ref="AB4:BG4" si="0">AB3/1125*100</f>
        <v>0</v>
      </c>
      <c r="AC4" s="442">
        <f t="shared" si="0"/>
        <v>2.0444444444444447</v>
      </c>
      <c r="AD4" s="442">
        <f t="shared" si="0"/>
        <v>0</v>
      </c>
      <c r="AE4" s="442">
        <f t="shared" si="0"/>
        <v>7.1111111111111107</v>
      </c>
      <c r="AF4" s="442">
        <f t="shared" si="0"/>
        <v>0</v>
      </c>
      <c r="AG4" s="442">
        <f t="shared" si="0"/>
        <v>9.3333333333333339</v>
      </c>
      <c r="AH4" s="442">
        <f t="shared" si="0"/>
        <v>0</v>
      </c>
      <c r="AI4" s="442">
        <f t="shared" si="0"/>
        <v>3.822222222222222</v>
      </c>
      <c r="AJ4" s="442">
        <f t="shared" si="0"/>
        <v>0</v>
      </c>
      <c r="AK4" s="442">
        <f t="shared" si="0"/>
        <v>6.666666666666667</v>
      </c>
      <c r="AL4" s="442">
        <f t="shared" si="0"/>
        <v>0</v>
      </c>
      <c r="AM4" s="442">
        <f t="shared" si="0"/>
        <v>3.6444444444444448</v>
      </c>
      <c r="AN4" s="442">
        <f t="shared" si="0"/>
        <v>0</v>
      </c>
      <c r="AO4" s="442">
        <f t="shared" si="0"/>
        <v>8.9777777777777779</v>
      </c>
      <c r="AP4" s="442">
        <f t="shared" si="0"/>
        <v>0</v>
      </c>
      <c r="AQ4" s="442">
        <f t="shared" si="0"/>
        <v>0.71111111111111114</v>
      </c>
      <c r="AR4" s="442">
        <f t="shared" si="0"/>
        <v>0</v>
      </c>
      <c r="AS4" s="442">
        <f t="shared" si="0"/>
        <v>2.9333333333333331</v>
      </c>
      <c r="AT4" s="442">
        <f t="shared" si="0"/>
        <v>0</v>
      </c>
      <c r="AU4" s="442">
        <f t="shared" si="0"/>
        <v>4.7111111111111112</v>
      </c>
      <c r="AV4" s="442">
        <f t="shared" si="0"/>
        <v>0</v>
      </c>
      <c r="AW4" s="442">
        <f t="shared" si="0"/>
        <v>4.6222222222222218</v>
      </c>
      <c r="AX4" s="442">
        <f t="shared" si="0"/>
        <v>0</v>
      </c>
      <c r="AY4" s="442">
        <f t="shared" si="0"/>
        <v>6.7555555555555546</v>
      </c>
      <c r="AZ4" s="442">
        <f t="shared" si="0"/>
        <v>0</v>
      </c>
      <c r="BA4" s="442">
        <f t="shared" si="0"/>
        <v>7.2888888888888896</v>
      </c>
      <c r="BB4" s="442">
        <f t="shared" si="0"/>
        <v>0</v>
      </c>
      <c r="BC4" s="442">
        <f t="shared" si="0"/>
        <v>9.2444444444444436</v>
      </c>
      <c r="BD4" s="442">
        <f t="shared" si="0"/>
        <v>0</v>
      </c>
      <c r="BE4" s="442">
        <f t="shared" si="0"/>
        <v>13.066666666666665</v>
      </c>
      <c r="BF4" s="442">
        <f t="shared" si="0"/>
        <v>0</v>
      </c>
      <c r="BG4" s="442">
        <f t="shared" si="0"/>
        <v>4.8</v>
      </c>
      <c r="BH4" s="351"/>
      <c r="BI4" s="351"/>
      <c r="BJ4" s="351"/>
      <c r="BK4" s="351"/>
    </row>
    <row r="5" spans="1:74" ht="22.5" hidden="1" customHeight="1" x14ac:dyDescent="0.25">
      <c r="A5" s="928" t="s">
        <v>422</v>
      </c>
      <c r="B5" s="928"/>
      <c r="C5" s="929" t="s">
        <v>421</v>
      </c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29"/>
      <c r="Q5" s="929"/>
      <c r="R5" s="269"/>
      <c r="S5" s="269"/>
      <c r="T5" s="269"/>
      <c r="U5" s="269"/>
      <c r="V5" s="269"/>
      <c r="W5" s="269"/>
      <c r="X5" s="269"/>
      <c r="Y5" s="269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</row>
    <row r="6" spans="1:74" ht="21" customHeight="1" x14ac:dyDescent="0.25">
      <c r="A6" s="950"/>
      <c r="B6" s="951"/>
      <c r="C6" s="951"/>
      <c r="D6" s="952"/>
      <c r="E6" s="825"/>
      <c r="F6" s="950" t="s">
        <v>22</v>
      </c>
      <c r="G6" s="952"/>
      <c r="H6" s="932" t="s">
        <v>400</v>
      </c>
      <c r="I6" s="933"/>
      <c r="J6" s="933"/>
      <c r="K6" s="933"/>
      <c r="L6" s="933"/>
      <c r="M6" s="933"/>
      <c r="N6" s="933"/>
      <c r="O6" s="933"/>
      <c r="P6" s="933"/>
      <c r="Q6" s="934"/>
      <c r="R6" s="957" t="s">
        <v>66</v>
      </c>
      <c r="S6" s="958"/>
      <c r="T6" s="958"/>
      <c r="U6" s="959"/>
      <c r="V6" s="963" t="s">
        <v>6</v>
      </c>
      <c r="W6" s="964"/>
      <c r="X6" s="964"/>
      <c r="Y6" s="965"/>
      <c r="Z6" s="956" t="s">
        <v>432</v>
      </c>
      <c r="AA6" s="956"/>
      <c r="AB6" s="956" t="s">
        <v>433</v>
      </c>
      <c r="AC6" s="956"/>
      <c r="AD6" s="956" t="s">
        <v>434</v>
      </c>
      <c r="AE6" s="956"/>
      <c r="AF6" s="956" t="s">
        <v>435</v>
      </c>
      <c r="AG6" s="956"/>
      <c r="AH6" s="956" t="s">
        <v>436</v>
      </c>
      <c r="AI6" s="956"/>
      <c r="AJ6" s="956" t="s">
        <v>437</v>
      </c>
      <c r="AK6" s="956"/>
      <c r="AL6" s="956" t="s">
        <v>438</v>
      </c>
      <c r="AM6" s="956"/>
      <c r="AN6" s="956" t="s">
        <v>439</v>
      </c>
      <c r="AO6" s="956"/>
      <c r="AP6" s="956" t="s">
        <v>440</v>
      </c>
      <c r="AQ6" s="956"/>
      <c r="AR6" s="956" t="s">
        <v>441</v>
      </c>
      <c r="AS6" s="956"/>
      <c r="AT6" s="956" t="s">
        <v>442</v>
      </c>
      <c r="AU6" s="956"/>
      <c r="AV6" s="956" t="s">
        <v>443</v>
      </c>
      <c r="AW6" s="956"/>
      <c r="AX6" s="956" t="s">
        <v>444</v>
      </c>
      <c r="AY6" s="956"/>
      <c r="AZ6" s="956" t="s">
        <v>445</v>
      </c>
      <c r="BA6" s="956"/>
      <c r="BB6" s="956" t="s">
        <v>446</v>
      </c>
      <c r="BC6" s="956"/>
      <c r="BD6" s="956" t="s">
        <v>447</v>
      </c>
      <c r="BE6" s="956"/>
      <c r="BF6" s="956" t="s">
        <v>448</v>
      </c>
      <c r="BG6" s="956"/>
      <c r="BH6" s="956" t="s">
        <v>449</v>
      </c>
      <c r="BI6" s="956"/>
      <c r="BJ6" s="956" t="s">
        <v>18</v>
      </c>
      <c r="BK6" s="956"/>
      <c r="BL6" s="38"/>
    </row>
    <row r="7" spans="1:74" x14ac:dyDescent="0.25">
      <c r="A7" s="969" t="s">
        <v>14</v>
      </c>
      <c r="B7" s="953" t="s">
        <v>62</v>
      </c>
      <c r="C7" s="969" t="s">
        <v>12</v>
      </c>
      <c r="D7" s="969" t="s">
        <v>15</v>
      </c>
      <c r="E7" s="953" t="s">
        <v>40</v>
      </c>
      <c r="F7" s="953" t="s">
        <v>24</v>
      </c>
      <c r="G7" s="971" t="s">
        <v>465</v>
      </c>
      <c r="H7" s="67" t="s">
        <v>455</v>
      </c>
      <c r="I7" s="67" t="s">
        <v>456</v>
      </c>
      <c r="J7" s="67" t="s">
        <v>457</v>
      </c>
      <c r="K7" s="67" t="s">
        <v>458</v>
      </c>
      <c r="L7" s="67" t="s">
        <v>459</v>
      </c>
      <c r="M7" s="67" t="s">
        <v>460</v>
      </c>
      <c r="N7" s="67" t="s">
        <v>461</v>
      </c>
      <c r="O7" s="67" t="s">
        <v>462</v>
      </c>
      <c r="P7" s="67" t="s">
        <v>463</v>
      </c>
      <c r="Q7" s="67" t="s">
        <v>464</v>
      </c>
      <c r="R7" s="960"/>
      <c r="S7" s="961"/>
      <c r="T7" s="961"/>
      <c r="U7" s="962"/>
      <c r="V7" s="966"/>
      <c r="W7" s="967"/>
      <c r="X7" s="967"/>
      <c r="Y7" s="968"/>
      <c r="Z7" s="956"/>
      <c r="AA7" s="956"/>
      <c r="AB7" s="956" t="s">
        <v>49</v>
      </c>
      <c r="AC7" s="956"/>
      <c r="AD7" s="956" t="s">
        <v>50</v>
      </c>
      <c r="AE7" s="956"/>
      <c r="AF7" s="956" t="s">
        <v>51</v>
      </c>
      <c r="AG7" s="956"/>
      <c r="AH7" s="956" t="s">
        <v>52</v>
      </c>
      <c r="AI7" s="956"/>
      <c r="AJ7" s="956" t="s">
        <v>53</v>
      </c>
      <c r="AK7" s="956"/>
      <c r="AL7" s="956" t="s">
        <v>54</v>
      </c>
      <c r="AM7" s="956"/>
      <c r="AN7" s="956" t="s">
        <v>55</v>
      </c>
      <c r="AO7" s="956"/>
      <c r="AP7" s="956" t="s">
        <v>56</v>
      </c>
      <c r="AQ7" s="956"/>
      <c r="AR7" s="956" t="s">
        <v>57</v>
      </c>
      <c r="AS7" s="956"/>
      <c r="AT7" s="956" t="s">
        <v>58</v>
      </c>
      <c r="AU7" s="956"/>
      <c r="AV7" s="956" t="s">
        <v>59</v>
      </c>
      <c r="AW7" s="956"/>
      <c r="AX7" s="956" t="s">
        <v>60</v>
      </c>
      <c r="AY7" s="956"/>
      <c r="AZ7" s="956" t="s">
        <v>61</v>
      </c>
      <c r="BA7" s="956"/>
      <c r="BB7" s="956" t="s">
        <v>45</v>
      </c>
      <c r="BC7" s="956"/>
      <c r="BD7" s="956" t="s">
        <v>42</v>
      </c>
      <c r="BE7" s="956"/>
      <c r="BF7" s="956"/>
      <c r="BG7" s="956"/>
      <c r="BH7" s="956"/>
      <c r="BI7" s="956"/>
      <c r="BJ7" s="956"/>
      <c r="BK7" s="956"/>
      <c r="BL7" s="949" t="s">
        <v>496</v>
      </c>
      <c r="BN7" s="863" t="s">
        <v>494</v>
      </c>
      <c r="BO7" s="863"/>
      <c r="BP7" s="863"/>
      <c r="BQ7" s="863"/>
      <c r="BR7" s="863"/>
      <c r="BS7" s="863" t="s">
        <v>495</v>
      </c>
      <c r="BT7" s="863"/>
      <c r="BU7" s="863"/>
      <c r="BV7" s="864" t="s">
        <v>18</v>
      </c>
    </row>
    <row r="8" spans="1:74" ht="47.25" x14ac:dyDescent="0.25">
      <c r="A8" s="970"/>
      <c r="B8" s="955"/>
      <c r="C8" s="970"/>
      <c r="D8" s="970"/>
      <c r="E8" s="955"/>
      <c r="F8" s="955"/>
      <c r="G8" s="97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108" t="s">
        <v>7</v>
      </c>
      <c r="S8" s="108" t="s">
        <v>8</v>
      </c>
      <c r="T8" s="108" t="s">
        <v>9</v>
      </c>
      <c r="U8" s="108" t="s">
        <v>10</v>
      </c>
      <c r="V8" s="108" t="s">
        <v>7</v>
      </c>
      <c r="W8" s="108" t="s">
        <v>8</v>
      </c>
      <c r="X8" s="108" t="s">
        <v>9</v>
      </c>
      <c r="Y8" s="108" t="s">
        <v>10</v>
      </c>
      <c r="Z8" s="410" t="s">
        <v>15</v>
      </c>
      <c r="AA8" s="290" t="s">
        <v>16</v>
      </c>
      <c r="AB8" s="410" t="s">
        <v>15</v>
      </c>
      <c r="AC8" s="410" t="s">
        <v>16</v>
      </c>
      <c r="AD8" s="410" t="s">
        <v>15</v>
      </c>
      <c r="AE8" s="410" t="s">
        <v>16</v>
      </c>
      <c r="AF8" s="410" t="s">
        <v>15</v>
      </c>
      <c r="AG8" s="410" t="s">
        <v>16</v>
      </c>
      <c r="AH8" s="410" t="s">
        <v>15</v>
      </c>
      <c r="AI8" s="410" t="s">
        <v>16</v>
      </c>
      <c r="AJ8" s="410" t="s">
        <v>15</v>
      </c>
      <c r="AK8" s="410" t="s">
        <v>16</v>
      </c>
      <c r="AL8" s="410" t="s">
        <v>15</v>
      </c>
      <c r="AM8" s="410" t="s">
        <v>16</v>
      </c>
      <c r="AN8" s="410" t="s">
        <v>15</v>
      </c>
      <c r="AO8" s="410" t="s">
        <v>16</v>
      </c>
      <c r="AP8" s="410" t="s">
        <v>15</v>
      </c>
      <c r="AQ8" s="410" t="s">
        <v>16</v>
      </c>
      <c r="AR8" s="410" t="s">
        <v>15</v>
      </c>
      <c r="AS8" s="410" t="s">
        <v>16</v>
      </c>
      <c r="AT8" s="410" t="s">
        <v>15</v>
      </c>
      <c r="AU8" s="410" t="s">
        <v>16</v>
      </c>
      <c r="AV8" s="410" t="s">
        <v>15</v>
      </c>
      <c r="AW8" s="410" t="s">
        <v>16</v>
      </c>
      <c r="AX8" s="410" t="s">
        <v>15</v>
      </c>
      <c r="AY8" s="410" t="s">
        <v>16</v>
      </c>
      <c r="AZ8" s="410" t="s">
        <v>15</v>
      </c>
      <c r="BA8" s="410" t="s">
        <v>16</v>
      </c>
      <c r="BB8" s="410" t="s">
        <v>15</v>
      </c>
      <c r="BC8" s="410" t="s">
        <v>16</v>
      </c>
      <c r="BD8" s="410" t="s">
        <v>15</v>
      </c>
      <c r="BE8" s="410" t="s">
        <v>16</v>
      </c>
      <c r="BF8" s="410" t="s">
        <v>15</v>
      </c>
      <c r="BG8" s="410" t="s">
        <v>16</v>
      </c>
      <c r="BH8" s="410" t="s">
        <v>15</v>
      </c>
      <c r="BI8" s="410" t="s">
        <v>16</v>
      </c>
      <c r="BJ8" s="410" t="s">
        <v>15</v>
      </c>
      <c r="BK8" s="410" t="s">
        <v>16</v>
      </c>
      <c r="BL8" s="949"/>
      <c r="BN8" s="118" t="s">
        <v>485</v>
      </c>
      <c r="BO8" s="357" t="s">
        <v>486</v>
      </c>
      <c r="BP8" s="357" t="s">
        <v>487</v>
      </c>
      <c r="BQ8" s="358" t="s">
        <v>488</v>
      </c>
      <c r="BR8" s="357" t="s">
        <v>489</v>
      </c>
      <c r="BS8" s="357" t="s">
        <v>490</v>
      </c>
      <c r="BT8" s="357" t="s">
        <v>491</v>
      </c>
      <c r="BU8" s="357" t="s">
        <v>492</v>
      </c>
      <c r="BV8" s="864"/>
    </row>
    <row r="9" spans="1:74" ht="21" customHeight="1" x14ac:dyDescent="0.25">
      <c r="A9" s="953" t="s">
        <v>199</v>
      </c>
      <c r="B9" s="482">
        <v>23000</v>
      </c>
      <c r="C9" s="822" t="s">
        <v>174</v>
      </c>
      <c r="D9" s="405"/>
      <c r="E9" s="824"/>
      <c r="F9" s="824"/>
      <c r="G9" s="823"/>
      <c r="H9" s="823"/>
      <c r="I9" s="823"/>
      <c r="J9" s="823"/>
      <c r="K9" s="823"/>
      <c r="L9" s="823"/>
      <c r="M9" s="823"/>
      <c r="N9" s="823"/>
      <c r="O9" s="483"/>
      <c r="P9" s="483"/>
      <c r="Q9" s="483"/>
      <c r="R9" s="108"/>
      <c r="S9" s="108"/>
      <c r="T9" s="108"/>
      <c r="U9" s="108"/>
      <c r="V9" s="108"/>
      <c r="W9" s="108"/>
      <c r="X9" s="108"/>
      <c r="Y9" s="108"/>
      <c r="Z9" s="410"/>
      <c r="AA9" s="290"/>
      <c r="AB9" s="410"/>
      <c r="AC9" s="290"/>
      <c r="AD9" s="410"/>
      <c r="AE9" s="290"/>
      <c r="AF9" s="410"/>
      <c r="AG9" s="290"/>
      <c r="AH9" s="410"/>
      <c r="AI9" s="290"/>
      <c r="AJ9" s="410"/>
      <c r="AK9" s="290"/>
      <c r="AL9" s="410"/>
      <c r="AM9" s="290"/>
      <c r="AN9" s="410"/>
      <c r="AO9" s="290"/>
      <c r="AP9" s="410"/>
      <c r="AQ9" s="290"/>
      <c r="AR9" s="410"/>
      <c r="AS9" s="290"/>
      <c r="AT9" s="410"/>
      <c r="AU9" s="290"/>
      <c r="AV9" s="410"/>
      <c r="AW9" s="290"/>
      <c r="AX9" s="410"/>
      <c r="AY9" s="290"/>
      <c r="AZ9" s="410"/>
      <c r="BA9" s="290"/>
      <c r="BB9" s="410"/>
      <c r="BC9" s="290"/>
      <c r="BD9" s="410"/>
      <c r="BE9" s="290"/>
      <c r="BF9" s="410"/>
      <c r="BG9" s="290"/>
      <c r="BH9" s="410"/>
      <c r="BI9" s="290"/>
      <c r="BJ9" s="410"/>
      <c r="BK9" s="290"/>
      <c r="BL9" s="949"/>
      <c r="BN9" s="373"/>
      <c r="BO9" s="373"/>
      <c r="BP9" s="373"/>
      <c r="BQ9" s="373"/>
      <c r="BR9" s="373"/>
      <c r="BS9" s="373"/>
      <c r="BT9" s="373"/>
      <c r="BU9" s="373"/>
      <c r="BV9" s="373"/>
    </row>
    <row r="10" spans="1:74" ht="27" customHeight="1" x14ac:dyDescent="0.25">
      <c r="A10" s="954"/>
      <c r="B10" s="38">
        <v>23100</v>
      </c>
      <c r="C10" s="822" t="s">
        <v>175</v>
      </c>
      <c r="D10" s="405"/>
      <c r="E10" s="824"/>
      <c r="F10" s="824"/>
      <c r="G10" s="823"/>
      <c r="H10" s="823"/>
      <c r="I10" s="823"/>
      <c r="J10" s="823"/>
      <c r="K10" s="823"/>
      <c r="L10" s="823"/>
      <c r="M10" s="823"/>
      <c r="N10" s="823"/>
      <c r="O10" s="483"/>
      <c r="P10" s="483"/>
      <c r="Q10" s="483"/>
      <c r="R10" s="484"/>
      <c r="S10" s="484"/>
      <c r="T10" s="484"/>
      <c r="U10" s="484"/>
      <c r="V10" s="484"/>
      <c r="W10" s="484"/>
      <c r="X10" s="484"/>
      <c r="Y10" s="484"/>
      <c r="Z10" s="410"/>
      <c r="AA10" s="290"/>
      <c r="AB10" s="410"/>
      <c r="AC10" s="290"/>
      <c r="AD10" s="410"/>
      <c r="AE10" s="290"/>
      <c r="AF10" s="410"/>
      <c r="AG10" s="290"/>
      <c r="AH10" s="410"/>
      <c r="AI10" s="290"/>
      <c r="AJ10" s="410"/>
      <c r="AK10" s="290"/>
      <c r="AL10" s="410"/>
      <c r="AM10" s="290"/>
      <c r="AN10" s="410"/>
      <c r="AO10" s="290"/>
      <c r="AP10" s="410"/>
      <c r="AQ10" s="290"/>
      <c r="AR10" s="410"/>
      <c r="AS10" s="290"/>
      <c r="AT10" s="410"/>
      <c r="AU10" s="290"/>
      <c r="AV10" s="410"/>
      <c r="AW10" s="290"/>
      <c r="AX10" s="410"/>
      <c r="AY10" s="290"/>
      <c r="AZ10" s="410"/>
      <c r="BA10" s="290"/>
      <c r="BB10" s="410"/>
      <c r="BC10" s="290"/>
      <c r="BD10" s="410"/>
      <c r="BE10" s="290"/>
      <c r="BF10" s="410"/>
      <c r="BG10" s="290"/>
      <c r="BH10" s="410"/>
      <c r="BI10" s="290"/>
      <c r="BJ10" s="410"/>
      <c r="BK10" s="290"/>
      <c r="BL10" s="38"/>
      <c r="BN10" s="375"/>
      <c r="BO10" s="375"/>
      <c r="BP10" s="375"/>
      <c r="BQ10" s="375"/>
      <c r="BR10" s="375"/>
      <c r="BS10" s="375"/>
      <c r="BT10" s="375"/>
      <c r="BU10" s="375"/>
      <c r="BV10" s="377">
        <f>BR10+BU10</f>
        <v>0</v>
      </c>
    </row>
    <row r="11" spans="1:74" ht="31.5" x14ac:dyDescent="0.25">
      <c r="A11" s="954"/>
      <c r="B11" s="482"/>
      <c r="C11" s="38" t="s">
        <v>787</v>
      </c>
      <c r="D11" s="38" t="s">
        <v>176</v>
      </c>
      <c r="E11" s="365">
        <v>600</v>
      </c>
      <c r="F11" s="38">
        <f>BJ11</f>
        <v>2670</v>
      </c>
      <c r="G11" s="485">
        <f>E11*F11</f>
        <v>1602000</v>
      </c>
      <c r="H11" s="485">
        <f>G11*0.2</f>
        <v>320400</v>
      </c>
      <c r="I11" s="485">
        <f>G11*0.8</f>
        <v>1281600</v>
      </c>
      <c r="J11" s="485">
        <f>G11*0</f>
        <v>0</v>
      </c>
      <c r="K11" s="485">
        <f>G11*0</f>
        <v>0</v>
      </c>
      <c r="L11" s="485">
        <f>G11*0</f>
        <v>0</v>
      </c>
      <c r="M11" s="485">
        <f>G11*0</f>
        <v>0</v>
      </c>
      <c r="N11" s="485">
        <f>G11*0</f>
        <v>0</v>
      </c>
      <c r="O11" s="76">
        <f>G11*0</f>
        <v>0</v>
      </c>
      <c r="P11" s="76">
        <f>G11*0</f>
        <v>0</v>
      </c>
      <c r="Q11" s="76">
        <f>G11*0</f>
        <v>0</v>
      </c>
      <c r="R11" s="484">
        <f>F11*0.7</f>
        <v>1868.9999999999998</v>
      </c>
      <c r="S11" s="484">
        <f>F11*0.3</f>
        <v>801</v>
      </c>
      <c r="T11" s="484"/>
      <c r="U11" s="484"/>
      <c r="V11" s="486">
        <f>R11*E11</f>
        <v>1121399.9999999998</v>
      </c>
      <c r="W11" s="486">
        <f>S11*E11</f>
        <v>480600</v>
      </c>
      <c r="X11" s="486">
        <f>T11*E11</f>
        <v>0</v>
      </c>
      <c r="Y11" s="486">
        <f>U11*E11</f>
        <v>0</v>
      </c>
      <c r="Z11" s="373">
        <v>0</v>
      </c>
      <c r="AA11" s="156">
        <f>Z11*E11</f>
        <v>0</v>
      </c>
      <c r="AB11" s="373">
        <v>0</v>
      </c>
      <c r="AC11" s="156">
        <f>AB11*E11</f>
        <v>0</v>
      </c>
      <c r="AD11" s="373">
        <v>0</v>
      </c>
      <c r="AE11" s="156">
        <f>AD11*E11</f>
        <v>0</v>
      </c>
      <c r="AF11" s="373">
        <v>0</v>
      </c>
      <c r="AG11" s="156">
        <f>AF11*E11</f>
        <v>0</v>
      </c>
      <c r="AH11" s="373">
        <v>0</v>
      </c>
      <c r="AI11" s="156">
        <f>AH11*E11</f>
        <v>0</v>
      </c>
      <c r="AJ11" s="373">
        <v>0</v>
      </c>
      <c r="AK11" s="156">
        <f>AJ11*E11</f>
        <v>0</v>
      </c>
      <c r="AL11" s="373">
        <v>0</v>
      </c>
      <c r="AM11" s="156">
        <f>AL11*E11</f>
        <v>0</v>
      </c>
      <c r="AN11" s="373">
        <v>0</v>
      </c>
      <c r="AO11" s="156">
        <f>AN11*E11</f>
        <v>0</v>
      </c>
      <c r="AP11" s="373">
        <v>0</v>
      </c>
      <c r="AQ11" s="156">
        <f>AP11*E11</f>
        <v>0</v>
      </c>
      <c r="AR11" s="373">
        <v>0</v>
      </c>
      <c r="AS11" s="156">
        <f>AR11*E11</f>
        <v>0</v>
      </c>
      <c r="AT11" s="373">
        <v>0</v>
      </c>
      <c r="AU11" s="156">
        <f>AT11*E11</f>
        <v>0</v>
      </c>
      <c r="AV11" s="373">
        <v>0</v>
      </c>
      <c r="AW11" s="156">
        <f>AV11*E11</f>
        <v>0</v>
      </c>
      <c r="AX11" s="373">
        <v>0</v>
      </c>
      <c r="AY11" s="156">
        <f>AX11*E11</f>
        <v>0</v>
      </c>
      <c r="AZ11" s="373">
        <v>0</v>
      </c>
      <c r="BA11" s="156">
        <f>AZ11*E11</f>
        <v>0</v>
      </c>
      <c r="BB11" s="373">
        <v>0</v>
      </c>
      <c r="BC11" s="156">
        <f>BB11*E11</f>
        <v>0</v>
      </c>
      <c r="BD11" s="373">
        <v>0</v>
      </c>
      <c r="BE11" s="156">
        <f>BD11*E11</f>
        <v>0</v>
      </c>
      <c r="BF11" s="373">
        <v>0</v>
      </c>
      <c r="BG11" s="156">
        <f>BF11*E11</f>
        <v>0</v>
      </c>
      <c r="BH11" s="373">
        <f>89*30</f>
        <v>2670</v>
      </c>
      <c r="BI11" s="156">
        <f>BH11*E11</f>
        <v>1602000</v>
      </c>
      <c r="BJ11" s="373">
        <f>Z11+AB11+AD11+AF11+AH11+AJ11+AL11+AN11+AP11+AR11+AT11+AV11+AX11+AZ11+BB11+BD11+BF11+BH11</f>
        <v>2670</v>
      </c>
      <c r="BK11" s="156">
        <f>AA11+AC11+AE11+AG11+AI11+AK11+AM11+AO11+AQ11+AS11+AU11+AW11+AY11+BA11+BC11+BE11+BG11+BI11</f>
        <v>1602000</v>
      </c>
      <c r="BL11" s="328" t="s">
        <v>467</v>
      </c>
      <c r="BN11" s="375"/>
      <c r="BO11" s="375">
        <f>G11</f>
        <v>1602000</v>
      </c>
      <c r="BP11" s="375"/>
      <c r="BQ11" s="375"/>
      <c r="BR11" s="375">
        <f>BN11+BO11+BP11+BQ11</f>
        <v>1602000</v>
      </c>
      <c r="BS11" s="375"/>
      <c r="BT11" s="375"/>
      <c r="BU11" s="375">
        <f>BS11+BT11</f>
        <v>0</v>
      </c>
      <c r="BV11" s="377">
        <f t="shared" ref="BV11:BV57" si="1">BR11+BU11</f>
        <v>1602000</v>
      </c>
    </row>
    <row r="12" spans="1:74" x14ac:dyDescent="0.25">
      <c r="A12" s="954"/>
      <c r="B12" s="482"/>
      <c r="C12" s="38" t="s">
        <v>786</v>
      </c>
      <c r="D12" s="38" t="s">
        <v>177</v>
      </c>
      <c r="E12" s="365">
        <v>600</v>
      </c>
      <c r="F12" s="38">
        <f>BJ12</f>
        <v>5985</v>
      </c>
      <c r="G12" s="485">
        <f>E12*F12</f>
        <v>3591000</v>
      </c>
      <c r="H12" s="485">
        <f>G12*0.2</f>
        <v>718200</v>
      </c>
      <c r="I12" s="485">
        <f>G12*0.8</f>
        <v>2872800</v>
      </c>
      <c r="J12" s="485">
        <f>G12*0</f>
        <v>0</v>
      </c>
      <c r="K12" s="485">
        <f>G12*0</f>
        <v>0</v>
      </c>
      <c r="L12" s="485">
        <f>G12*0</f>
        <v>0</v>
      </c>
      <c r="M12" s="485">
        <f>G12*0</f>
        <v>0</v>
      </c>
      <c r="N12" s="485">
        <f>G12*0</f>
        <v>0</v>
      </c>
      <c r="O12" s="76">
        <f>G12*0</f>
        <v>0</v>
      </c>
      <c r="P12" s="76">
        <f>G12*0</f>
        <v>0</v>
      </c>
      <c r="Q12" s="76">
        <f>G12*0</f>
        <v>0</v>
      </c>
      <c r="R12" s="484">
        <f>F12*0.7</f>
        <v>4189.5</v>
      </c>
      <c r="S12" s="487">
        <f>F12*0.3</f>
        <v>1795.5</v>
      </c>
      <c r="T12" s="484"/>
      <c r="U12" s="484"/>
      <c r="V12" s="486">
        <f>R12*E12</f>
        <v>2513700</v>
      </c>
      <c r="W12" s="486">
        <f>S12*E12</f>
        <v>1077300</v>
      </c>
      <c r="X12" s="486">
        <f>T12*E12</f>
        <v>0</v>
      </c>
      <c r="Y12" s="486">
        <f>U12*E12</f>
        <v>0</v>
      </c>
      <c r="Z12" s="373">
        <v>0</v>
      </c>
      <c r="AA12" s="156">
        <f t="shared" ref="AA12:AA48" si="2">Z12*E12</f>
        <v>0</v>
      </c>
      <c r="AB12" s="373">
        <v>0</v>
      </c>
      <c r="AC12" s="156">
        <f t="shared" ref="AC12:AC48" si="3">AB12*E12</f>
        <v>0</v>
      </c>
      <c r="AD12" s="373">
        <v>0</v>
      </c>
      <c r="AE12" s="156">
        <f t="shared" ref="AE12:AE48" si="4">AD12*E12</f>
        <v>0</v>
      </c>
      <c r="AF12" s="373">
        <v>0</v>
      </c>
      <c r="AG12" s="156">
        <f t="shared" ref="AG12:AG48" si="5">AF12*E12</f>
        <v>0</v>
      </c>
      <c r="AH12" s="373">
        <v>0</v>
      </c>
      <c r="AI12" s="156">
        <f t="shared" ref="AI12:AI48" si="6">AH12*E12</f>
        <v>0</v>
      </c>
      <c r="AJ12" s="373">
        <v>0</v>
      </c>
      <c r="AK12" s="156">
        <f t="shared" ref="AK12:AK48" si="7">AJ12*E12</f>
        <v>0</v>
      </c>
      <c r="AL12" s="373">
        <v>0</v>
      </c>
      <c r="AM12" s="156">
        <f t="shared" ref="AM12:AM48" si="8">AL12*E12</f>
        <v>0</v>
      </c>
      <c r="AN12" s="373">
        <v>0</v>
      </c>
      <c r="AO12" s="156">
        <f t="shared" ref="AO12:AO48" si="9">AN12*E12</f>
        <v>0</v>
      </c>
      <c r="AP12" s="373">
        <v>0</v>
      </c>
      <c r="AQ12" s="156">
        <f t="shared" ref="AQ12:AQ48" si="10">AP12*E12</f>
        <v>0</v>
      </c>
      <c r="AR12" s="373">
        <v>0</v>
      </c>
      <c r="AS12" s="156">
        <f t="shared" ref="AS12:AS48" si="11">AR12*E12</f>
        <v>0</v>
      </c>
      <c r="AT12" s="373">
        <v>0</v>
      </c>
      <c r="AU12" s="156">
        <f t="shared" ref="AU12:AU48" si="12">AT12*E12</f>
        <v>0</v>
      </c>
      <c r="AV12" s="373">
        <v>0</v>
      </c>
      <c r="AW12" s="156">
        <f t="shared" ref="AW12:AW48" si="13">AV12*E12</f>
        <v>0</v>
      </c>
      <c r="AX12" s="373">
        <v>0</v>
      </c>
      <c r="AY12" s="156">
        <f t="shared" ref="AY12:AY48" si="14">AX12*E12</f>
        <v>0</v>
      </c>
      <c r="AZ12" s="373">
        <v>0</v>
      </c>
      <c r="BA12" s="156">
        <f t="shared" ref="BA12:BA48" si="15">AZ12*E12</f>
        <v>0</v>
      </c>
      <c r="BB12" s="373">
        <v>0</v>
      </c>
      <c r="BC12" s="156">
        <f t="shared" ref="BC12:BC48" si="16">BB12*E12</f>
        <v>0</v>
      </c>
      <c r="BD12" s="373">
        <v>0</v>
      </c>
      <c r="BE12" s="156">
        <f t="shared" ref="BE12:BE48" si="17">BD12*E12</f>
        <v>0</v>
      </c>
      <c r="BF12" s="373">
        <v>0</v>
      </c>
      <c r="BG12" s="156">
        <f t="shared" ref="BG12:BG48" si="18">BF12*E12</f>
        <v>0</v>
      </c>
      <c r="BH12" s="373">
        <f>(44+89)*45</f>
        <v>5985</v>
      </c>
      <c r="BI12" s="156">
        <f t="shared" ref="BI12:BI48" si="19">BH12*E12</f>
        <v>3591000</v>
      </c>
      <c r="BJ12" s="373">
        <f t="shared" ref="BJ12:BK49" si="20">Z12+AB12+AD12+AF12+AH12+AJ12+AL12+AN12+AP12+AR12+AT12+AV12+AX12+AZ12+BB12+BD12+BF12+BH12</f>
        <v>5985</v>
      </c>
      <c r="BK12" s="156">
        <f t="shared" ref="BK12:BK48" si="21">AA12+AC12+AE12+AG12+AI12+AK12+AM12+AO12+AQ12+AS12+AU12+AW12+AY12+BA12+BC12+BE12+BG12+BI12</f>
        <v>3591000</v>
      </c>
      <c r="BL12" s="328" t="s">
        <v>467</v>
      </c>
      <c r="BN12" s="375"/>
      <c r="BO12" s="375">
        <f>G12</f>
        <v>3591000</v>
      </c>
      <c r="BP12" s="375"/>
      <c r="BQ12" s="375"/>
      <c r="BR12" s="375">
        <f>BN12+BO12+BP12+BQ12</f>
        <v>3591000</v>
      </c>
      <c r="BS12" s="375"/>
      <c r="BT12" s="375"/>
      <c r="BU12" s="375">
        <f>BS12+BT12</f>
        <v>0</v>
      </c>
      <c r="BV12" s="377">
        <f t="shared" si="1"/>
        <v>3591000</v>
      </c>
    </row>
    <row r="13" spans="1:74" ht="31.5" x14ac:dyDescent="0.25">
      <c r="A13" s="954"/>
      <c r="B13" s="482"/>
      <c r="C13" s="169" t="s">
        <v>785</v>
      </c>
      <c r="D13" s="38" t="s">
        <v>176</v>
      </c>
      <c r="E13" s="365">
        <v>600</v>
      </c>
      <c r="F13" s="38">
        <f>BJ13</f>
        <v>5340</v>
      </c>
      <c r="G13" s="485">
        <f>E13*F13</f>
        <v>3204000</v>
      </c>
      <c r="H13" s="485">
        <f>G13*0.2</f>
        <v>640800</v>
      </c>
      <c r="I13" s="485">
        <f>G13*0.8</f>
        <v>2563200</v>
      </c>
      <c r="J13" s="485">
        <f>G13*0</f>
        <v>0</v>
      </c>
      <c r="K13" s="485">
        <f>G13*0</f>
        <v>0</v>
      </c>
      <c r="L13" s="485">
        <f>G13*0</f>
        <v>0</v>
      </c>
      <c r="M13" s="485">
        <f>G13*0</f>
        <v>0</v>
      </c>
      <c r="N13" s="485">
        <f>G13*0</f>
        <v>0</v>
      </c>
      <c r="O13" s="76">
        <f>G13*0</f>
        <v>0</v>
      </c>
      <c r="P13" s="76">
        <f>G13*0</f>
        <v>0</v>
      </c>
      <c r="Q13" s="76">
        <f>G13*0</f>
        <v>0</v>
      </c>
      <c r="R13" s="484">
        <f>F13*0.7</f>
        <v>3737.9999999999995</v>
      </c>
      <c r="S13" s="487">
        <f>F13*0.3</f>
        <v>1602</v>
      </c>
      <c r="T13" s="484"/>
      <c r="U13" s="484"/>
      <c r="V13" s="486">
        <f>R13*E13</f>
        <v>2242799.9999999995</v>
      </c>
      <c r="W13" s="486">
        <f>S13*E13</f>
        <v>961200</v>
      </c>
      <c r="X13" s="486">
        <f>T13*E13</f>
        <v>0</v>
      </c>
      <c r="Y13" s="486">
        <f>U13*E13</f>
        <v>0</v>
      </c>
      <c r="Z13" s="373">
        <v>0</v>
      </c>
      <c r="AA13" s="156">
        <f t="shared" si="2"/>
        <v>0</v>
      </c>
      <c r="AB13" s="373">
        <v>0</v>
      </c>
      <c r="AC13" s="156">
        <f t="shared" si="3"/>
        <v>0</v>
      </c>
      <c r="AD13" s="373">
        <v>0</v>
      </c>
      <c r="AE13" s="156">
        <f t="shared" si="4"/>
        <v>0</v>
      </c>
      <c r="AF13" s="373">
        <v>0</v>
      </c>
      <c r="AG13" s="156">
        <f t="shared" si="5"/>
        <v>0</v>
      </c>
      <c r="AH13" s="373">
        <v>0</v>
      </c>
      <c r="AI13" s="156">
        <f t="shared" si="6"/>
        <v>0</v>
      </c>
      <c r="AJ13" s="373">
        <v>0</v>
      </c>
      <c r="AK13" s="156">
        <f t="shared" si="7"/>
        <v>0</v>
      </c>
      <c r="AL13" s="373">
        <v>0</v>
      </c>
      <c r="AM13" s="156">
        <f t="shared" si="8"/>
        <v>0</v>
      </c>
      <c r="AN13" s="373">
        <v>0</v>
      </c>
      <c r="AO13" s="156">
        <f t="shared" si="9"/>
        <v>0</v>
      </c>
      <c r="AP13" s="373">
        <v>0</v>
      </c>
      <c r="AQ13" s="156">
        <f t="shared" si="10"/>
        <v>0</v>
      </c>
      <c r="AR13" s="373">
        <v>0</v>
      </c>
      <c r="AS13" s="156">
        <f t="shared" si="11"/>
        <v>0</v>
      </c>
      <c r="AT13" s="373">
        <v>0</v>
      </c>
      <c r="AU13" s="156">
        <f t="shared" si="12"/>
        <v>0</v>
      </c>
      <c r="AV13" s="373">
        <v>0</v>
      </c>
      <c r="AW13" s="156">
        <f t="shared" si="13"/>
        <v>0</v>
      </c>
      <c r="AX13" s="373">
        <v>0</v>
      </c>
      <c r="AY13" s="156">
        <f t="shared" si="14"/>
        <v>0</v>
      </c>
      <c r="AZ13" s="373">
        <v>0</v>
      </c>
      <c r="BA13" s="156">
        <f t="shared" si="15"/>
        <v>0</v>
      </c>
      <c r="BB13" s="373">
        <v>0</v>
      </c>
      <c r="BC13" s="156">
        <f t="shared" si="16"/>
        <v>0</v>
      </c>
      <c r="BD13" s="373">
        <v>0</v>
      </c>
      <c r="BE13" s="156">
        <f t="shared" si="17"/>
        <v>0</v>
      </c>
      <c r="BF13" s="373">
        <v>0</v>
      </c>
      <c r="BG13" s="156">
        <f t="shared" si="18"/>
        <v>0</v>
      </c>
      <c r="BH13" s="373">
        <f>89*2*30</f>
        <v>5340</v>
      </c>
      <c r="BI13" s="156">
        <f t="shared" si="19"/>
        <v>3204000</v>
      </c>
      <c r="BJ13" s="373">
        <f t="shared" si="20"/>
        <v>5340</v>
      </c>
      <c r="BK13" s="156">
        <f t="shared" si="21"/>
        <v>3204000</v>
      </c>
      <c r="BL13" s="328" t="s">
        <v>467</v>
      </c>
      <c r="BN13" s="375"/>
      <c r="BO13" s="375">
        <f>G13</f>
        <v>3204000</v>
      </c>
      <c r="BP13" s="375"/>
      <c r="BQ13" s="375"/>
      <c r="BR13" s="375">
        <f>BN13+BO13+BP13+BQ13</f>
        <v>3204000</v>
      </c>
      <c r="BS13" s="375"/>
      <c r="BT13" s="375"/>
      <c r="BU13" s="375">
        <f>BS13+BT13</f>
        <v>0</v>
      </c>
      <c r="BV13" s="377">
        <f t="shared" si="1"/>
        <v>3204000</v>
      </c>
    </row>
    <row r="14" spans="1:74" x14ac:dyDescent="0.25">
      <c r="A14" s="954"/>
      <c r="B14" s="482"/>
      <c r="C14" s="38" t="s">
        <v>871</v>
      </c>
      <c r="D14" s="38" t="s">
        <v>872</v>
      </c>
      <c r="E14" s="365">
        <v>20000</v>
      </c>
      <c r="F14" s="38">
        <f>BJ14</f>
        <v>357</v>
      </c>
      <c r="G14" s="485">
        <f>E14*F14</f>
        <v>7140000</v>
      </c>
      <c r="H14" s="485">
        <f>G14*0.2</f>
        <v>1428000</v>
      </c>
      <c r="I14" s="485">
        <f>G14*0.8</f>
        <v>5712000</v>
      </c>
      <c r="J14" s="485"/>
      <c r="K14" s="485"/>
      <c r="L14" s="485"/>
      <c r="M14" s="485"/>
      <c r="N14" s="485"/>
      <c r="O14" s="76"/>
      <c r="P14" s="76"/>
      <c r="Q14" s="76"/>
      <c r="R14" s="484"/>
      <c r="S14" s="487"/>
      <c r="T14" s="486">
        <f>F14</f>
        <v>357</v>
      </c>
      <c r="U14" s="484"/>
      <c r="V14" s="486"/>
      <c r="W14" s="486"/>
      <c r="X14" s="486">
        <f>G14</f>
        <v>7140000</v>
      </c>
      <c r="Y14" s="486"/>
      <c r="Z14" s="373">
        <v>16</v>
      </c>
      <c r="AA14" s="156">
        <f>Z14*E14</f>
        <v>320000</v>
      </c>
      <c r="AB14" s="373">
        <v>12</v>
      </c>
      <c r="AC14" s="156">
        <f>AB14*E14</f>
        <v>240000</v>
      </c>
      <c r="AD14" s="373">
        <v>16</v>
      </c>
      <c r="AE14" s="156">
        <f>AD14*E14</f>
        <v>320000</v>
      </c>
      <c r="AF14" s="373">
        <v>20</v>
      </c>
      <c r="AG14" s="156">
        <f>AF14*E14</f>
        <v>400000</v>
      </c>
      <c r="AH14" s="373">
        <v>8</v>
      </c>
      <c r="AI14" s="156">
        <f>AH14*E14</f>
        <v>160000</v>
      </c>
      <c r="AJ14" s="373">
        <v>16</v>
      </c>
      <c r="AK14" s="156">
        <f>AJ14*E14</f>
        <v>320000</v>
      </c>
      <c r="AL14" s="373">
        <v>20</v>
      </c>
      <c r="AM14" s="156">
        <f>AL14*E14</f>
        <v>400000</v>
      </c>
      <c r="AN14" s="373">
        <v>32</v>
      </c>
      <c r="AO14" s="156">
        <f>AN14*E14</f>
        <v>640000</v>
      </c>
      <c r="AP14" s="373">
        <v>8</v>
      </c>
      <c r="AQ14" s="156">
        <f>AP14*E14</f>
        <v>160000</v>
      </c>
      <c r="AR14" s="373">
        <v>12</v>
      </c>
      <c r="AS14" s="156">
        <f>AR14*E14</f>
        <v>240000</v>
      </c>
      <c r="AT14" s="373">
        <v>24</v>
      </c>
      <c r="AU14" s="156">
        <f>AT14*E14</f>
        <v>480000</v>
      </c>
      <c r="AV14" s="373">
        <v>20</v>
      </c>
      <c r="AW14" s="156">
        <f>AV14*E14</f>
        <v>400000</v>
      </c>
      <c r="AX14" s="373">
        <v>36</v>
      </c>
      <c r="AY14" s="156">
        <f>AX14*E14</f>
        <v>720000</v>
      </c>
      <c r="AZ14" s="373">
        <v>36</v>
      </c>
      <c r="BA14" s="156">
        <f>AZ14*E14</f>
        <v>720000</v>
      </c>
      <c r="BB14" s="373">
        <v>12</v>
      </c>
      <c r="BC14" s="156">
        <f>BB14*E14</f>
        <v>240000</v>
      </c>
      <c r="BD14" s="373">
        <v>45</v>
      </c>
      <c r="BE14" s="156">
        <f>BD14*E14</f>
        <v>900000</v>
      </c>
      <c r="BF14" s="373">
        <v>24</v>
      </c>
      <c r="BG14" s="156">
        <f>BF14*E14</f>
        <v>480000</v>
      </c>
      <c r="BH14" s="373"/>
      <c r="BI14" s="156"/>
      <c r="BJ14" s="373">
        <f t="shared" si="20"/>
        <v>357</v>
      </c>
      <c r="BK14" s="156">
        <f t="shared" si="21"/>
        <v>7140000</v>
      </c>
      <c r="BL14" s="328" t="s">
        <v>467</v>
      </c>
      <c r="BN14" s="375"/>
      <c r="BO14" s="375"/>
      <c r="BP14" s="375">
        <f>G14</f>
        <v>7140000</v>
      </c>
      <c r="BQ14" s="375"/>
      <c r="BR14" s="375">
        <f>BN14+BO14+BP14+BQ14</f>
        <v>7140000</v>
      </c>
      <c r="BS14" s="375"/>
      <c r="BT14" s="375"/>
      <c r="BU14" s="375"/>
      <c r="BV14" s="377">
        <f t="shared" si="1"/>
        <v>7140000</v>
      </c>
    </row>
    <row r="15" spans="1:74" s="269" customFormat="1" x14ac:dyDescent="0.25">
      <c r="A15" s="954"/>
      <c r="B15" s="391"/>
      <c r="C15" s="391"/>
      <c r="D15" s="391"/>
      <c r="E15" s="391"/>
      <c r="F15" s="280">
        <f>SUM(F11:F14)</f>
        <v>14352</v>
      </c>
      <c r="G15" s="280">
        <f>SUM(G11:G14)</f>
        <v>15537000</v>
      </c>
      <c r="H15" s="280">
        <f t="shared" ref="H15:Y15" si="22">SUM(H11:H14)</f>
        <v>3107400</v>
      </c>
      <c r="I15" s="280">
        <f t="shared" si="22"/>
        <v>12429600</v>
      </c>
      <c r="J15" s="280">
        <f t="shared" si="22"/>
        <v>0</v>
      </c>
      <c r="K15" s="280">
        <f t="shared" si="22"/>
        <v>0</v>
      </c>
      <c r="L15" s="280">
        <f t="shared" si="22"/>
        <v>0</v>
      </c>
      <c r="M15" s="280">
        <f t="shared" si="22"/>
        <v>0</v>
      </c>
      <c r="N15" s="280">
        <f t="shared" si="22"/>
        <v>0</v>
      </c>
      <c r="O15" s="280">
        <f t="shared" si="22"/>
        <v>0</v>
      </c>
      <c r="P15" s="280">
        <f t="shared" si="22"/>
        <v>0</v>
      </c>
      <c r="Q15" s="280">
        <f t="shared" si="22"/>
        <v>0</v>
      </c>
      <c r="R15" s="280">
        <f t="shared" si="22"/>
        <v>9796.5</v>
      </c>
      <c r="S15" s="280">
        <f t="shared" si="22"/>
        <v>4198.5</v>
      </c>
      <c r="T15" s="280">
        <f t="shared" si="22"/>
        <v>357</v>
      </c>
      <c r="U15" s="280">
        <f t="shared" si="22"/>
        <v>0</v>
      </c>
      <c r="V15" s="280">
        <f t="shared" si="22"/>
        <v>5877900</v>
      </c>
      <c r="W15" s="280">
        <f t="shared" si="22"/>
        <v>2519100</v>
      </c>
      <c r="X15" s="280">
        <f t="shared" si="22"/>
        <v>7140000</v>
      </c>
      <c r="Y15" s="280">
        <f t="shared" si="22"/>
        <v>0</v>
      </c>
      <c r="Z15" s="280">
        <f>SUM(Z11:Z14)</f>
        <v>16</v>
      </c>
      <c r="AA15" s="280">
        <f t="shared" ref="AA15:BI15" si="23">SUM(AA11:AA14)</f>
        <v>320000</v>
      </c>
      <c r="AB15" s="280">
        <f t="shared" si="23"/>
        <v>12</v>
      </c>
      <c r="AC15" s="280">
        <f t="shared" si="23"/>
        <v>240000</v>
      </c>
      <c r="AD15" s="280">
        <f t="shared" si="23"/>
        <v>16</v>
      </c>
      <c r="AE15" s="280">
        <f t="shared" si="23"/>
        <v>320000</v>
      </c>
      <c r="AF15" s="280">
        <f t="shared" si="23"/>
        <v>20</v>
      </c>
      <c r="AG15" s="280">
        <f t="shared" si="23"/>
        <v>400000</v>
      </c>
      <c r="AH15" s="280">
        <f t="shared" si="23"/>
        <v>8</v>
      </c>
      <c r="AI15" s="280">
        <f t="shared" si="23"/>
        <v>160000</v>
      </c>
      <c r="AJ15" s="280">
        <f t="shared" si="23"/>
        <v>16</v>
      </c>
      <c r="AK15" s="280">
        <f t="shared" si="23"/>
        <v>320000</v>
      </c>
      <c r="AL15" s="280">
        <f t="shared" si="23"/>
        <v>20</v>
      </c>
      <c r="AM15" s="280">
        <f t="shared" si="23"/>
        <v>400000</v>
      </c>
      <c r="AN15" s="280">
        <f t="shared" si="23"/>
        <v>32</v>
      </c>
      <c r="AO15" s="280">
        <f t="shared" si="23"/>
        <v>640000</v>
      </c>
      <c r="AP15" s="280">
        <f t="shared" si="23"/>
        <v>8</v>
      </c>
      <c r="AQ15" s="280">
        <f t="shared" si="23"/>
        <v>160000</v>
      </c>
      <c r="AR15" s="280">
        <f t="shared" si="23"/>
        <v>12</v>
      </c>
      <c r="AS15" s="280">
        <f t="shared" si="23"/>
        <v>240000</v>
      </c>
      <c r="AT15" s="280">
        <f t="shared" si="23"/>
        <v>24</v>
      </c>
      <c r="AU15" s="280">
        <f t="shared" si="23"/>
        <v>480000</v>
      </c>
      <c r="AV15" s="280">
        <f t="shared" si="23"/>
        <v>20</v>
      </c>
      <c r="AW15" s="280">
        <f t="shared" si="23"/>
        <v>400000</v>
      </c>
      <c r="AX15" s="280">
        <f t="shared" si="23"/>
        <v>36</v>
      </c>
      <c r="AY15" s="280">
        <f t="shared" si="23"/>
        <v>720000</v>
      </c>
      <c r="AZ15" s="280">
        <f t="shared" si="23"/>
        <v>36</v>
      </c>
      <c r="BA15" s="280">
        <f t="shared" si="23"/>
        <v>720000</v>
      </c>
      <c r="BB15" s="280">
        <f t="shared" si="23"/>
        <v>12</v>
      </c>
      <c r="BC15" s="280">
        <f t="shared" si="23"/>
        <v>240000</v>
      </c>
      <c r="BD15" s="280">
        <f t="shared" si="23"/>
        <v>45</v>
      </c>
      <c r="BE15" s="280">
        <f t="shared" si="23"/>
        <v>900000</v>
      </c>
      <c r="BF15" s="280">
        <f t="shared" si="23"/>
        <v>24</v>
      </c>
      <c r="BG15" s="280">
        <f t="shared" si="23"/>
        <v>480000</v>
      </c>
      <c r="BH15" s="280">
        <f t="shared" si="23"/>
        <v>13995</v>
      </c>
      <c r="BI15" s="280">
        <f t="shared" si="23"/>
        <v>8397000</v>
      </c>
      <c r="BJ15" s="280">
        <f t="shared" si="20"/>
        <v>14352</v>
      </c>
      <c r="BK15" s="280">
        <f t="shared" si="20"/>
        <v>15537000</v>
      </c>
      <c r="BL15" s="241"/>
      <c r="BN15" s="488">
        <f t="shared" ref="BN15:BU15" si="24">SUM(BN11:BN13)</f>
        <v>0</v>
      </c>
      <c r="BO15" s="488">
        <f t="shared" si="24"/>
        <v>8397000</v>
      </c>
      <c r="BP15" s="488">
        <f>SUM(BP11:BP14)</f>
        <v>7140000</v>
      </c>
      <c r="BQ15" s="488">
        <f t="shared" si="24"/>
        <v>0</v>
      </c>
      <c r="BR15" s="488">
        <f>SUM(BR11:BR14)</f>
        <v>15537000</v>
      </c>
      <c r="BS15" s="488">
        <f t="shared" si="24"/>
        <v>0</v>
      </c>
      <c r="BT15" s="488">
        <f t="shared" si="24"/>
        <v>0</v>
      </c>
      <c r="BU15" s="488">
        <f t="shared" si="24"/>
        <v>0</v>
      </c>
      <c r="BV15" s="489">
        <f t="shared" si="1"/>
        <v>15537000</v>
      </c>
    </row>
    <row r="16" spans="1:74" x14ac:dyDescent="0.25">
      <c r="A16" s="954"/>
      <c r="B16" s="38">
        <v>23200</v>
      </c>
      <c r="C16" s="38" t="s">
        <v>178</v>
      </c>
      <c r="D16" s="38"/>
      <c r="E16" s="365"/>
      <c r="F16" s="38"/>
      <c r="G16" s="823"/>
      <c r="H16" s="823"/>
      <c r="I16" s="823"/>
      <c r="J16" s="823"/>
      <c r="K16" s="823"/>
      <c r="L16" s="823"/>
      <c r="M16" s="823"/>
      <c r="N16" s="823"/>
      <c r="O16" s="483"/>
      <c r="P16" s="483"/>
      <c r="Q16" s="483"/>
      <c r="R16" s="108"/>
      <c r="S16" s="108"/>
      <c r="T16" s="108"/>
      <c r="U16" s="108"/>
      <c r="V16" s="108"/>
      <c r="W16" s="108"/>
      <c r="X16" s="108"/>
      <c r="Y16" s="108"/>
      <c r="Z16" s="373">
        <v>0</v>
      </c>
      <c r="AA16" s="156">
        <f t="shared" si="2"/>
        <v>0</v>
      </c>
      <c r="AB16" s="373">
        <v>0</v>
      </c>
      <c r="AC16" s="156">
        <f t="shared" si="3"/>
        <v>0</v>
      </c>
      <c r="AD16" s="373">
        <v>0</v>
      </c>
      <c r="AE16" s="156">
        <f t="shared" si="4"/>
        <v>0</v>
      </c>
      <c r="AF16" s="373">
        <v>0</v>
      </c>
      <c r="AG16" s="156">
        <f t="shared" si="5"/>
        <v>0</v>
      </c>
      <c r="AH16" s="410"/>
      <c r="AI16" s="156">
        <f t="shared" si="6"/>
        <v>0</v>
      </c>
      <c r="AJ16" s="410"/>
      <c r="AK16" s="156">
        <f t="shared" si="7"/>
        <v>0</v>
      </c>
      <c r="AL16" s="410"/>
      <c r="AM16" s="156">
        <f t="shared" si="8"/>
        <v>0</v>
      </c>
      <c r="AN16" s="410"/>
      <c r="AO16" s="156">
        <f t="shared" si="9"/>
        <v>0</v>
      </c>
      <c r="AP16" s="410"/>
      <c r="AQ16" s="156">
        <f t="shared" si="10"/>
        <v>0</v>
      </c>
      <c r="AR16" s="410"/>
      <c r="AS16" s="156">
        <f t="shared" si="11"/>
        <v>0</v>
      </c>
      <c r="AT16" s="410"/>
      <c r="AU16" s="156">
        <f t="shared" si="12"/>
        <v>0</v>
      </c>
      <c r="AV16" s="410"/>
      <c r="AW16" s="156">
        <f t="shared" si="13"/>
        <v>0</v>
      </c>
      <c r="AX16" s="410"/>
      <c r="AY16" s="156">
        <f t="shared" si="14"/>
        <v>0</v>
      </c>
      <c r="AZ16" s="410"/>
      <c r="BA16" s="156">
        <f t="shared" si="15"/>
        <v>0</v>
      </c>
      <c r="BB16" s="410"/>
      <c r="BC16" s="156">
        <f t="shared" si="16"/>
        <v>0</v>
      </c>
      <c r="BD16" s="410"/>
      <c r="BE16" s="156">
        <f t="shared" si="17"/>
        <v>0</v>
      </c>
      <c r="BF16" s="410"/>
      <c r="BG16" s="156">
        <f t="shared" si="18"/>
        <v>0</v>
      </c>
      <c r="BH16" s="410"/>
      <c r="BI16" s="156">
        <f t="shared" si="19"/>
        <v>0</v>
      </c>
      <c r="BJ16" s="373">
        <f t="shared" si="20"/>
        <v>0</v>
      </c>
      <c r="BK16" s="156">
        <f t="shared" si="21"/>
        <v>0</v>
      </c>
      <c r="BL16" s="490"/>
      <c r="BN16" s="375"/>
      <c r="BO16" s="375"/>
      <c r="BP16" s="375"/>
      <c r="BQ16" s="375"/>
      <c r="BR16" s="375"/>
      <c r="BS16" s="375"/>
      <c r="BT16" s="375"/>
      <c r="BU16" s="375"/>
      <c r="BV16" s="377">
        <f t="shared" si="1"/>
        <v>0</v>
      </c>
    </row>
    <row r="17" spans="1:80" x14ac:dyDescent="0.25">
      <c r="A17" s="954"/>
      <c r="B17" s="482"/>
      <c r="C17" s="38" t="s">
        <v>788</v>
      </c>
      <c r="D17" s="38" t="s">
        <v>176</v>
      </c>
      <c r="E17" s="365">
        <f>0.03*100000</f>
        <v>3000</v>
      </c>
      <c r="F17" s="38">
        <f>BJ17</f>
        <v>78</v>
      </c>
      <c r="G17" s="485">
        <f>E17*F17</f>
        <v>234000</v>
      </c>
      <c r="H17" s="485">
        <f>G17*0</f>
        <v>0</v>
      </c>
      <c r="I17" s="485">
        <f>G17*0.8</f>
        <v>187200</v>
      </c>
      <c r="J17" s="485">
        <f>G17*0</f>
        <v>0</v>
      </c>
      <c r="K17" s="485">
        <f>G17*0</f>
        <v>0</v>
      </c>
      <c r="L17" s="485">
        <f>G17*0</f>
        <v>0</v>
      </c>
      <c r="M17" s="485">
        <f>G17*0</f>
        <v>0</v>
      </c>
      <c r="N17" s="485">
        <f>G17*0</f>
        <v>0</v>
      </c>
      <c r="O17" s="76">
        <f>G17*0</f>
        <v>0</v>
      </c>
      <c r="P17" s="76">
        <f>G17*0.2</f>
        <v>46800</v>
      </c>
      <c r="Q17" s="76">
        <f>G17*0</f>
        <v>0</v>
      </c>
      <c r="R17" s="108"/>
      <c r="S17" s="487">
        <f>F17*0.7</f>
        <v>54.599999999999994</v>
      </c>
      <c r="T17" s="487">
        <f>F17*0.3</f>
        <v>23.4</v>
      </c>
      <c r="V17" s="486">
        <f>R17*E17</f>
        <v>0</v>
      </c>
      <c r="W17" s="486">
        <f>S17*E17</f>
        <v>163799.99999999997</v>
      </c>
      <c r="X17" s="486">
        <f>T17*E17</f>
        <v>70200</v>
      </c>
      <c r="Y17" s="486">
        <f>U17*E17</f>
        <v>0</v>
      </c>
      <c r="Z17" s="373">
        <v>3</v>
      </c>
      <c r="AA17" s="156">
        <f t="shared" si="2"/>
        <v>9000</v>
      </c>
      <c r="AB17" s="373">
        <v>2</v>
      </c>
      <c r="AC17" s="156">
        <f t="shared" si="3"/>
        <v>6000</v>
      </c>
      <c r="AD17" s="373">
        <v>4</v>
      </c>
      <c r="AE17" s="156">
        <f t="shared" si="4"/>
        <v>12000</v>
      </c>
      <c r="AF17" s="373">
        <v>5</v>
      </c>
      <c r="AG17" s="156">
        <f t="shared" si="5"/>
        <v>15000</v>
      </c>
      <c r="AH17" s="373">
        <v>2</v>
      </c>
      <c r="AI17" s="156">
        <f t="shared" si="6"/>
        <v>6000</v>
      </c>
      <c r="AJ17" s="373">
        <v>4</v>
      </c>
      <c r="AK17" s="156">
        <f t="shared" si="7"/>
        <v>12000</v>
      </c>
      <c r="AL17" s="373">
        <v>5</v>
      </c>
      <c r="AM17" s="156">
        <f t="shared" si="8"/>
        <v>15000</v>
      </c>
      <c r="AN17" s="373">
        <v>8</v>
      </c>
      <c r="AO17" s="156">
        <f t="shared" si="9"/>
        <v>24000</v>
      </c>
      <c r="AP17" s="373">
        <v>2</v>
      </c>
      <c r="AQ17" s="156">
        <f t="shared" si="10"/>
        <v>6000</v>
      </c>
      <c r="AR17" s="373">
        <v>3</v>
      </c>
      <c r="AS17" s="156">
        <f t="shared" si="11"/>
        <v>9000</v>
      </c>
      <c r="AT17" s="373">
        <v>0</v>
      </c>
      <c r="AU17" s="156">
        <f t="shared" si="12"/>
        <v>0</v>
      </c>
      <c r="AV17" s="373">
        <v>5</v>
      </c>
      <c r="AW17" s="156">
        <f t="shared" si="13"/>
        <v>15000</v>
      </c>
      <c r="AX17" s="373">
        <v>5</v>
      </c>
      <c r="AY17" s="156">
        <f t="shared" si="14"/>
        <v>15000</v>
      </c>
      <c r="AZ17" s="373">
        <v>9</v>
      </c>
      <c r="BA17" s="156">
        <f t="shared" si="15"/>
        <v>27000</v>
      </c>
      <c r="BB17" s="373">
        <v>3</v>
      </c>
      <c r="BC17" s="156">
        <f t="shared" si="16"/>
        <v>9000</v>
      </c>
      <c r="BD17" s="373">
        <v>12</v>
      </c>
      <c r="BE17" s="156">
        <f t="shared" si="17"/>
        <v>36000</v>
      </c>
      <c r="BF17" s="373">
        <v>6</v>
      </c>
      <c r="BG17" s="156">
        <f t="shared" si="18"/>
        <v>18000</v>
      </c>
      <c r="BH17" s="373">
        <v>0</v>
      </c>
      <c r="BI17" s="156">
        <f t="shared" si="19"/>
        <v>0</v>
      </c>
      <c r="BJ17" s="373">
        <f t="shared" si="20"/>
        <v>78</v>
      </c>
      <c r="BK17" s="156">
        <f t="shared" si="21"/>
        <v>234000</v>
      </c>
      <c r="BL17" s="328" t="s">
        <v>476</v>
      </c>
      <c r="BN17" s="375"/>
      <c r="BO17" s="375"/>
      <c r="BP17" s="375">
        <f>G17</f>
        <v>234000</v>
      </c>
      <c r="BQ17" s="375"/>
      <c r="BR17" s="375">
        <f>BN17+BO17+BP17+BQ17</f>
        <v>234000</v>
      </c>
      <c r="BS17" s="375"/>
      <c r="BT17" s="375"/>
      <c r="BU17" s="375">
        <f>BS17+BT17</f>
        <v>0</v>
      </c>
      <c r="BV17" s="377">
        <f t="shared" si="1"/>
        <v>234000</v>
      </c>
    </row>
    <row r="18" spans="1:80" x14ac:dyDescent="0.25">
      <c r="A18" s="954"/>
      <c r="B18" s="482"/>
      <c r="C18" s="38" t="s">
        <v>789</v>
      </c>
      <c r="D18" s="38" t="s">
        <v>176</v>
      </c>
      <c r="E18" s="365">
        <f>0.05*100000</f>
        <v>5000</v>
      </c>
      <c r="F18" s="38">
        <f>BJ18</f>
        <v>79</v>
      </c>
      <c r="G18" s="485">
        <f>E18*F18</f>
        <v>395000</v>
      </c>
      <c r="H18" s="485">
        <f>G18*0</f>
        <v>0</v>
      </c>
      <c r="I18" s="485">
        <f>G18*0.8</f>
        <v>316000</v>
      </c>
      <c r="J18" s="485">
        <f>G18*0</f>
        <v>0</v>
      </c>
      <c r="K18" s="485">
        <f>G18*0</f>
        <v>0</v>
      </c>
      <c r="L18" s="485">
        <f>G18*0</f>
        <v>0</v>
      </c>
      <c r="M18" s="485">
        <f>G18*0</f>
        <v>0</v>
      </c>
      <c r="N18" s="485">
        <f>G18*0</f>
        <v>0</v>
      </c>
      <c r="O18" s="76">
        <f>G18*0</f>
        <v>0</v>
      </c>
      <c r="P18" s="76">
        <f>G18*0.2</f>
        <v>79000</v>
      </c>
      <c r="Q18" s="76">
        <f>G18*0</f>
        <v>0</v>
      </c>
      <c r="R18" s="108"/>
      <c r="S18" s="487">
        <f>F18*0.7</f>
        <v>55.3</v>
      </c>
      <c r="T18" s="487">
        <f>F18*0.3</f>
        <v>23.7</v>
      </c>
      <c r="V18" s="486">
        <f>R18*E18</f>
        <v>0</v>
      </c>
      <c r="W18" s="486">
        <f>S18*E18</f>
        <v>276500</v>
      </c>
      <c r="X18" s="486">
        <f>T18*E18</f>
        <v>118500</v>
      </c>
      <c r="Y18" s="486">
        <f>U18*E18</f>
        <v>0</v>
      </c>
      <c r="Z18" s="373">
        <v>3</v>
      </c>
      <c r="AA18" s="156">
        <f t="shared" si="2"/>
        <v>15000</v>
      </c>
      <c r="AB18" s="373">
        <v>3</v>
      </c>
      <c r="AC18" s="156">
        <f t="shared" si="3"/>
        <v>15000</v>
      </c>
      <c r="AD18" s="373">
        <v>0</v>
      </c>
      <c r="AE18" s="156">
        <f t="shared" si="4"/>
        <v>0</v>
      </c>
      <c r="AF18" s="373">
        <v>5</v>
      </c>
      <c r="AG18" s="156">
        <f t="shared" si="5"/>
        <v>25000</v>
      </c>
      <c r="AH18" s="373">
        <v>2</v>
      </c>
      <c r="AI18" s="156">
        <f t="shared" si="6"/>
        <v>10000</v>
      </c>
      <c r="AJ18" s="373">
        <v>4</v>
      </c>
      <c r="AK18" s="156">
        <f t="shared" si="7"/>
        <v>20000</v>
      </c>
      <c r="AL18" s="373">
        <v>5</v>
      </c>
      <c r="AM18" s="156">
        <f t="shared" si="8"/>
        <v>25000</v>
      </c>
      <c r="AN18" s="373">
        <v>8</v>
      </c>
      <c r="AO18" s="156">
        <f t="shared" si="9"/>
        <v>40000</v>
      </c>
      <c r="AP18" s="373">
        <v>2</v>
      </c>
      <c r="AQ18" s="156">
        <f t="shared" si="10"/>
        <v>10000</v>
      </c>
      <c r="AR18" s="373">
        <v>3</v>
      </c>
      <c r="AS18" s="156">
        <f t="shared" si="11"/>
        <v>15000</v>
      </c>
      <c r="AT18" s="373">
        <v>6</v>
      </c>
      <c r="AU18" s="156">
        <f t="shared" si="12"/>
        <v>30000</v>
      </c>
      <c r="AV18" s="373">
        <v>5</v>
      </c>
      <c r="AW18" s="156">
        <f t="shared" si="13"/>
        <v>25000</v>
      </c>
      <c r="AX18" s="373">
        <v>5</v>
      </c>
      <c r="AY18" s="156">
        <f t="shared" si="14"/>
        <v>25000</v>
      </c>
      <c r="AZ18" s="373">
        <v>9</v>
      </c>
      <c r="BA18" s="156">
        <f t="shared" si="15"/>
        <v>45000</v>
      </c>
      <c r="BB18" s="373">
        <v>3</v>
      </c>
      <c r="BC18" s="156">
        <f t="shared" si="16"/>
        <v>15000</v>
      </c>
      <c r="BD18" s="373">
        <v>12</v>
      </c>
      <c r="BE18" s="156">
        <f t="shared" si="17"/>
        <v>60000</v>
      </c>
      <c r="BF18" s="373">
        <v>4</v>
      </c>
      <c r="BG18" s="156">
        <f t="shared" si="18"/>
        <v>20000</v>
      </c>
      <c r="BH18" s="373">
        <v>0</v>
      </c>
      <c r="BI18" s="156">
        <f t="shared" si="19"/>
        <v>0</v>
      </c>
      <c r="BJ18" s="373">
        <f t="shared" si="20"/>
        <v>79</v>
      </c>
      <c r="BK18" s="156">
        <f t="shared" si="21"/>
        <v>395000</v>
      </c>
      <c r="BL18" s="328" t="s">
        <v>476</v>
      </c>
      <c r="BN18" s="375"/>
      <c r="BO18" s="375"/>
      <c r="BP18" s="375">
        <f>G18</f>
        <v>395000</v>
      </c>
      <c r="BQ18" s="375"/>
      <c r="BR18" s="375">
        <f>BN18+BO18+BP18+BQ18</f>
        <v>395000</v>
      </c>
      <c r="BS18" s="375"/>
      <c r="BT18" s="375"/>
      <c r="BU18" s="375">
        <f>BS18+BT18</f>
        <v>0</v>
      </c>
      <c r="BV18" s="377">
        <f t="shared" si="1"/>
        <v>395000</v>
      </c>
    </row>
    <row r="19" spans="1:80" x14ac:dyDescent="0.25">
      <c r="A19" s="954"/>
      <c r="B19" s="482"/>
      <c r="C19" s="38" t="s">
        <v>179</v>
      </c>
      <c r="D19" s="38" t="s">
        <v>176</v>
      </c>
      <c r="E19" s="365">
        <f>0.17*100000</f>
        <v>17000</v>
      </c>
      <c r="F19" s="38">
        <f>BJ19</f>
        <v>59</v>
      </c>
      <c r="G19" s="485">
        <f>E19*F19</f>
        <v>1003000</v>
      </c>
      <c r="H19" s="485">
        <f>G19*0</f>
        <v>0</v>
      </c>
      <c r="I19" s="485">
        <f>G19*0.8</f>
        <v>802400</v>
      </c>
      <c r="J19" s="485">
        <f>G19*0</f>
        <v>0</v>
      </c>
      <c r="K19" s="485">
        <f>G19*0</f>
        <v>0</v>
      </c>
      <c r="L19" s="485">
        <f>G19*0</f>
        <v>0</v>
      </c>
      <c r="M19" s="485">
        <f>G19*0</f>
        <v>0</v>
      </c>
      <c r="N19" s="485">
        <f>G19*0</f>
        <v>0</v>
      </c>
      <c r="O19" s="76">
        <f>G19*0</f>
        <v>0</v>
      </c>
      <c r="P19" s="76">
        <f>G19*0.2</f>
        <v>200600</v>
      </c>
      <c r="Q19" s="76">
        <f>G19*0</f>
        <v>0</v>
      </c>
      <c r="R19" s="108"/>
      <c r="S19" s="487">
        <f>F19*0.7</f>
        <v>41.3</v>
      </c>
      <c r="T19" s="487">
        <f>F19*0.3</f>
        <v>17.7</v>
      </c>
      <c r="V19" s="486">
        <f>R19*E19</f>
        <v>0</v>
      </c>
      <c r="W19" s="486">
        <f>S19*E19</f>
        <v>702100</v>
      </c>
      <c r="X19" s="486">
        <f>T19*E19</f>
        <v>300900</v>
      </c>
      <c r="Y19" s="486">
        <f>U19*E19</f>
        <v>0</v>
      </c>
      <c r="Z19" s="373">
        <v>3</v>
      </c>
      <c r="AA19" s="156">
        <f t="shared" si="2"/>
        <v>51000</v>
      </c>
      <c r="AB19" s="373">
        <v>2</v>
      </c>
      <c r="AC19" s="156">
        <f t="shared" si="3"/>
        <v>34000</v>
      </c>
      <c r="AD19" s="373">
        <v>2</v>
      </c>
      <c r="AE19" s="156">
        <f t="shared" si="4"/>
        <v>34000</v>
      </c>
      <c r="AF19" s="373">
        <v>0</v>
      </c>
      <c r="AG19" s="156">
        <f t="shared" si="5"/>
        <v>0</v>
      </c>
      <c r="AH19" s="373">
        <v>2</v>
      </c>
      <c r="AI19" s="156">
        <f t="shared" si="6"/>
        <v>34000</v>
      </c>
      <c r="AJ19" s="373">
        <v>2</v>
      </c>
      <c r="AK19" s="156">
        <f t="shared" si="7"/>
        <v>34000</v>
      </c>
      <c r="AL19" s="373">
        <v>5</v>
      </c>
      <c r="AM19" s="156">
        <f t="shared" si="8"/>
        <v>85000</v>
      </c>
      <c r="AN19" s="373">
        <v>8</v>
      </c>
      <c r="AO19" s="156">
        <f t="shared" si="9"/>
        <v>136000</v>
      </c>
      <c r="AP19" s="373">
        <v>2</v>
      </c>
      <c r="AQ19" s="156">
        <f t="shared" si="10"/>
        <v>34000</v>
      </c>
      <c r="AR19" s="373">
        <v>3</v>
      </c>
      <c r="AS19" s="156">
        <f t="shared" si="11"/>
        <v>51000</v>
      </c>
      <c r="AT19" s="373">
        <v>2</v>
      </c>
      <c r="AU19" s="156">
        <f t="shared" si="12"/>
        <v>34000</v>
      </c>
      <c r="AV19" s="373">
        <v>5</v>
      </c>
      <c r="AW19" s="156">
        <f t="shared" si="13"/>
        <v>85000</v>
      </c>
      <c r="AX19" s="373">
        <v>2</v>
      </c>
      <c r="AY19" s="156">
        <f t="shared" si="14"/>
        <v>34000</v>
      </c>
      <c r="AZ19" s="373">
        <v>9</v>
      </c>
      <c r="BA19" s="156">
        <f t="shared" si="15"/>
        <v>153000</v>
      </c>
      <c r="BB19" s="373">
        <v>3</v>
      </c>
      <c r="BC19" s="156">
        <f t="shared" si="16"/>
        <v>51000</v>
      </c>
      <c r="BD19" s="373">
        <v>6</v>
      </c>
      <c r="BE19" s="156">
        <f t="shared" si="17"/>
        <v>102000</v>
      </c>
      <c r="BF19" s="373">
        <v>3</v>
      </c>
      <c r="BG19" s="156">
        <f t="shared" si="18"/>
        <v>51000</v>
      </c>
      <c r="BH19" s="373">
        <v>0</v>
      </c>
      <c r="BI19" s="156">
        <f t="shared" si="19"/>
        <v>0</v>
      </c>
      <c r="BJ19" s="373">
        <f t="shared" si="20"/>
        <v>59</v>
      </c>
      <c r="BK19" s="156">
        <f t="shared" si="21"/>
        <v>1003000</v>
      </c>
      <c r="BL19" s="328" t="s">
        <v>476</v>
      </c>
      <c r="BN19" s="375"/>
      <c r="BO19" s="375"/>
      <c r="BP19" s="375">
        <f>G19</f>
        <v>1003000</v>
      </c>
      <c r="BQ19" s="375"/>
      <c r="BR19" s="375">
        <f>BN19+BO19+BP19+BQ19</f>
        <v>1003000</v>
      </c>
      <c r="BS19" s="375"/>
      <c r="BT19" s="375"/>
      <c r="BU19" s="375">
        <f>BS19+BT19</f>
        <v>0</v>
      </c>
      <c r="BV19" s="377">
        <f t="shared" si="1"/>
        <v>1003000</v>
      </c>
    </row>
    <row r="20" spans="1:80" x14ac:dyDescent="0.25">
      <c r="A20" s="954"/>
      <c r="B20" s="482"/>
      <c r="C20" s="38" t="s">
        <v>180</v>
      </c>
      <c r="D20" s="38" t="s">
        <v>176</v>
      </c>
      <c r="E20" s="365">
        <f>0.7*100000</f>
        <v>70000</v>
      </c>
      <c r="F20" s="38">
        <f>BJ20</f>
        <v>5</v>
      </c>
      <c r="G20" s="485">
        <f>E20*F20</f>
        <v>350000</v>
      </c>
      <c r="H20" s="485">
        <f>G20*0</f>
        <v>0</v>
      </c>
      <c r="I20" s="485">
        <f>G20*0.8</f>
        <v>280000</v>
      </c>
      <c r="J20" s="485">
        <f>G20*0</f>
        <v>0</v>
      </c>
      <c r="K20" s="485">
        <f>G20*0</f>
        <v>0</v>
      </c>
      <c r="L20" s="485">
        <f>G20*0</f>
        <v>0</v>
      </c>
      <c r="M20" s="485">
        <f>G20*0</f>
        <v>0</v>
      </c>
      <c r="N20" s="485">
        <f>G20*0</f>
        <v>0</v>
      </c>
      <c r="O20" s="76">
        <f>G20*0</f>
        <v>0</v>
      </c>
      <c r="P20" s="76">
        <f>G20*0.2</f>
        <v>70000</v>
      </c>
      <c r="Q20" s="76">
        <f>G20*0</f>
        <v>0</v>
      </c>
      <c r="R20" s="108"/>
      <c r="S20" s="487">
        <f>F20*0.7</f>
        <v>3.5</v>
      </c>
      <c r="T20" s="487">
        <f>F20*0.3</f>
        <v>1.5</v>
      </c>
      <c r="U20" s="108"/>
      <c r="V20" s="486">
        <f>R20*E20</f>
        <v>0</v>
      </c>
      <c r="W20" s="486">
        <f>S20*E20</f>
        <v>245000</v>
      </c>
      <c r="X20" s="486">
        <f>T20*E20</f>
        <v>105000</v>
      </c>
      <c r="Y20" s="486">
        <f>U20*E20</f>
        <v>0</v>
      </c>
      <c r="Z20" s="373">
        <v>1</v>
      </c>
      <c r="AA20" s="156">
        <f t="shared" si="2"/>
        <v>70000</v>
      </c>
      <c r="AB20" s="373">
        <v>0</v>
      </c>
      <c r="AC20" s="156">
        <f t="shared" si="3"/>
        <v>0</v>
      </c>
      <c r="AD20" s="373">
        <v>0</v>
      </c>
      <c r="AE20" s="156">
        <f t="shared" si="4"/>
        <v>0</v>
      </c>
      <c r="AF20" s="373">
        <v>0</v>
      </c>
      <c r="AG20" s="156">
        <f t="shared" si="5"/>
        <v>0</v>
      </c>
      <c r="AH20" s="373">
        <v>0</v>
      </c>
      <c r="AI20" s="156">
        <f t="shared" si="6"/>
        <v>0</v>
      </c>
      <c r="AJ20" s="373">
        <v>0</v>
      </c>
      <c r="AK20" s="156">
        <f t="shared" si="7"/>
        <v>0</v>
      </c>
      <c r="AL20" s="373">
        <v>0</v>
      </c>
      <c r="AM20" s="156">
        <f t="shared" si="8"/>
        <v>0</v>
      </c>
      <c r="AN20" s="373">
        <v>0</v>
      </c>
      <c r="AO20" s="156">
        <f t="shared" si="9"/>
        <v>0</v>
      </c>
      <c r="AP20" s="373">
        <v>1</v>
      </c>
      <c r="AQ20" s="156">
        <f t="shared" si="10"/>
        <v>70000</v>
      </c>
      <c r="AR20" s="373">
        <v>1</v>
      </c>
      <c r="AS20" s="156">
        <f t="shared" si="11"/>
        <v>70000</v>
      </c>
      <c r="AT20" s="373">
        <v>0</v>
      </c>
      <c r="AU20" s="156">
        <f t="shared" si="12"/>
        <v>0</v>
      </c>
      <c r="AV20" s="373">
        <v>0</v>
      </c>
      <c r="AW20" s="156">
        <f t="shared" si="13"/>
        <v>0</v>
      </c>
      <c r="AX20" s="373">
        <v>0</v>
      </c>
      <c r="AY20" s="156">
        <f t="shared" si="14"/>
        <v>0</v>
      </c>
      <c r="AZ20" s="373">
        <v>0</v>
      </c>
      <c r="BA20" s="156">
        <f t="shared" si="15"/>
        <v>0</v>
      </c>
      <c r="BB20" s="373">
        <v>1</v>
      </c>
      <c r="BC20" s="156">
        <f t="shared" si="16"/>
        <v>70000</v>
      </c>
      <c r="BD20" s="373">
        <v>0</v>
      </c>
      <c r="BE20" s="156">
        <f t="shared" si="17"/>
        <v>0</v>
      </c>
      <c r="BF20" s="373">
        <v>1</v>
      </c>
      <c r="BG20" s="156">
        <f t="shared" si="18"/>
        <v>70000</v>
      </c>
      <c r="BH20" s="373">
        <v>0</v>
      </c>
      <c r="BI20" s="156">
        <f t="shared" si="19"/>
        <v>0</v>
      </c>
      <c r="BJ20" s="373">
        <f t="shared" si="20"/>
        <v>5</v>
      </c>
      <c r="BK20" s="156">
        <f t="shared" si="21"/>
        <v>350000</v>
      </c>
      <c r="BL20" s="328" t="s">
        <v>476</v>
      </c>
      <c r="BN20" s="375"/>
      <c r="BO20" s="375"/>
      <c r="BP20" s="375">
        <f>G20</f>
        <v>350000</v>
      </c>
      <c r="BQ20" s="375"/>
      <c r="BR20" s="375">
        <f>BN20+BO20+BP20+BQ20</f>
        <v>350000</v>
      </c>
      <c r="BS20" s="375"/>
      <c r="BT20" s="375"/>
      <c r="BU20" s="375">
        <f>BS20+BT20</f>
        <v>0</v>
      </c>
      <c r="BV20" s="377">
        <f t="shared" si="1"/>
        <v>350000</v>
      </c>
    </row>
    <row r="21" spans="1:80" x14ac:dyDescent="0.25">
      <c r="A21" s="954"/>
      <c r="B21" s="482"/>
      <c r="C21" s="38" t="s">
        <v>181</v>
      </c>
      <c r="D21" s="38" t="s">
        <v>176</v>
      </c>
      <c r="E21" s="365">
        <f>0.3*100000</f>
        <v>30000</v>
      </c>
      <c r="F21" s="38">
        <f>BJ21</f>
        <v>1</v>
      </c>
      <c r="G21" s="485">
        <f>E21*F21</f>
        <v>30000</v>
      </c>
      <c r="H21" s="485">
        <f>G21*0</f>
        <v>0</v>
      </c>
      <c r="I21" s="485">
        <f>G21*0.8</f>
        <v>24000</v>
      </c>
      <c r="J21" s="485">
        <f>G21*0</f>
        <v>0</v>
      </c>
      <c r="K21" s="485">
        <f>G21*0</f>
        <v>0</v>
      </c>
      <c r="L21" s="485">
        <f>G21*0</f>
        <v>0</v>
      </c>
      <c r="M21" s="485">
        <f>G21*0</f>
        <v>0</v>
      </c>
      <c r="N21" s="485">
        <f>G21*0</f>
        <v>0</v>
      </c>
      <c r="O21" s="76">
        <f>G21*0</f>
        <v>0</v>
      </c>
      <c r="P21" s="76">
        <f>G21*0.2</f>
        <v>6000</v>
      </c>
      <c r="Q21" s="76">
        <f>G21*0</f>
        <v>0</v>
      </c>
      <c r="R21" s="108"/>
      <c r="S21" s="487">
        <f>F21*0.7</f>
        <v>0.7</v>
      </c>
      <c r="T21" s="487">
        <f>F21*0.3</f>
        <v>0.3</v>
      </c>
      <c r="U21" s="108"/>
      <c r="V21" s="486">
        <f>R21*E21</f>
        <v>0</v>
      </c>
      <c r="W21" s="486">
        <f>S21*E21</f>
        <v>21000</v>
      </c>
      <c r="X21" s="486">
        <f>T21*E21</f>
        <v>9000</v>
      </c>
      <c r="Y21" s="486">
        <f>U21*E21</f>
        <v>0</v>
      </c>
      <c r="Z21" s="373">
        <v>0</v>
      </c>
      <c r="AA21" s="156">
        <f t="shared" si="2"/>
        <v>0</v>
      </c>
      <c r="AB21" s="373">
        <v>1</v>
      </c>
      <c r="AC21" s="156">
        <f t="shared" si="3"/>
        <v>30000</v>
      </c>
      <c r="AD21" s="373">
        <v>0</v>
      </c>
      <c r="AE21" s="156">
        <f t="shared" si="4"/>
        <v>0</v>
      </c>
      <c r="AF21" s="373">
        <v>0</v>
      </c>
      <c r="AG21" s="156">
        <f t="shared" si="5"/>
        <v>0</v>
      </c>
      <c r="AH21" s="373">
        <v>0</v>
      </c>
      <c r="AI21" s="156">
        <f t="shared" si="6"/>
        <v>0</v>
      </c>
      <c r="AJ21" s="373">
        <v>0</v>
      </c>
      <c r="AK21" s="156">
        <f t="shared" si="7"/>
        <v>0</v>
      </c>
      <c r="AL21" s="373">
        <v>0</v>
      </c>
      <c r="AM21" s="156">
        <f t="shared" si="8"/>
        <v>0</v>
      </c>
      <c r="AN21" s="373">
        <v>0</v>
      </c>
      <c r="AO21" s="156">
        <f t="shared" si="9"/>
        <v>0</v>
      </c>
      <c r="AP21" s="373">
        <v>0</v>
      </c>
      <c r="AQ21" s="156">
        <f t="shared" si="10"/>
        <v>0</v>
      </c>
      <c r="AR21" s="373">
        <v>0</v>
      </c>
      <c r="AS21" s="156">
        <f t="shared" si="11"/>
        <v>0</v>
      </c>
      <c r="AT21" s="373">
        <v>0</v>
      </c>
      <c r="AU21" s="156">
        <f t="shared" si="12"/>
        <v>0</v>
      </c>
      <c r="AV21" s="373">
        <v>0</v>
      </c>
      <c r="AW21" s="156">
        <f t="shared" si="13"/>
        <v>0</v>
      </c>
      <c r="AX21" s="373">
        <v>0</v>
      </c>
      <c r="AY21" s="156">
        <f t="shared" si="14"/>
        <v>0</v>
      </c>
      <c r="AZ21" s="373">
        <v>0</v>
      </c>
      <c r="BA21" s="156">
        <f t="shared" si="15"/>
        <v>0</v>
      </c>
      <c r="BB21" s="373">
        <v>0</v>
      </c>
      <c r="BC21" s="156">
        <f t="shared" si="16"/>
        <v>0</v>
      </c>
      <c r="BD21" s="373">
        <v>0</v>
      </c>
      <c r="BE21" s="156">
        <f t="shared" si="17"/>
        <v>0</v>
      </c>
      <c r="BF21" s="373">
        <v>0</v>
      </c>
      <c r="BG21" s="156">
        <f t="shared" si="18"/>
        <v>0</v>
      </c>
      <c r="BH21" s="373">
        <v>0</v>
      </c>
      <c r="BI21" s="156">
        <f t="shared" si="19"/>
        <v>0</v>
      </c>
      <c r="BJ21" s="373">
        <f t="shared" si="20"/>
        <v>1</v>
      </c>
      <c r="BK21" s="156">
        <f t="shared" si="21"/>
        <v>30000</v>
      </c>
      <c r="BL21" s="328" t="s">
        <v>476</v>
      </c>
      <c r="BN21" s="375"/>
      <c r="BO21" s="375"/>
      <c r="BP21" s="375">
        <f>G21</f>
        <v>30000</v>
      </c>
      <c r="BQ21" s="375"/>
      <c r="BR21" s="375">
        <f>BN21+BO21+BP21+BQ21</f>
        <v>30000</v>
      </c>
      <c r="BS21" s="375"/>
      <c r="BT21" s="375"/>
      <c r="BU21" s="375">
        <f>BS21+BT21</f>
        <v>0</v>
      </c>
      <c r="BV21" s="377">
        <f t="shared" si="1"/>
        <v>30000</v>
      </c>
    </row>
    <row r="22" spans="1:80" s="269" customFormat="1" x14ac:dyDescent="0.25">
      <c r="A22" s="954"/>
      <c r="B22" s="391"/>
      <c r="C22" s="391"/>
      <c r="D22" s="391"/>
      <c r="E22" s="391"/>
      <c r="F22" s="391">
        <f>SUM(F17:F21)</f>
        <v>222</v>
      </c>
      <c r="G22" s="491">
        <f>SUM(G17:G21)</f>
        <v>2012000</v>
      </c>
      <c r="H22" s="491">
        <f t="shared" ref="H22:Q22" si="25">SUM(H17:H21)</f>
        <v>0</v>
      </c>
      <c r="I22" s="491">
        <f t="shared" si="25"/>
        <v>1609600</v>
      </c>
      <c r="J22" s="491">
        <f t="shared" si="25"/>
        <v>0</v>
      </c>
      <c r="K22" s="491">
        <f t="shared" si="25"/>
        <v>0</v>
      </c>
      <c r="L22" s="491">
        <f t="shared" si="25"/>
        <v>0</v>
      </c>
      <c r="M22" s="491">
        <f t="shared" si="25"/>
        <v>0</v>
      </c>
      <c r="N22" s="491">
        <f t="shared" si="25"/>
        <v>0</v>
      </c>
      <c r="O22" s="491">
        <f t="shared" si="25"/>
        <v>0</v>
      </c>
      <c r="P22" s="491">
        <f t="shared" si="25"/>
        <v>402400</v>
      </c>
      <c r="Q22" s="491">
        <f t="shared" si="25"/>
        <v>0</v>
      </c>
      <c r="R22" s="391">
        <f t="shared" ref="R22:Y22" si="26">SUM(R17:R21)</f>
        <v>0</v>
      </c>
      <c r="S22" s="391">
        <f>SUM(S17:S21)</f>
        <v>155.39999999999998</v>
      </c>
      <c r="T22" s="391">
        <f t="shared" si="26"/>
        <v>66.599999999999994</v>
      </c>
      <c r="U22" s="391">
        <f t="shared" si="26"/>
        <v>0</v>
      </c>
      <c r="V22" s="492">
        <f t="shared" si="26"/>
        <v>0</v>
      </c>
      <c r="W22" s="492">
        <f t="shared" si="26"/>
        <v>1408400</v>
      </c>
      <c r="X22" s="492">
        <f t="shared" si="26"/>
        <v>603600</v>
      </c>
      <c r="Y22" s="492">
        <f t="shared" si="26"/>
        <v>0</v>
      </c>
      <c r="Z22" s="493">
        <f>SUM(Z16:Z21)</f>
        <v>10</v>
      </c>
      <c r="AA22" s="493">
        <f t="shared" ref="AA22:BK22" si="27">SUM(AA16:AA21)</f>
        <v>145000</v>
      </c>
      <c r="AB22" s="493">
        <f t="shared" si="27"/>
        <v>8</v>
      </c>
      <c r="AC22" s="493">
        <f t="shared" si="27"/>
        <v>85000</v>
      </c>
      <c r="AD22" s="493">
        <f t="shared" si="27"/>
        <v>6</v>
      </c>
      <c r="AE22" s="493">
        <f t="shared" si="27"/>
        <v>46000</v>
      </c>
      <c r="AF22" s="493">
        <f t="shared" si="27"/>
        <v>10</v>
      </c>
      <c r="AG22" s="493">
        <f t="shared" si="27"/>
        <v>40000</v>
      </c>
      <c r="AH22" s="493">
        <f t="shared" si="27"/>
        <v>6</v>
      </c>
      <c r="AI22" s="493">
        <f t="shared" si="27"/>
        <v>50000</v>
      </c>
      <c r="AJ22" s="493">
        <f t="shared" si="27"/>
        <v>10</v>
      </c>
      <c r="AK22" s="493">
        <f t="shared" si="27"/>
        <v>66000</v>
      </c>
      <c r="AL22" s="493">
        <f t="shared" si="27"/>
        <v>15</v>
      </c>
      <c r="AM22" s="493">
        <f t="shared" si="27"/>
        <v>125000</v>
      </c>
      <c r="AN22" s="493">
        <f t="shared" si="27"/>
        <v>24</v>
      </c>
      <c r="AO22" s="493">
        <f t="shared" si="27"/>
        <v>200000</v>
      </c>
      <c r="AP22" s="493">
        <f t="shared" si="27"/>
        <v>7</v>
      </c>
      <c r="AQ22" s="493">
        <f t="shared" si="27"/>
        <v>120000</v>
      </c>
      <c r="AR22" s="493">
        <f t="shared" si="27"/>
        <v>10</v>
      </c>
      <c r="AS22" s="493">
        <f t="shared" si="27"/>
        <v>145000</v>
      </c>
      <c r="AT22" s="493">
        <f t="shared" si="27"/>
        <v>8</v>
      </c>
      <c r="AU22" s="493">
        <f t="shared" si="27"/>
        <v>64000</v>
      </c>
      <c r="AV22" s="493">
        <f t="shared" si="27"/>
        <v>15</v>
      </c>
      <c r="AW22" s="493">
        <f t="shared" si="27"/>
        <v>125000</v>
      </c>
      <c r="AX22" s="493">
        <f t="shared" si="27"/>
        <v>12</v>
      </c>
      <c r="AY22" s="493">
        <f t="shared" si="27"/>
        <v>74000</v>
      </c>
      <c r="AZ22" s="493">
        <f t="shared" si="27"/>
        <v>27</v>
      </c>
      <c r="BA22" s="493">
        <f t="shared" si="27"/>
        <v>225000</v>
      </c>
      <c r="BB22" s="493">
        <f t="shared" si="27"/>
        <v>10</v>
      </c>
      <c r="BC22" s="493">
        <f t="shared" si="27"/>
        <v>145000</v>
      </c>
      <c r="BD22" s="493">
        <f t="shared" si="27"/>
        <v>30</v>
      </c>
      <c r="BE22" s="493">
        <f t="shared" si="27"/>
        <v>198000</v>
      </c>
      <c r="BF22" s="493">
        <f t="shared" si="27"/>
        <v>14</v>
      </c>
      <c r="BG22" s="493">
        <f t="shared" si="27"/>
        <v>159000</v>
      </c>
      <c r="BH22" s="493">
        <f t="shared" si="27"/>
        <v>0</v>
      </c>
      <c r="BI22" s="493">
        <f t="shared" si="27"/>
        <v>0</v>
      </c>
      <c r="BJ22" s="493">
        <f t="shared" si="27"/>
        <v>222</v>
      </c>
      <c r="BK22" s="280">
        <f t="shared" si="27"/>
        <v>2012000</v>
      </c>
      <c r="BL22" s="241"/>
      <c r="BN22" s="488">
        <f t="shared" ref="BN22:BU22" si="28">SUM(BN17:BN21)</f>
        <v>0</v>
      </c>
      <c r="BO22" s="488">
        <f t="shared" si="28"/>
        <v>0</v>
      </c>
      <c r="BP22" s="488">
        <f t="shared" si="28"/>
        <v>2012000</v>
      </c>
      <c r="BQ22" s="488">
        <f t="shared" si="28"/>
        <v>0</v>
      </c>
      <c r="BR22" s="488">
        <f t="shared" si="28"/>
        <v>2012000</v>
      </c>
      <c r="BS22" s="488">
        <f t="shared" si="28"/>
        <v>0</v>
      </c>
      <c r="BT22" s="488">
        <f t="shared" si="28"/>
        <v>0</v>
      </c>
      <c r="BU22" s="488">
        <f t="shared" si="28"/>
        <v>0</v>
      </c>
      <c r="BV22" s="489">
        <f t="shared" si="1"/>
        <v>2012000</v>
      </c>
    </row>
    <row r="23" spans="1:80" x14ac:dyDescent="0.25">
      <c r="A23" s="954"/>
      <c r="B23" s="38">
        <v>23300</v>
      </c>
      <c r="C23" s="38" t="s">
        <v>182</v>
      </c>
      <c r="D23" s="38"/>
      <c r="E23" s="365"/>
      <c r="F23" s="38"/>
      <c r="G23" s="823"/>
      <c r="H23" s="823"/>
      <c r="I23" s="823"/>
      <c r="J23" s="823"/>
      <c r="K23" s="823"/>
      <c r="L23" s="823"/>
      <c r="M23" s="823"/>
      <c r="N23" s="823"/>
      <c r="O23" s="483"/>
      <c r="P23" s="483"/>
      <c r="Q23" s="483"/>
      <c r="R23" s="108"/>
      <c r="S23" s="484"/>
      <c r="T23" s="484"/>
      <c r="U23" s="484"/>
      <c r="V23" s="484"/>
      <c r="W23" s="484"/>
      <c r="X23" s="484"/>
      <c r="Y23" s="484"/>
      <c r="Z23" s="373">
        <v>0</v>
      </c>
      <c r="AA23" s="156">
        <f t="shared" si="2"/>
        <v>0</v>
      </c>
      <c r="AB23" s="373">
        <v>0</v>
      </c>
      <c r="AC23" s="156">
        <f t="shared" si="3"/>
        <v>0</v>
      </c>
      <c r="AD23" s="373">
        <v>0</v>
      </c>
      <c r="AE23" s="156">
        <f t="shared" si="4"/>
        <v>0</v>
      </c>
      <c r="AF23" s="373">
        <v>0</v>
      </c>
      <c r="AG23" s="156">
        <f t="shared" si="5"/>
        <v>0</v>
      </c>
      <c r="AH23" s="410"/>
      <c r="AI23" s="156">
        <f t="shared" si="6"/>
        <v>0</v>
      </c>
      <c r="AJ23" s="410"/>
      <c r="AK23" s="156">
        <f t="shared" si="7"/>
        <v>0</v>
      </c>
      <c r="AL23" s="410"/>
      <c r="AM23" s="156">
        <f t="shared" si="8"/>
        <v>0</v>
      </c>
      <c r="AN23" s="410"/>
      <c r="AO23" s="156">
        <f t="shared" si="9"/>
        <v>0</v>
      </c>
      <c r="AP23" s="410"/>
      <c r="AQ23" s="156">
        <f t="shared" si="10"/>
        <v>0</v>
      </c>
      <c r="AR23" s="410"/>
      <c r="AS23" s="156">
        <f t="shared" si="11"/>
        <v>0</v>
      </c>
      <c r="AT23" s="410"/>
      <c r="AU23" s="156">
        <f t="shared" si="12"/>
        <v>0</v>
      </c>
      <c r="AV23" s="410"/>
      <c r="AW23" s="156">
        <f t="shared" si="13"/>
        <v>0</v>
      </c>
      <c r="AX23" s="410"/>
      <c r="AY23" s="156">
        <f t="shared" si="14"/>
        <v>0</v>
      </c>
      <c r="AZ23" s="410"/>
      <c r="BA23" s="156">
        <f t="shared" si="15"/>
        <v>0</v>
      </c>
      <c r="BB23" s="410"/>
      <c r="BC23" s="156">
        <f t="shared" si="16"/>
        <v>0</v>
      </c>
      <c r="BD23" s="410"/>
      <c r="BE23" s="156">
        <f t="shared" si="17"/>
        <v>0</v>
      </c>
      <c r="BF23" s="410"/>
      <c r="BG23" s="156">
        <f t="shared" si="18"/>
        <v>0</v>
      </c>
      <c r="BH23" s="410"/>
      <c r="BI23" s="156">
        <f t="shared" si="19"/>
        <v>0</v>
      </c>
      <c r="BJ23" s="373">
        <f t="shared" si="20"/>
        <v>0</v>
      </c>
      <c r="BK23" s="156">
        <f t="shared" si="21"/>
        <v>0</v>
      </c>
      <c r="BL23" s="38"/>
      <c r="BN23" s="375"/>
      <c r="BO23" s="375"/>
      <c r="BP23" s="375"/>
      <c r="BQ23" s="375"/>
      <c r="BR23" s="375"/>
      <c r="BS23" s="375"/>
      <c r="BT23" s="375"/>
      <c r="BU23" s="375"/>
      <c r="BV23" s="377">
        <f t="shared" si="1"/>
        <v>0</v>
      </c>
    </row>
    <row r="24" spans="1:80" x14ac:dyDescent="0.25">
      <c r="A24" s="954"/>
      <c r="B24" s="482"/>
      <c r="C24" s="38" t="s">
        <v>183</v>
      </c>
      <c r="D24" s="38" t="s">
        <v>176</v>
      </c>
      <c r="E24" s="365">
        <f>2*100000</f>
        <v>200000</v>
      </c>
      <c r="F24" s="38">
        <f>BJ24</f>
        <v>80</v>
      </c>
      <c r="G24" s="485">
        <f>E24*F24</f>
        <v>16000000</v>
      </c>
      <c r="H24" s="485">
        <f>G24*0.1</f>
        <v>1600000</v>
      </c>
      <c r="I24" s="485">
        <f>G24*0.8</f>
        <v>12800000</v>
      </c>
      <c r="J24" s="485">
        <f>G24*0.1</f>
        <v>1600000</v>
      </c>
      <c r="K24" s="485">
        <f>G24*0</f>
        <v>0</v>
      </c>
      <c r="L24" s="485">
        <f>G24*0</f>
        <v>0</v>
      </c>
      <c r="M24" s="485">
        <f>G24*0</f>
        <v>0</v>
      </c>
      <c r="N24" s="485">
        <f>G24*0</f>
        <v>0</v>
      </c>
      <c r="O24" s="76">
        <f>G24*0</f>
        <v>0</v>
      </c>
      <c r="P24" s="76">
        <f>G24*0</f>
        <v>0</v>
      </c>
      <c r="Q24" s="485">
        <f>G24*0</f>
        <v>0</v>
      </c>
      <c r="R24" s="108"/>
      <c r="S24" s="487">
        <f>F24*0.6</f>
        <v>48</v>
      </c>
      <c r="T24" s="487">
        <f>F24*0.4</f>
        <v>32</v>
      </c>
      <c r="U24" s="484"/>
      <c r="V24" s="486">
        <f>R24*E24</f>
        <v>0</v>
      </c>
      <c r="W24" s="486">
        <f>S24*E24</f>
        <v>9600000</v>
      </c>
      <c r="X24" s="486">
        <f>T24*E24</f>
        <v>6400000</v>
      </c>
      <c r="Y24" s="486">
        <f>U24*E24</f>
        <v>0</v>
      </c>
      <c r="Z24" s="373">
        <v>2</v>
      </c>
      <c r="AA24" s="156">
        <f t="shared" si="2"/>
        <v>400000</v>
      </c>
      <c r="AB24" s="373">
        <v>3</v>
      </c>
      <c r="AC24" s="156">
        <f t="shared" si="3"/>
        <v>600000</v>
      </c>
      <c r="AD24" s="373">
        <v>2</v>
      </c>
      <c r="AE24" s="156">
        <f t="shared" si="4"/>
        <v>400000</v>
      </c>
      <c r="AF24" s="373">
        <v>5</v>
      </c>
      <c r="AG24" s="156">
        <f t="shared" si="5"/>
        <v>1000000</v>
      </c>
      <c r="AH24" s="373">
        <v>2</v>
      </c>
      <c r="AI24" s="156">
        <f t="shared" si="6"/>
        <v>400000</v>
      </c>
      <c r="AJ24" s="373">
        <v>4</v>
      </c>
      <c r="AK24" s="156">
        <f t="shared" si="7"/>
        <v>800000</v>
      </c>
      <c r="AL24" s="373">
        <v>4</v>
      </c>
      <c r="AM24" s="156">
        <f t="shared" si="8"/>
        <v>800000</v>
      </c>
      <c r="AN24" s="373">
        <v>8</v>
      </c>
      <c r="AO24" s="156">
        <f t="shared" si="9"/>
        <v>1600000</v>
      </c>
      <c r="AP24" s="373">
        <v>1</v>
      </c>
      <c r="AQ24" s="156">
        <f t="shared" si="10"/>
        <v>200000</v>
      </c>
      <c r="AR24" s="373">
        <v>3</v>
      </c>
      <c r="AS24" s="156">
        <f t="shared" si="11"/>
        <v>600000</v>
      </c>
      <c r="AT24" s="373">
        <v>6</v>
      </c>
      <c r="AU24" s="156">
        <f t="shared" si="12"/>
        <v>1200000</v>
      </c>
      <c r="AV24" s="373">
        <v>5</v>
      </c>
      <c r="AW24" s="156">
        <f t="shared" si="13"/>
        <v>1000000</v>
      </c>
      <c r="AX24" s="373">
        <v>9</v>
      </c>
      <c r="AY24" s="156">
        <f t="shared" si="14"/>
        <v>1800000</v>
      </c>
      <c r="AZ24" s="373">
        <v>9</v>
      </c>
      <c r="BA24" s="156">
        <f t="shared" si="15"/>
        <v>1800000</v>
      </c>
      <c r="BB24" s="373">
        <v>2</v>
      </c>
      <c r="BC24" s="156">
        <f t="shared" si="16"/>
        <v>400000</v>
      </c>
      <c r="BD24" s="373">
        <v>10</v>
      </c>
      <c r="BE24" s="156">
        <f t="shared" si="17"/>
        <v>2000000</v>
      </c>
      <c r="BF24" s="373">
        <v>5</v>
      </c>
      <c r="BG24" s="156">
        <f t="shared" si="18"/>
        <v>1000000</v>
      </c>
      <c r="BH24" s="373">
        <v>0</v>
      </c>
      <c r="BI24" s="156">
        <f t="shared" si="19"/>
        <v>0</v>
      </c>
      <c r="BJ24" s="373">
        <f t="shared" si="20"/>
        <v>80</v>
      </c>
      <c r="BK24" s="156">
        <f t="shared" si="21"/>
        <v>16000000</v>
      </c>
      <c r="BL24" s="328" t="s">
        <v>479</v>
      </c>
      <c r="BN24" s="375"/>
      <c r="BO24" s="375"/>
      <c r="BP24" s="375">
        <f>G24</f>
        <v>16000000</v>
      </c>
      <c r="BQ24" s="375"/>
      <c r="BR24" s="375">
        <f>BN24+BO24+BP24+BQ24</f>
        <v>16000000</v>
      </c>
      <c r="BS24" s="375"/>
      <c r="BT24" s="375"/>
      <c r="BU24" s="375">
        <f>BS24+BT24</f>
        <v>0</v>
      </c>
      <c r="BV24" s="377">
        <f t="shared" si="1"/>
        <v>16000000</v>
      </c>
    </row>
    <row r="25" spans="1:80" s="99" customFormat="1" x14ac:dyDescent="0.25">
      <c r="A25" s="954"/>
      <c r="B25" s="494"/>
      <c r="C25" s="169" t="s">
        <v>184</v>
      </c>
      <c r="D25" s="169" t="s">
        <v>176</v>
      </c>
      <c r="E25" s="178">
        <f>0.3*100000</f>
        <v>30000</v>
      </c>
      <c r="F25" s="38">
        <f>BJ25</f>
        <v>87</v>
      </c>
      <c r="G25" s="495">
        <f>E25*F25</f>
        <v>2610000</v>
      </c>
      <c r="H25" s="495">
        <f>G25*0.1</f>
        <v>261000</v>
      </c>
      <c r="I25" s="495">
        <f>G25*0.8</f>
        <v>2088000</v>
      </c>
      <c r="J25" s="495">
        <f>G25*0</f>
        <v>0</v>
      </c>
      <c r="K25" s="495">
        <f>G25*0</f>
        <v>0</v>
      </c>
      <c r="L25" s="495">
        <f>G25*0.1</f>
        <v>261000</v>
      </c>
      <c r="M25" s="495">
        <f>G25*0</f>
        <v>0</v>
      </c>
      <c r="N25" s="495">
        <f>G25*0</f>
        <v>0</v>
      </c>
      <c r="O25" s="274">
        <f>G25*0</f>
        <v>0</v>
      </c>
      <c r="P25" s="274">
        <f>G25*0</f>
        <v>0</v>
      </c>
      <c r="Q25" s="495">
        <f>G25*0</f>
        <v>0</v>
      </c>
      <c r="R25" s="496"/>
      <c r="S25" s="487">
        <f>F25*0.6</f>
        <v>52.199999999999996</v>
      </c>
      <c r="T25" s="487">
        <f>F25*0.4</f>
        <v>34.800000000000004</v>
      </c>
      <c r="U25" s="484"/>
      <c r="V25" s="486">
        <f>R25*E25</f>
        <v>0</v>
      </c>
      <c r="W25" s="486">
        <f>S25*E25</f>
        <v>1565999.9999999998</v>
      </c>
      <c r="X25" s="486">
        <f>T25*E25</f>
        <v>1044000.0000000001</v>
      </c>
      <c r="Y25" s="486">
        <f>U25*E25</f>
        <v>0</v>
      </c>
      <c r="Z25" s="373">
        <v>4</v>
      </c>
      <c r="AA25" s="156">
        <f t="shared" si="2"/>
        <v>120000</v>
      </c>
      <c r="AB25" s="373">
        <v>2</v>
      </c>
      <c r="AC25" s="156">
        <f t="shared" si="3"/>
        <v>60000</v>
      </c>
      <c r="AD25" s="373">
        <v>4</v>
      </c>
      <c r="AE25" s="156">
        <f t="shared" si="4"/>
        <v>120000</v>
      </c>
      <c r="AF25" s="373">
        <v>5</v>
      </c>
      <c r="AG25" s="156">
        <f t="shared" si="5"/>
        <v>150000</v>
      </c>
      <c r="AH25" s="414">
        <v>2</v>
      </c>
      <c r="AI25" s="156">
        <f t="shared" si="6"/>
        <v>60000</v>
      </c>
      <c r="AJ25" s="414">
        <v>4</v>
      </c>
      <c r="AK25" s="156">
        <f t="shared" si="7"/>
        <v>120000</v>
      </c>
      <c r="AL25" s="414">
        <v>5</v>
      </c>
      <c r="AM25" s="156">
        <f t="shared" si="8"/>
        <v>150000</v>
      </c>
      <c r="AN25" s="414">
        <v>8</v>
      </c>
      <c r="AO25" s="156">
        <f t="shared" si="9"/>
        <v>240000</v>
      </c>
      <c r="AP25" s="414">
        <v>2</v>
      </c>
      <c r="AQ25" s="156">
        <f t="shared" si="10"/>
        <v>60000</v>
      </c>
      <c r="AR25" s="414">
        <v>3</v>
      </c>
      <c r="AS25" s="156">
        <f t="shared" si="11"/>
        <v>90000</v>
      </c>
      <c r="AT25" s="414">
        <v>6</v>
      </c>
      <c r="AU25" s="156">
        <f t="shared" si="12"/>
        <v>180000</v>
      </c>
      <c r="AV25" s="414">
        <v>5</v>
      </c>
      <c r="AW25" s="156">
        <f t="shared" si="13"/>
        <v>150000</v>
      </c>
      <c r="AX25" s="414">
        <v>9</v>
      </c>
      <c r="AY25" s="156">
        <f t="shared" si="14"/>
        <v>270000</v>
      </c>
      <c r="AZ25" s="414">
        <v>9</v>
      </c>
      <c r="BA25" s="156">
        <f t="shared" si="15"/>
        <v>270000</v>
      </c>
      <c r="BB25" s="414">
        <v>2</v>
      </c>
      <c r="BC25" s="156">
        <f t="shared" si="16"/>
        <v>60000</v>
      </c>
      <c r="BD25" s="414">
        <v>12</v>
      </c>
      <c r="BE25" s="156">
        <f t="shared" si="17"/>
        <v>360000</v>
      </c>
      <c r="BF25" s="414">
        <v>5</v>
      </c>
      <c r="BG25" s="156">
        <f t="shared" si="18"/>
        <v>150000</v>
      </c>
      <c r="BH25" s="414">
        <v>0</v>
      </c>
      <c r="BI25" s="156">
        <f t="shared" si="19"/>
        <v>0</v>
      </c>
      <c r="BJ25" s="373">
        <f t="shared" si="20"/>
        <v>87</v>
      </c>
      <c r="BK25" s="156">
        <f t="shared" si="21"/>
        <v>2610000</v>
      </c>
      <c r="BL25" s="329" t="s">
        <v>479</v>
      </c>
      <c r="BM25" s="106"/>
      <c r="BN25" s="375"/>
      <c r="BO25" s="375"/>
      <c r="BP25" s="375">
        <f>G25</f>
        <v>2610000</v>
      </c>
      <c r="BQ25" s="375"/>
      <c r="BR25" s="375">
        <f>BN25+BO25+BP25+BQ25</f>
        <v>2610000</v>
      </c>
      <c r="BS25" s="375"/>
      <c r="BT25" s="375"/>
      <c r="BU25" s="375">
        <f>BS25+BT25</f>
        <v>0</v>
      </c>
      <c r="BV25" s="377">
        <f t="shared" si="1"/>
        <v>2610000</v>
      </c>
      <c r="BW25" s="106"/>
      <c r="BX25" s="106"/>
      <c r="BY25" s="106"/>
      <c r="BZ25" s="106"/>
      <c r="CA25" s="106"/>
      <c r="CB25" s="106"/>
    </row>
    <row r="26" spans="1:80" ht="31.5" x14ac:dyDescent="0.25">
      <c r="A26" s="954"/>
      <c r="B26" s="482"/>
      <c r="C26" s="38" t="s">
        <v>910</v>
      </c>
      <c r="D26" s="38" t="s">
        <v>72</v>
      </c>
      <c r="E26" s="365">
        <f>0.05*100000</f>
        <v>5000</v>
      </c>
      <c r="F26" s="38">
        <f>BJ26</f>
        <v>113</v>
      </c>
      <c r="G26" s="485">
        <f>E26*F26</f>
        <v>565000</v>
      </c>
      <c r="H26" s="485">
        <f>G26*0.1</f>
        <v>56500</v>
      </c>
      <c r="I26" s="485">
        <f>G26*0.8</f>
        <v>452000</v>
      </c>
      <c r="J26" s="485">
        <f>G26*0.1</f>
        <v>56500</v>
      </c>
      <c r="K26" s="485">
        <f>G26*0</f>
        <v>0</v>
      </c>
      <c r="L26" s="485">
        <f>G26*0</f>
        <v>0</v>
      </c>
      <c r="M26" s="485">
        <f>G26*0</f>
        <v>0</v>
      </c>
      <c r="N26" s="485">
        <f>G26*0</f>
        <v>0</v>
      </c>
      <c r="O26" s="76">
        <f>G26*0</f>
        <v>0</v>
      </c>
      <c r="P26" s="76">
        <f>G26*0</f>
        <v>0</v>
      </c>
      <c r="Q26" s="485">
        <f>G26*0</f>
        <v>0</v>
      </c>
      <c r="R26" s="108"/>
      <c r="S26" s="487">
        <f>F26*0.6</f>
        <v>67.8</v>
      </c>
      <c r="T26" s="487">
        <f>F26*0.4</f>
        <v>45.2</v>
      </c>
      <c r="U26" s="484"/>
      <c r="V26" s="486">
        <f>R26*E26</f>
        <v>0</v>
      </c>
      <c r="W26" s="486">
        <f>S26*E26</f>
        <v>339000</v>
      </c>
      <c r="X26" s="486">
        <f>T26*E26</f>
        <v>226000</v>
      </c>
      <c r="Y26" s="486">
        <f>U26*E26</f>
        <v>0</v>
      </c>
      <c r="Z26" s="373">
        <v>6</v>
      </c>
      <c r="AA26" s="156">
        <f t="shared" si="2"/>
        <v>30000</v>
      </c>
      <c r="AB26" s="373">
        <v>6</v>
      </c>
      <c r="AC26" s="156">
        <f t="shared" si="3"/>
        <v>30000</v>
      </c>
      <c r="AD26" s="373">
        <v>10</v>
      </c>
      <c r="AE26" s="156">
        <f t="shared" si="4"/>
        <v>50000</v>
      </c>
      <c r="AF26" s="373">
        <v>6</v>
      </c>
      <c r="AG26" s="156">
        <f t="shared" si="5"/>
        <v>30000</v>
      </c>
      <c r="AH26" s="373">
        <v>6</v>
      </c>
      <c r="AI26" s="156">
        <f t="shared" si="6"/>
        <v>30000</v>
      </c>
      <c r="AJ26" s="373">
        <v>6</v>
      </c>
      <c r="AK26" s="156">
        <f t="shared" si="7"/>
        <v>30000</v>
      </c>
      <c r="AL26" s="373">
        <v>6</v>
      </c>
      <c r="AM26" s="156">
        <f t="shared" si="8"/>
        <v>30000</v>
      </c>
      <c r="AN26" s="373">
        <v>1</v>
      </c>
      <c r="AO26" s="156">
        <f t="shared" si="9"/>
        <v>5000</v>
      </c>
      <c r="AP26" s="373">
        <v>6</v>
      </c>
      <c r="AQ26" s="156">
        <f t="shared" si="10"/>
        <v>30000</v>
      </c>
      <c r="AR26" s="373">
        <v>6</v>
      </c>
      <c r="AS26" s="156">
        <f t="shared" si="11"/>
        <v>30000</v>
      </c>
      <c r="AT26" s="373">
        <v>10</v>
      </c>
      <c r="AU26" s="156">
        <f t="shared" si="12"/>
        <v>50000</v>
      </c>
      <c r="AV26" s="373">
        <v>8</v>
      </c>
      <c r="AW26" s="156">
        <f t="shared" si="13"/>
        <v>40000</v>
      </c>
      <c r="AX26" s="373">
        <v>6</v>
      </c>
      <c r="AY26" s="156">
        <f t="shared" si="14"/>
        <v>30000</v>
      </c>
      <c r="AZ26" s="373">
        <v>6</v>
      </c>
      <c r="BA26" s="156">
        <f t="shared" si="15"/>
        <v>30000</v>
      </c>
      <c r="BB26" s="373">
        <v>6</v>
      </c>
      <c r="BC26" s="156">
        <f t="shared" si="16"/>
        <v>30000</v>
      </c>
      <c r="BD26" s="373">
        <v>8</v>
      </c>
      <c r="BE26" s="156">
        <f t="shared" si="17"/>
        <v>40000</v>
      </c>
      <c r="BF26" s="373">
        <v>10</v>
      </c>
      <c r="BG26" s="156">
        <f t="shared" si="18"/>
        <v>50000</v>
      </c>
      <c r="BH26" s="373">
        <v>0</v>
      </c>
      <c r="BI26" s="156">
        <f t="shared" si="19"/>
        <v>0</v>
      </c>
      <c r="BJ26" s="373">
        <f t="shared" si="20"/>
        <v>113</v>
      </c>
      <c r="BK26" s="156">
        <f t="shared" si="21"/>
        <v>565000</v>
      </c>
      <c r="BL26" s="328" t="s">
        <v>826</v>
      </c>
      <c r="BN26" s="375"/>
      <c r="BO26" s="375"/>
      <c r="BP26" s="375">
        <f>G26</f>
        <v>565000</v>
      </c>
      <c r="BQ26" s="375"/>
      <c r="BR26" s="375">
        <f>BN26+BO26+BP26+BQ26</f>
        <v>565000</v>
      </c>
      <c r="BS26" s="375"/>
      <c r="BT26" s="375"/>
      <c r="BU26" s="375">
        <f>BS26+BT26</f>
        <v>0</v>
      </c>
      <c r="BV26" s="377">
        <f t="shared" si="1"/>
        <v>565000</v>
      </c>
    </row>
    <row r="27" spans="1:80" x14ac:dyDescent="0.25">
      <c r="A27" s="954"/>
      <c r="B27" s="382"/>
      <c r="C27" s="382"/>
      <c r="D27" s="382"/>
      <c r="E27" s="382"/>
      <c r="F27" s="391">
        <f>SUM(F24:F26)</f>
        <v>280</v>
      </c>
      <c r="G27" s="491">
        <f>SUM(G23:G26)</f>
        <v>19175000</v>
      </c>
      <c r="H27" s="491">
        <f t="shared" ref="H27:Q27" si="29">SUM(H23:H26)</f>
        <v>1917500</v>
      </c>
      <c r="I27" s="491">
        <f t="shared" si="29"/>
        <v>15340000</v>
      </c>
      <c r="J27" s="491">
        <f t="shared" si="29"/>
        <v>1656500</v>
      </c>
      <c r="K27" s="491">
        <f t="shared" si="29"/>
        <v>0</v>
      </c>
      <c r="L27" s="491">
        <f t="shared" si="29"/>
        <v>261000</v>
      </c>
      <c r="M27" s="491">
        <f t="shared" si="29"/>
        <v>0</v>
      </c>
      <c r="N27" s="491">
        <f t="shared" si="29"/>
        <v>0</v>
      </c>
      <c r="O27" s="491">
        <f t="shared" si="29"/>
        <v>0</v>
      </c>
      <c r="P27" s="491">
        <f t="shared" si="29"/>
        <v>0</v>
      </c>
      <c r="Q27" s="491">
        <f t="shared" si="29"/>
        <v>0</v>
      </c>
      <c r="R27" s="382">
        <f>SUM(R24:R26)</f>
        <v>0</v>
      </c>
      <c r="S27" s="382">
        <f>SUM(S24:S26)</f>
        <v>168</v>
      </c>
      <c r="T27" s="382">
        <f>SUM(T24:T26)</f>
        <v>112.00000000000001</v>
      </c>
      <c r="U27" s="382">
        <f>SUM(U24:U26)</f>
        <v>0</v>
      </c>
      <c r="V27" s="491">
        <f>SUM(V23:V26)</f>
        <v>0</v>
      </c>
      <c r="W27" s="491">
        <f>SUM(W23:W26)</f>
        <v>11505000</v>
      </c>
      <c r="X27" s="491">
        <f>SUM(X23:X26)</f>
        <v>7670000</v>
      </c>
      <c r="Y27" s="491">
        <f>SUM(Y23:Y26)</f>
        <v>0</v>
      </c>
      <c r="Z27" s="493">
        <f>SUM(Z23:Z26)</f>
        <v>12</v>
      </c>
      <c r="AA27" s="493">
        <f t="shared" ref="AA27:BI27" si="30">SUM(AA23:AA26)</f>
        <v>550000</v>
      </c>
      <c r="AB27" s="493">
        <f t="shared" si="30"/>
        <v>11</v>
      </c>
      <c r="AC27" s="493">
        <f t="shared" si="30"/>
        <v>690000</v>
      </c>
      <c r="AD27" s="493">
        <f t="shared" si="30"/>
        <v>16</v>
      </c>
      <c r="AE27" s="493">
        <f t="shared" si="30"/>
        <v>570000</v>
      </c>
      <c r="AF27" s="493">
        <f t="shared" si="30"/>
        <v>16</v>
      </c>
      <c r="AG27" s="493">
        <f t="shared" si="30"/>
        <v>1180000</v>
      </c>
      <c r="AH27" s="493">
        <f t="shared" si="30"/>
        <v>10</v>
      </c>
      <c r="AI27" s="493">
        <f t="shared" si="30"/>
        <v>490000</v>
      </c>
      <c r="AJ27" s="493">
        <f t="shared" si="30"/>
        <v>14</v>
      </c>
      <c r="AK27" s="493">
        <f t="shared" si="30"/>
        <v>950000</v>
      </c>
      <c r="AL27" s="493">
        <f t="shared" si="30"/>
        <v>15</v>
      </c>
      <c r="AM27" s="493">
        <f t="shared" si="30"/>
        <v>980000</v>
      </c>
      <c r="AN27" s="493">
        <f t="shared" si="30"/>
        <v>17</v>
      </c>
      <c r="AO27" s="493">
        <f t="shared" si="30"/>
        <v>1845000</v>
      </c>
      <c r="AP27" s="493">
        <f t="shared" si="30"/>
        <v>9</v>
      </c>
      <c r="AQ27" s="493">
        <f t="shared" si="30"/>
        <v>290000</v>
      </c>
      <c r="AR27" s="493">
        <f t="shared" si="30"/>
        <v>12</v>
      </c>
      <c r="AS27" s="493">
        <f t="shared" si="30"/>
        <v>720000</v>
      </c>
      <c r="AT27" s="493">
        <f t="shared" si="30"/>
        <v>22</v>
      </c>
      <c r="AU27" s="493">
        <f t="shared" si="30"/>
        <v>1430000</v>
      </c>
      <c r="AV27" s="493">
        <f t="shared" si="30"/>
        <v>18</v>
      </c>
      <c r="AW27" s="493">
        <f t="shared" si="30"/>
        <v>1190000</v>
      </c>
      <c r="AX27" s="493">
        <f t="shared" si="30"/>
        <v>24</v>
      </c>
      <c r="AY27" s="493">
        <f t="shared" si="30"/>
        <v>2100000</v>
      </c>
      <c r="AZ27" s="493">
        <f t="shared" si="30"/>
        <v>24</v>
      </c>
      <c r="BA27" s="493">
        <f t="shared" si="30"/>
        <v>2100000</v>
      </c>
      <c r="BB27" s="493">
        <f t="shared" si="30"/>
        <v>10</v>
      </c>
      <c r="BC27" s="493">
        <f t="shared" si="30"/>
        <v>490000</v>
      </c>
      <c r="BD27" s="493">
        <f t="shared" si="30"/>
        <v>30</v>
      </c>
      <c r="BE27" s="493">
        <f t="shared" si="30"/>
        <v>2400000</v>
      </c>
      <c r="BF27" s="493">
        <f t="shared" si="30"/>
        <v>20</v>
      </c>
      <c r="BG27" s="493">
        <f t="shared" si="30"/>
        <v>1200000</v>
      </c>
      <c r="BH27" s="493">
        <f t="shared" si="30"/>
        <v>0</v>
      </c>
      <c r="BI27" s="493">
        <f t="shared" si="30"/>
        <v>0</v>
      </c>
      <c r="BJ27" s="493">
        <f t="shared" si="20"/>
        <v>280</v>
      </c>
      <c r="BK27" s="493">
        <f t="shared" si="20"/>
        <v>19175000</v>
      </c>
      <c r="BL27" s="259"/>
      <c r="BN27" s="488">
        <f t="shared" ref="BN27:BU27" si="31">SUM(BN23:BN26)</f>
        <v>0</v>
      </c>
      <c r="BO27" s="488">
        <f t="shared" si="31"/>
        <v>0</v>
      </c>
      <c r="BP27" s="488">
        <f t="shared" si="31"/>
        <v>19175000</v>
      </c>
      <c r="BQ27" s="488">
        <f t="shared" si="31"/>
        <v>0</v>
      </c>
      <c r="BR27" s="488">
        <f t="shared" si="31"/>
        <v>19175000</v>
      </c>
      <c r="BS27" s="488">
        <f t="shared" si="31"/>
        <v>0</v>
      </c>
      <c r="BT27" s="488">
        <f t="shared" si="31"/>
        <v>0</v>
      </c>
      <c r="BU27" s="488">
        <f t="shared" si="31"/>
        <v>0</v>
      </c>
      <c r="BV27" s="489">
        <f t="shared" si="1"/>
        <v>19175000</v>
      </c>
    </row>
    <row r="28" spans="1:80" x14ac:dyDescent="0.25">
      <c r="A28" s="954"/>
      <c r="B28" s="38">
        <v>23400</v>
      </c>
      <c r="C28" s="38" t="s">
        <v>185</v>
      </c>
      <c r="D28" s="38"/>
      <c r="E28" s="365"/>
      <c r="F28" s="38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5"/>
      <c r="S28" s="45"/>
      <c r="T28" s="45"/>
      <c r="U28" s="45"/>
      <c r="V28" s="45"/>
      <c r="W28" s="45"/>
      <c r="X28" s="45"/>
      <c r="Y28" s="45"/>
      <c r="Z28" s="373">
        <v>0</v>
      </c>
      <c r="AA28" s="156">
        <f t="shared" si="2"/>
        <v>0</v>
      </c>
      <c r="AB28" s="373">
        <v>0</v>
      </c>
      <c r="AC28" s="156">
        <f t="shared" si="3"/>
        <v>0</v>
      </c>
      <c r="AD28" s="373">
        <v>0</v>
      </c>
      <c r="AE28" s="156">
        <f t="shared" si="4"/>
        <v>0</v>
      </c>
      <c r="AF28" s="373">
        <v>0</v>
      </c>
      <c r="AG28" s="156">
        <f t="shared" si="5"/>
        <v>0</v>
      </c>
      <c r="AH28" s="373"/>
      <c r="AI28" s="156">
        <f t="shared" si="6"/>
        <v>0</v>
      </c>
      <c r="AJ28" s="373"/>
      <c r="AK28" s="156">
        <f t="shared" si="7"/>
        <v>0</v>
      </c>
      <c r="AL28" s="373"/>
      <c r="AM28" s="156">
        <f t="shared" si="8"/>
        <v>0</v>
      </c>
      <c r="AN28" s="373"/>
      <c r="AO28" s="156">
        <f t="shared" si="9"/>
        <v>0</v>
      </c>
      <c r="AP28" s="373"/>
      <c r="AQ28" s="156">
        <f t="shared" si="10"/>
        <v>0</v>
      </c>
      <c r="AR28" s="373"/>
      <c r="AS28" s="156">
        <f t="shared" si="11"/>
        <v>0</v>
      </c>
      <c r="AT28" s="373"/>
      <c r="AU28" s="156">
        <f t="shared" si="12"/>
        <v>0</v>
      </c>
      <c r="AV28" s="373"/>
      <c r="AW28" s="156">
        <f t="shared" si="13"/>
        <v>0</v>
      </c>
      <c r="AX28" s="373"/>
      <c r="AY28" s="156">
        <f t="shared" si="14"/>
        <v>0</v>
      </c>
      <c r="AZ28" s="373"/>
      <c r="BA28" s="156">
        <f t="shared" si="15"/>
        <v>0</v>
      </c>
      <c r="BB28" s="373"/>
      <c r="BC28" s="156">
        <f t="shared" si="16"/>
        <v>0</v>
      </c>
      <c r="BD28" s="373"/>
      <c r="BE28" s="156">
        <f t="shared" si="17"/>
        <v>0</v>
      </c>
      <c r="BF28" s="373"/>
      <c r="BG28" s="156">
        <f t="shared" si="18"/>
        <v>0</v>
      </c>
      <c r="BH28" s="373"/>
      <c r="BI28" s="156"/>
      <c r="BJ28" s="373"/>
      <c r="BK28" s="156"/>
      <c r="BL28" s="38"/>
      <c r="BN28" s="375"/>
      <c r="BO28" s="375"/>
      <c r="BP28" s="375"/>
      <c r="BQ28" s="375"/>
      <c r="BR28" s="375"/>
      <c r="BS28" s="375"/>
      <c r="BT28" s="375"/>
      <c r="BU28" s="375"/>
      <c r="BV28" s="377">
        <f t="shared" si="1"/>
        <v>0</v>
      </c>
    </row>
    <row r="29" spans="1:80" ht="64.5" customHeight="1" x14ac:dyDescent="0.25">
      <c r="A29" s="954"/>
      <c r="B29" s="399"/>
      <c r="C29" s="38" t="s">
        <v>868</v>
      </c>
      <c r="D29" s="38" t="s">
        <v>869</v>
      </c>
      <c r="E29" s="229">
        <v>2000</v>
      </c>
      <c r="F29" s="38">
        <f t="shared" ref="F29:F35" si="32">BJ29</f>
        <v>1903</v>
      </c>
      <c r="G29" s="495">
        <f t="shared" ref="G29:G35" si="33">E29*F29</f>
        <v>3806000</v>
      </c>
      <c r="H29" s="485">
        <f>G29*0.1</f>
        <v>380600</v>
      </c>
      <c r="I29" s="485">
        <f>G29*0.8</f>
        <v>3044800</v>
      </c>
      <c r="J29" s="485">
        <f t="shared" ref="J29:J34" si="34">G29*0</f>
        <v>0</v>
      </c>
      <c r="K29" s="485">
        <f t="shared" ref="K29:K35" si="35">G29*0</f>
        <v>0</v>
      </c>
      <c r="L29" s="485">
        <f>G29*0</f>
        <v>0</v>
      </c>
      <c r="M29" s="485">
        <f t="shared" ref="M29:M35" si="36">G29*0</f>
        <v>0</v>
      </c>
      <c r="N29" s="485">
        <f t="shared" ref="N29:N35" si="37">G29*0</f>
        <v>0</v>
      </c>
      <c r="O29" s="76">
        <f>G29*0</f>
        <v>0</v>
      </c>
      <c r="P29" s="76">
        <f t="shared" ref="P29:P35" si="38">G29*0.1</f>
        <v>380600</v>
      </c>
      <c r="Q29" s="76">
        <f>G29*0</f>
        <v>0</v>
      </c>
      <c r="R29" s="54"/>
      <c r="S29" s="54">
        <f>F29</f>
        <v>1903</v>
      </c>
      <c r="T29" s="54"/>
      <c r="U29" s="54"/>
      <c r="V29" s="486">
        <f>R29*E29</f>
        <v>0</v>
      </c>
      <c r="W29" s="486">
        <f>S29*E29</f>
        <v>3806000</v>
      </c>
      <c r="X29" s="486">
        <f>T29*E29</f>
        <v>0</v>
      </c>
      <c r="Y29" s="486">
        <f>U29*E29</f>
        <v>0</v>
      </c>
      <c r="Z29" s="373">
        <v>48</v>
      </c>
      <c r="AA29" s="156">
        <f t="shared" si="2"/>
        <v>96000</v>
      </c>
      <c r="AB29" s="373">
        <v>23</v>
      </c>
      <c r="AC29" s="156">
        <f t="shared" si="3"/>
        <v>46000</v>
      </c>
      <c r="AD29" s="373">
        <v>80</v>
      </c>
      <c r="AE29" s="156">
        <f t="shared" si="4"/>
        <v>160000</v>
      </c>
      <c r="AF29" s="373">
        <v>105</v>
      </c>
      <c r="AG29" s="156">
        <f t="shared" si="5"/>
        <v>210000</v>
      </c>
      <c r="AH29" s="373">
        <v>80</v>
      </c>
      <c r="AI29" s="156">
        <f t="shared" si="6"/>
        <v>160000</v>
      </c>
      <c r="AJ29" s="373">
        <v>200</v>
      </c>
      <c r="AK29" s="156">
        <f t="shared" si="7"/>
        <v>400000</v>
      </c>
      <c r="AL29" s="373">
        <v>60</v>
      </c>
      <c r="AM29" s="156">
        <f t="shared" si="8"/>
        <v>120000</v>
      </c>
      <c r="AN29" s="373">
        <v>200</v>
      </c>
      <c r="AO29" s="156">
        <f t="shared" si="9"/>
        <v>400000</v>
      </c>
      <c r="AP29" s="373">
        <v>20</v>
      </c>
      <c r="AQ29" s="156">
        <f t="shared" si="10"/>
        <v>40000</v>
      </c>
      <c r="AR29" s="373">
        <v>80</v>
      </c>
      <c r="AS29" s="156">
        <f t="shared" si="11"/>
        <v>160000</v>
      </c>
      <c r="AT29" s="373">
        <v>80</v>
      </c>
      <c r="AU29" s="156">
        <f t="shared" si="12"/>
        <v>160000</v>
      </c>
      <c r="AV29" s="373">
        <v>80</v>
      </c>
      <c r="AW29" s="156">
        <f t="shared" si="13"/>
        <v>160000</v>
      </c>
      <c r="AX29" s="373">
        <v>150</v>
      </c>
      <c r="AY29" s="156">
        <f t="shared" si="14"/>
        <v>300000</v>
      </c>
      <c r="AZ29" s="373">
        <v>150</v>
      </c>
      <c r="BA29" s="156">
        <f t="shared" si="15"/>
        <v>300000</v>
      </c>
      <c r="BB29" s="373">
        <v>190</v>
      </c>
      <c r="BC29" s="156">
        <f t="shared" si="16"/>
        <v>380000</v>
      </c>
      <c r="BD29" s="373">
        <v>261</v>
      </c>
      <c r="BE29" s="156">
        <f t="shared" si="17"/>
        <v>522000</v>
      </c>
      <c r="BF29" s="373">
        <v>96</v>
      </c>
      <c r="BG29" s="156">
        <f t="shared" si="18"/>
        <v>192000</v>
      </c>
      <c r="BH29" s="373">
        <v>0</v>
      </c>
      <c r="BI29" s="156">
        <f t="shared" si="19"/>
        <v>0</v>
      </c>
      <c r="BJ29" s="373">
        <f t="shared" si="20"/>
        <v>1903</v>
      </c>
      <c r="BK29" s="156">
        <f t="shared" si="21"/>
        <v>3806000</v>
      </c>
      <c r="BL29" s="328" t="s">
        <v>477</v>
      </c>
      <c r="BN29" s="375"/>
      <c r="BO29" s="375"/>
      <c r="BP29" s="375">
        <f>G29</f>
        <v>3806000</v>
      </c>
      <c r="BQ29" s="375"/>
      <c r="BR29" s="375">
        <f>BN29+BO29+BP29+BQ29</f>
        <v>3806000</v>
      </c>
      <c r="BS29" s="375"/>
      <c r="BT29" s="375"/>
      <c r="BU29" s="375">
        <f>BS29+BT29</f>
        <v>0</v>
      </c>
      <c r="BV29" s="377">
        <f t="shared" si="1"/>
        <v>3806000</v>
      </c>
    </row>
    <row r="30" spans="1:80" s="499" customFormat="1" ht="31.5" x14ac:dyDescent="0.25">
      <c r="A30" s="954"/>
      <c r="B30" s="498"/>
      <c r="C30" s="169" t="s">
        <v>791</v>
      </c>
      <c r="D30" s="169" t="s">
        <v>790</v>
      </c>
      <c r="E30" s="231">
        <f>0.3*100000</f>
        <v>30000</v>
      </c>
      <c r="F30" s="38">
        <f t="shared" si="32"/>
        <v>225</v>
      </c>
      <c r="G30" s="495">
        <f t="shared" si="33"/>
        <v>6750000</v>
      </c>
      <c r="H30" s="495">
        <f>G30*0.1</f>
        <v>675000</v>
      </c>
      <c r="I30" s="495">
        <f>G30*0.8</f>
        <v>5400000</v>
      </c>
      <c r="J30" s="495">
        <f t="shared" si="34"/>
        <v>0</v>
      </c>
      <c r="K30" s="495">
        <f t="shared" si="35"/>
        <v>0</v>
      </c>
      <c r="L30" s="495">
        <f>G30*0</f>
        <v>0</v>
      </c>
      <c r="M30" s="495">
        <f t="shared" si="36"/>
        <v>0</v>
      </c>
      <c r="N30" s="495">
        <f t="shared" si="37"/>
        <v>0</v>
      </c>
      <c r="O30" s="274">
        <f>G30*0</f>
        <v>0</v>
      </c>
      <c r="P30" s="274">
        <f t="shared" si="38"/>
        <v>675000</v>
      </c>
      <c r="Q30" s="274">
        <f>G30*0</f>
        <v>0</v>
      </c>
      <c r="R30" s="165">
        <v>41</v>
      </c>
      <c r="S30" s="165">
        <v>34</v>
      </c>
      <c r="T30" s="165">
        <v>100</v>
      </c>
      <c r="U30" s="165">
        <v>50</v>
      </c>
      <c r="V30" s="486">
        <f>R30*E30</f>
        <v>1230000</v>
      </c>
      <c r="W30" s="486">
        <f>S30*E30</f>
        <v>1020000</v>
      </c>
      <c r="X30" s="486">
        <f>T30*E30</f>
        <v>3000000</v>
      </c>
      <c r="Y30" s="486">
        <f>U30*E30</f>
        <v>1500000</v>
      </c>
      <c r="Z30" s="373">
        <v>12</v>
      </c>
      <c r="AA30" s="156">
        <f t="shared" si="2"/>
        <v>360000</v>
      </c>
      <c r="AB30" s="373">
        <v>9</v>
      </c>
      <c r="AC30" s="156">
        <f t="shared" si="3"/>
        <v>270000</v>
      </c>
      <c r="AD30" s="373">
        <v>12</v>
      </c>
      <c r="AE30" s="156">
        <f t="shared" si="4"/>
        <v>360000</v>
      </c>
      <c r="AF30" s="373">
        <v>15</v>
      </c>
      <c r="AG30" s="156">
        <f t="shared" si="5"/>
        <v>450000</v>
      </c>
      <c r="AH30" s="414">
        <v>6</v>
      </c>
      <c r="AI30" s="156">
        <f t="shared" si="6"/>
        <v>180000</v>
      </c>
      <c r="AJ30" s="414">
        <v>12</v>
      </c>
      <c r="AK30" s="156">
        <f t="shared" si="7"/>
        <v>360000</v>
      </c>
      <c r="AL30" s="414">
        <v>10</v>
      </c>
      <c r="AM30" s="156">
        <f t="shared" si="8"/>
        <v>300000</v>
      </c>
      <c r="AN30" s="414">
        <v>20</v>
      </c>
      <c r="AO30" s="156">
        <f t="shared" si="9"/>
        <v>600000</v>
      </c>
      <c r="AP30" s="414">
        <v>6</v>
      </c>
      <c r="AQ30" s="156">
        <f t="shared" si="10"/>
        <v>180000</v>
      </c>
      <c r="AR30" s="414">
        <v>9</v>
      </c>
      <c r="AS30" s="156">
        <f t="shared" si="11"/>
        <v>270000</v>
      </c>
      <c r="AT30" s="414">
        <v>18</v>
      </c>
      <c r="AU30" s="156">
        <f t="shared" si="12"/>
        <v>540000</v>
      </c>
      <c r="AV30" s="414">
        <v>15</v>
      </c>
      <c r="AW30" s="156">
        <f t="shared" si="13"/>
        <v>450000</v>
      </c>
      <c r="AX30" s="414">
        <v>18</v>
      </c>
      <c r="AY30" s="156">
        <f t="shared" si="14"/>
        <v>540000</v>
      </c>
      <c r="AZ30" s="414">
        <v>18</v>
      </c>
      <c r="BA30" s="156">
        <f t="shared" si="15"/>
        <v>540000</v>
      </c>
      <c r="BB30" s="414">
        <v>9</v>
      </c>
      <c r="BC30" s="156">
        <f t="shared" si="16"/>
        <v>270000</v>
      </c>
      <c r="BD30" s="414">
        <v>24</v>
      </c>
      <c r="BE30" s="156">
        <f t="shared" si="17"/>
        <v>720000</v>
      </c>
      <c r="BF30" s="414">
        <v>12</v>
      </c>
      <c r="BG30" s="156">
        <f t="shared" si="18"/>
        <v>360000</v>
      </c>
      <c r="BH30" s="414">
        <v>0</v>
      </c>
      <c r="BI30" s="156">
        <f t="shared" si="19"/>
        <v>0</v>
      </c>
      <c r="BJ30" s="373">
        <f t="shared" si="20"/>
        <v>225</v>
      </c>
      <c r="BK30" s="156">
        <f t="shared" si="21"/>
        <v>6750000</v>
      </c>
      <c r="BL30" s="329" t="s">
        <v>477</v>
      </c>
      <c r="BM30" s="106"/>
      <c r="BN30" s="375"/>
      <c r="BO30" s="375"/>
      <c r="BP30" s="375">
        <f>G30</f>
        <v>6750000</v>
      </c>
      <c r="BQ30" s="375"/>
      <c r="BR30" s="375">
        <f>BN30+BO30+BP30+BQ30</f>
        <v>6750000</v>
      </c>
      <c r="BS30" s="375"/>
      <c r="BT30" s="375"/>
      <c r="BU30" s="375">
        <f>BS30+BT30</f>
        <v>0</v>
      </c>
      <c r="BV30" s="377">
        <f t="shared" si="1"/>
        <v>6750000</v>
      </c>
      <c r="BW30" s="106"/>
      <c r="BX30" s="106"/>
      <c r="BY30" s="106"/>
      <c r="BZ30" s="106"/>
      <c r="CA30" s="106"/>
      <c r="CB30" s="106"/>
    </row>
    <row r="31" spans="1:80" s="99" customFormat="1" ht="31.5" x14ac:dyDescent="0.25">
      <c r="A31" s="954"/>
      <c r="B31" s="498"/>
      <c r="C31" s="169" t="s">
        <v>792</v>
      </c>
      <c r="D31" s="169" t="s">
        <v>790</v>
      </c>
      <c r="E31" s="231">
        <v>333000</v>
      </c>
      <c r="F31" s="38">
        <f t="shared" si="32"/>
        <v>162</v>
      </c>
      <c r="G31" s="495">
        <f t="shared" si="33"/>
        <v>53946000</v>
      </c>
      <c r="H31" s="495">
        <f>G31*0</f>
        <v>0</v>
      </c>
      <c r="I31" s="495">
        <f>G31*0.75</f>
        <v>40459500</v>
      </c>
      <c r="J31" s="495">
        <f t="shared" si="34"/>
        <v>0</v>
      </c>
      <c r="K31" s="495">
        <f t="shared" si="35"/>
        <v>0</v>
      </c>
      <c r="L31" s="495">
        <f>G31*0.15</f>
        <v>8091900</v>
      </c>
      <c r="M31" s="495">
        <f t="shared" si="36"/>
        <v>0</v>
      </c>
      <c r="N31" s="495">
        <f t="shared" si="37"/>
        <v>0</v>
      </c>
      <c r="O31" s="274">
        <f>G31*0</f>
        <v>0</v>
      </c>
      <c r="P31" s="274">
        <f t="shared" si="38"/>
        <v>5394600</v>
      </c>
      <c r="Q31" s="274">
        <f>G31*0</f>
        <v>0</v>
      </c>
      <c r="R31" s="165">
        <v>22</v>
      </c>
      <c r="S31" s="165">
        <v>70</v>
      </c>
      <c r="T31" s="165">
        <v>50</v>
      </c>
      <c r="U31" s="165">
        <v>20</v>
      </c>
      <c r="V31" s="486">
        <f>R31*E31</f>
        <v>7326000</v>
      </c>
      <c r="W31" s="486">
        <f>S31*E31</f>
        <v>23310000</v>
      </c>
      <c r="X31" s="486">
        <f>T31*E31</f>
        <v>16650000</v>
      </c>
      <c r="Y31" s="486">
        <f>U31*E31</f>
        <v>6660000</v>
      </c>
      <c r="Z31" s="373">
        <v>10</v>
      </c>
      <c r="AA31" s="156">
        <f>Z31*E31</f>
        <v>3330000</v>
      </c>
      <c r="AB31" s="373">
        <v>6</v>
      </c>
      <c r="AC31" s="156">
        <f>AB31*E31</f>
        <v>1998000</v>
      </c>
      <c r="AD31" s="373">
        <v>10</v>
      </c>
      <c r="AE31" s="156">
        <f>AD31*E31</f>
        <v>3330000</v>
      </c>
      <c r="AF31" s="373">
        <v>15</v>
      </c>
      <c r="AG31" s="156">
        <f>AF31*E31</f>
        <v>4995000</v>
      </c>
      <c r="AH31" s="414">
        <v>6</v>
      </c>
      <c r="AI31" s="156">
        <f>AH31*E31</f>
        <v>1998000</v>
      </c>
      <c r="AJ31" s="414">
        <v>12</v>
      </c>
      <c r="AK31" s="156">
        <f>AJ31*E31</f>
        <v>3996000</v>
      </c>
      <c r="AL31" s="414">
        <v>15</v>
      </c>
      <c r="AM31" s="156">
        <f>AL31*E31</f>
        <v>4995000</v>
      </c>
      <c r="AN31" s="414">
        <v>8</v>
      </c>
      <c r="AO31" s="156">
        <f>AN31*E31</f>
        <v>2664000</v>
      </c>
      <c r="AP31" s="414">
        <v>3</v>
      </c>
      <c r="AQ31" s="156">
        <f>AP31*E31</f>
        <v>999000</v>
      </c>
      <c r="AR31" s="414">
        <v>6</v>
      </c>
      <c r="AS31" s="156">
        <f>AR31*E31</f>
        <v>1998000</v>
      </c>
      <c r="AT31" s="414">
        <v>12</v>
      </c>
      <c r="AU31" s="156">
        <f>AT31*E31</f>
        <v>3996000</v>
      </c>
      <c r="AV31" s="414">
        <v>5</v>
      </c>
      <c r="AW31" s="156">
        <f>AV31*E31</f>
        <v>1665000</v>
      </c>
      <c r="AX31" s="414">
        <v>6</v>
      </c>
      <c r="AY31" s="156">
        <f t="shared" si="14"/>
        <v>1998000</v>
      </c>
      <c r="AZ31" s="414">
        <v>18</v>
      </c>
      <c r="BA31" s="156">
        <f>AZ31*E31</f>
        <v>5994000</v>
      </c>
      <c r="BB31" s="414">
        <v>10</v>
      </c>
      <c r="BC31" s="156">
        <f>BB31*E31</f>
        <v>3330000</v>
      </c>
      <c r="BD31" s="414">
        <v>10</v>
      </c>
      <c r="BE31" s="156">
        <f>BD31*E31</f>
        <v>3330000</v>
      </c>
      <c r="BF31" s="414">
        <v>10</v>
      </c>
      <c r="BG31" s="156">
        <f>BF31*E31</f>
        <v>3330000</v>
      </c>
      <c r="BH31" s="414">
        <v>0</v>
      </c>
      <c r="BI31" s="156">
        <f>BH31*E31</f>
        <v>0</v>
      </c>
      <c r="BJ31" s="373">
        <f>Z31+AB31+AD31+AF31+AH31+AJ31+AL31+AN31+AP31+AR31+AT31+AV31+AX31+AZ31+BB31+BD31+BF31+BH31</f>
        <v>162</v>
      </c>
      <c r="BK31" s="156">
        <f>AA31+AC31+AE31+AG31+AI31+AK31+AM31+AO31+AQ31+AS31+AU31+AW31+AY31+BA31+BC31+BE31+BG31+BI31</f>
        <v>53946000</v>
      </c>
      <c r="BL31" s="329" t="s">
        <v>827</v>
      </c>
      <c r="BM31" s="106"/>
      <c r="BN31" s="375"/>
      <c r="BO31" s="375"/>
      <c r="BP31" s="375">
        <f>G31</f>
        <v>53946000</v>
      </c>
      <c r="BQ31" s="375"/>
      <c r="BR31" s="375">
        <f>BN31+BO31+BP31+BQ31</f>
        <v>53946000</v>
      </c>
      <c r="BS31" s="375"/>
      <c r="BT31" s="375"/>
      <c r="BU31" s="375">
        <f>BS31+BT31</f>
        <v>0</v>
      </c>
      <c r="BV31" s="377">
        <f>BR31+BU31</f>
        <v>53946000</v>
      </c>
      <c r="BW31" s="106"/>
      <c r="BX31" s="106"/>
      <c r="BY31" s="106"/>
      <c r="BZ31" s="106"/>
      <c r="CA31" s="106"/>
      <c r="CB31" s="106"/>
    </row>
    <row r="32" spans="1:80" s="99" customFormat="1" ht="47.25" x14ac:dyDescent="0.25">
      <c r="A32" s="954"/>
      <c r="B32" s="498"/>
      <c r="C32" s="685" t="s">
        <v>888</v>
      </c>
      <c r="D32" s="169" t="s">
        <v>886</v>
      </c>
      <c r="E32" s="231">
        <v>1500000</v>
      </c>
      <c r="F32" s="38">
        <f t="shared" si="32"/>
        <v>0</v>
      </c>
      <c r="G32" s="495">
        <f t="shared" si="33"/>
        <v>0</v>
      </c>
      <c r="H32" s="495">
        <f>G32*0.1</f>
        <v>0</v>
      </c>
      <c r="I32" s="495">
        <f>G32*0.8</f>
        <v>0</v>
      </c>
      <c r="J32" s="495">
        <f t="shared" si="34"/>
        <v>0</v>
      </c>
      <c r="K32" s="495">
        <f t="shared" si="35"/>
        <v>0</v>
      </c>
      <c r="L32" s="495"/>
      <c r="M32" s="495">
        <f t="shared" si="36"/>
        <v>0</v>
      </c>
      <c r="N32" s="495">
        <f t="shared" si="37"/>
        <v>0</v>
      </c>
      <c r="O32" s="274"/>
      <c r="P32" s="274">
        <f t="shared" si="38"/>
        <v>0</v>
      </c>
      <c r="Q32" s="274"/>
      <c r="R32" s="165">
        <v>0</v>
      </c>
      <c r="S32" s="165">
        <v>0</v>
      </c>
      <c r="T32" s="165">
        <v>0</v>
      </c>
      <c r="U32" s="165">
        <v>27</v>
      </c>
      <c r="V32" s="486">
        <v>0</v>
      </c>
      <c r="W32" s="486">
        <v>0</v>
      </c>
      <c r="X32" s="486">
        <v>0</v>
      </c>
      <c r="Y32" s="486">
        <f>G32</f>
        <v>0</v>
      </c>
      <c r="Z32" s="373">
        <v>0</v>
      </c>
      <c r="AA32" s="156">
        <f>Z32*E32</f>
        <v>0</v>
      </c>
      <c r="AB32" s="373">
        <v>0</v>
      </c>
      <c r="AC32" s="156">
        <f>AB32*E32</f>
        <v>0</v>
      </c>
      <c r="AD32" s="373">
        <v>0</v>
      </c>
      <c r="AE32" s="156">
        <f>AD32*E32</f>
        <v>0</v>
      </c>
      <c r="AF32" s="373">
        <v>0</v>
      </c>
      <c r="AG32" s="156">
        <f>AF32*E32</f>
        <v>0</v>
      </c>
      <c r="AH32" s="414">
        <v>0</v>
      </c>
      <c r="AI32" s="156">
        <f>AH32*E32</f>
        <v>0</v>
      </c>
      <c r="AJ32" s="414">
        <v>0</v>
      </c>
      <c r="AK32" s="156">
        <f>AJ32*E32</f>
        <v>0</v>
      </c>
      <c r="AL32" s="414">
        <v>0</v>
      </c>
      <c r="AM32" s="156">
        <f>AL32*E32</f>
        <v>0</v>
      </c>
      <c r="AN32" s="414">
        <v>0</v>
      </c>
      <c r="AO32" s="156">
        <f>AN32*E32</f>
        <v>0</v>
      </c>
      <c r="AP32" s="414">
        <v>0</v>
      </c>
      <c r="AQ32" s="156">
        <f>AP32*E32</f>
        <v>0</v>
      </c>
      <c r="AR32" s="414">
        <v>0</v>
      </c>
      <c r="AS32" s="156">
        <f>AR32*E32</f>
        <v>0</v>
      </c>
      <c r="AT32" s="414">
        <v>0</v>
      </c>
      <c r="AU32" s="156">
        <f>AT32*E32</f>
        <v>0</v>
      </c>
      <c r="AV32" s="414">
        <v>0</v>
      </c>
      <c r="AW32" s="156">
        <f>AV32*E32</f>
        <v>0</v>
      </c>
      <c r="AX32" s="414">
        <v>0</v>
      </c>
      <c r="AY32" s="156">
        <f t="shared" ref="AY32" si="39">AX32*E32</f>
        <v>0</v>
      </c>
      <c r="AZ32" s="414">
        <v>0</v>
      </c>
      <c r="BA32" s="156">
        <f>AZ32*E32</f>
        <v>0</v>
      </c>
      <c r="BB32" s="414">
        <v>0</v>
      </c>
      <c r="BC32" s="156">
        <f>BB32*E32</f>
        <v>0</v>
      </c>
      <c r="BD32" s="414">
        <v>0</v>
      </c>
      <c r="BE32" s="156">
        <f>BD32*E32</f>
        <v>0</v>
      </c>
      <c r="BF32" s="414">
        <v>0</v>
      </c>
      <c r="BG32" s="156">
        <f>BF32*E32</f>
        <v>0</v>
      </c>
      <c r="BH32" s="414">
        <v>0</v>
      </c>
      <c r="BI32" s="156">
        <f>BH32*E32</f>
        <v>0</v>
      </c>
      <c r="BJ32" s="373">
        <f>Z32+AB32+AD32+AF32+AH32+AJ32+AL32+AN32+AP32+AR32+AT32+AV32+AX32+AZ32+BB32+BD32+BF32+BH32</f>
        <v>0</v>
      </c>
      <c r="BK32" s="156">
        <f>AA32+AC32+AE32+AG32+AI32+AK32+AM32+AO32+AQ32+AS32+AU32+AW32+AY32+BA32+BC32+BE32+BG32+BI32</f>
        <v>0</v>
      </c>
      <c r="BL32" s="328" t="s">
        <v>477</v>
      </c>
      <c r="BM32" s="106"/>
      <c r="BN32" s="375"/>
      <c r="BO32" s="375"/>
      <c r="BP32" s="375">
        <f>G32</f>
        <v>0</v>
      </c>
      <c r="BQ32" s="375"/>
      <c r="BR32" s="375">
        <f>BN32+BO32+BP32+BQ32</f>
        <v>0</v>
      </c>
      <c r="BS32" s="375"/>
      <c r="BT32" s="375"/>
      <c r="BU32" s="375"/>
      <c r="BV32" s="377">
        <f t="shared" ref="BV32:BV35" si="40">BR32+BU32</f>
        <v>0</v>
      </c>
      <c r="BW32" s="106"/>
      <c r="BX32" s="106"/>
      <c r="BY32" s="106"/>
      <c r="BZ32" s="106"/>
      <c r="CA32" s="106"/>
      <c r="CB32" s="106"/>
    </row>
    <row r="33" spans="1:74" ht="31.5" x14ac:dyDescent="0.25">
      <c r="A33" s="954"/>
      <c r="B33" s="399"/>
      <c r="C33" s="38" t="s">
        <v>186</v>
      </c>
      <c r="D33" s="38" t="s">
        <v>846</v>
      </c>
      <c r="E33" s="229">
        <f>0.3*100000</f>
        <v>30000</v>
      </c>
      <c r="F33" s="38">
        <f t="shared" si="32"/>
        <v>561</v>
      </c>
      <c r="G33" s="485">
        <f t="shared" si="33"/>
        <v>16830000</v>
      </c>
      <c r="H33" s="485">
        <f>G33*0.1</f>
        <v>1683000</v>
      </c>
      <c r="I33" s="485">
        <f>G33*0.8</f>
        <v>13464000</v>
      </c>
      <c r="J33" s="485">
        <f t="shared" si="34"/>
        <v>0</v>
      </c>
      <c r="K33" s="485">
        <f t="shared" si="35"/>
        <v>0</v>
      </c>
      <c r="L33" s="485">
        <f>G33*0</f>
        <v>0</v>
      </c>
      <c r="M33" s="485">
        <f t="shared" si="36"/>
        <v>0</v>
      </c>
      <c r="N33" s="485">
        <f t="shared" si="37"/>
        <v>0</v>
      </c>
      <c r="O33" s="76">
        <f>G33*0</f>
        <v>0</v>
      </c>
      <c r="P33" s="76">
        <f t="shared" si="38"/>
        <v>1683000</v>
      </c>
      <c r="Q33" s="76">
        <f>G33*0</f>
        <v>0</v>
      </c>
      <c r="R33" s="54">
        <v>41</v>
      </c>
      <c r="S33" s="54">
        <v>100</v>
      </c>
      <c r="T33" s="54">
        <v>200</v>
      </c>
      <c r="U33" s="54">
        <v>220</v>
      </c>
      <c r="V33" s="486">
        <f>R33*E33</f>
        <v>1230000</v>
      </c>
      <c r="W33" s="486">
        <f>S33*E33</f>
        <v>3000000</v>
      </c>
      <c r="X33" s="486">
        <f>T33*E33</f>
        <v>6000000</v>
      </c>
      <c r="Y33" s="486">
        <f>U33*E33</f>
        <v>6600000</v>
      </c>
      <c r="Z33" s="373">
        <v>30</v>
      </c>
      <c r="AA33" s="156">
        <f t="shared" si="2"/>
        <v>900000</v>
      </c>
      <c r="AB33" s="373">
        <v>20</v>
      </c>
      <c r="AC33" s="156">
        <f t="shared" si="3"/>
        <v>600000</v>
      </c>
      <c r="AD33" s="647">
        <v>30</v>
      </c>
      <c r="AE33" s="156">
        <f t="shared" si="4"/>
        <v>900000</v>
      </c>
      <c r="AF33" s="373">
        <v>30</v>
      </c>
      <c r="AG33" s="156">
        <f t="shared" si="5"/>
        <v>900000</v>
      </c>
      <c r="AH33" s="373">
        <v>30</v>
      </c>
      <c r="AI33" s="156">
        <f t="shared" si="6"/>
        <v>900000</v>
      </c>
      <c r="AJ33" s="373">
        <v>60</v>
      </c>
      <c r="AK33" s="156">
        <f t="shared" si="7"/>
        <v>1800000</v>
      </c>
      <c r="AL33" s="373">
        <v>30</v>
      </c>
      <c r="AM33" s="156">
        <f t="shared" si="8"/>
        <v>900000</v>
      </c>
      <c r="AN33" s="373">
        <v>44</v>
      </c>
      <c r="AO33" s="156">
        <f t="shared" si="9"/>
        <v>1320000</v>
      </c>
      <c r="AP33" s="373">
        <v>12</v>
      </c>
      <c r="AQ33" s="156">
        <f t="shared" si="10"/>
        <v>360000</v>
      </c>
      <c r="AR33" s="373">
        <v>25</v>
      </c>
      <c r="AS33" s="156">
        <f t="shared" si="11"/>
        <v>750000</v>
      </c>
      <c r="AT33" s="373">
        <v>40</v>
      </c>
      <c r="AU33" s="156">
        <f t="shared" si="12"/>
        <v>1200000</v>
      </c>
      <c r="AV33" s="373">
        <v>30</v>
      </c>
      <c r="AW33" s="156">
        <f t="shared" si="13"/>
        <v>900000</v>
      </c>
      <c r="AX33" s="373">
        <v>40</v>
      </c>
      <c r="AY33" s="156">
        <f t="shared" si="14"/>
        <v>1200000</v>
      </c>
      <c r="AZ33" s="373">
        <v>30</v>
      </c>
      <c r="BA33" s="156">
        <f t="shared" si="15"/>
        <v>900000</v>
      </c>
      <c r="BB33" s="373">
        <v>40</v>
      </c>
      <c r="BC33" s="156">
        <f t="shared" si="16"/>
        <v>1200000</v>
      </c>
      <c r="BD33" s="373">
        <v>40</v>
      </c>
      <c r="BE33" s="156">
        <f t="shared" si="17"/>
        <v>1200000</v>
      </c>
      <c r="BF33" s="373">
        <v>30</v>
      </c>
      <c r="BG33" s="156">
        <f t="shared" si="18"/>
        <v>900000</v>
      </c>
      <c r="BH33" s="373">
        <v>0</v>
      </c>
      <c r="BI33" s="156">
        <f t="shared" si="19"/>
        <v>0</v>
      </c>
      <c r="BJ33" s="373">
        <f t="shared" si="20"/>
        <v>561</v>
      </c>
      <c r="BK33" s="156">
        <f t="shared" si="21"/>
        <v>16830000</v>
      </c>
      <c r="BL33" s="328" t="s">
        <v>477</v>
      </c>
      <c r="BN33" s="375"/>
      <c r="BO33" s="375"/>
      <c r="BP33" s="375">
        <f>G33</f>
        <v>16830000</v>
      </c>
      <c r="BQ33" s="375"/>
      <c r="BR33" s="375">
        <f>BN33+BO33+BP33+BQ33</f>
        <v>16830000</v>
      </c>
      <c r="BS33" s="375"/>
      <c r="BT33" s="375"/>
      <c r="BU33" s="375">
        <f>BS33+BT33</f>
        <v>0</v>
      </c>
      <c r="BV33" s="377">
        <f t="shared" si="40"/>
        <v>16830000</v>
      </c>
    </row>
    <row r="34" spans="1:74" ht="31.5" x14ac:dyDescent="0.25">
      <c r="A34" s="954"/>
      <c r="B34" s="399"/>
      <c r="C34" s="685" t="s">
        <v>887</v>
      </c>
      <c r="D34" s="38" t="s">
        <v>886</v>
      </c>
      <c r="E34" s="229">
        <v>12000</v>
      </c>
      <c r="F34" s="38">
        <f t="shared" si="32"/>
        <v>9650</v>
      </c>
      <c r="G34" s="485">
        <f t="shared" si="33"/>
        <v>115800000</v>
      </c>
      <c r="H34" s="485">
        <f>G34*0</f>
        <v>0</v>
      </c>
      <c r="I34" s="485">
        <f>G34*0.8</f>
        <v>92640000</v>
      </c>
      <c r="J34" s="485">
        <f t="shared" si="34"/>
        <v>0</v>
      </c>
      <c r="K34" s="485">
        <f t="shared" si="35"/>
        <v>0</v>
      </c>
      <c r="L34" s="485">
        <f>G34*0</f>
        <v>0</v>
      </c>
      <c r="M34" s="485">
        <f t="shared" si="36"/>
        <v>0</v>
      </c>
      <c r="N34" s="485">
        <f t="shared" si="37"/>
        <v>0</v>
      </c>
      <c r="O34" s="76"/>
      <c r="P34" s="76">
        <f>G34*0.2</f>
        <v>23160000</v>
      </c>
      <c r="Q34" s="76"/>
      <c r="R34" s="54">
        <v>0</v>
      </c>
      <c r="S34" s="54">
        <v>0</v>
      </c>
      <c r="T34" s="54">
        <v>0</v>
      </c>
      <c r="U34" s="54">
        <f>F34</f>
        <v>9650</v>
      </c>
      <c r="V34" s="486">
        <v>0</v>
      </c>
      <c r="W34" s="486">
        <v>0</v>
      </c>
      <c r="X34" s="486">
        <v>0</v>
      </c>
      <c r="Y34" s="486">
        <f>G34</f>
        <v>115800000</v>
      </c>
      <c r="Z34" s="373">
        <v>1300</v>
      </c>
      <c r="AA34" s="156">
        <f t="shared" ref="AA34:AA35" si="41">Z34*E34</f>
        <v>15600000</v>
      </c>
      <c r="AB34" s="373">
        <v>600</v>
      </c>
      <c r="AC34" s="156">
        <f t="shared" ref="AC34:AC35" si="42">AB34*E34</f>
        <v>7200000</v>
      </c>
      <c r="AD34" s="647">
        <v>800</v>
      </c>
      <c r="AE34" s="156">
        <f t="shared" ref="AE34:AE35" si="43">AD34*E34</f>
        <v>9600000</v>
      </c>
      <c r="AF34" s="373">
        <v>200</v>
      </c>
      <c r="AG34" s="156">
        <f t="shared" ref="AG34:AG35" si="44">AF34*E34</f>
        <v>2400000</v>
      </c>
      <c r="AH34" s="373">
        <v>200</v>
      </c>
      <c r="AI34" s="156">
        <f t="shared" ref="AI34:AI35" si="45">AH34*E34</f>
        <v>2400000</v>
      </c>
      <c r="AJ34" s="373">
        <v>800</v>
      </c>
      <c r="AK34" s="156">
        <f t="shared" ref="AK34:AK35" si="46">AJ34*E34</f>
        <v>9600000</v>
      </c>
      <c r="AL34" s="373">
        <v>350</v>
      </c>
      <c r="AM34" s="156">
        <f t="shared" ref="AM34:AM35" si="47">AL34*E34</f>
        <v>4200000</v>
      </c>
      <c r="AN34" s="373">
        <v>900</v>
      </c>
      <c r="AO34" s="156">
        <f t="shared" ref="AO34:AO35" si="48">AN34*E34</f>
        <v>10800000</v>
      </c>
      <c r="AP34" s="373">
        <v>300</v>
      </c>
      <c r="AQ34" s="156">
        <f t="shared" ref="AQ34:AQ35" si="49">AP34*E34</f>
        <v>3600000</v>
      </c>
      <c r="AR34" s="373">
        <v>1000</v>
      </c>
      <c r="AS34" s="156">
        <f t="shared" ref="AS34:AS35" si="50">AR34*E34</f>
        <v>12000000</v>
      </c>
      <c r="AT34" s="373">
        <v>400</v>
      </c>
      <c r="AU34" s="156">
        <f t="shared" ref="AU34:AU35" si="51">AT34*E34</f>
        <v>4800000</v>
      </c>
      <c r="AV34" s="373">
        <v>500</v>
      </c>
      <c r="AW34" s="156">
        <f t="shared" ref="AW34:AW35" si="52">AV34*E34</f>
        <v>6000000</v>
      </c>
      <c r="AX34" s="373">
        <v>200</v>
      </c>
      <c r="AY34" s="156">
        <f t="shared" ref="AY34:AY35" si="53">AX34*E34</f>
        <v>2400000</v>
      </c>
      <c r="AZ34" s="373">
        <v>200</v>
      </c>
      <c r="BA34" s="156">
        <f t="shared" ref="BA34:BA35" si="54">AZ34*E34</f>
        <v>2400000</v>
      </c>
      <c r="BB34" s="373">
        <v>1300</v>
      </c>
      <c r="BC34" s="156">
        <f t="shared" ref="BC34:BC35" si="55">BB34*E34</f>
        <v>15600000</v>
      </c>
      <c r="BD34" s="373">
        <v>400</v>
      </c>
      <c r="BE34" s="156">
        <f t="shared" ref="BE34:BE35" si="56">BD34*E34</f>
        <v>4800000</v>
      </c>
      <c r="BF34" s="373">
        <v>200</v>
      </c>
      <c r="BG34" s="156">
        <f t="shared" ref="BG34:BG35" si="57">BF34*E34</f>
        <v>2400000</v>
      </c>
      <c r="BH34" s="373">
        <v>0</v>
      </c>
      <c r="BI34" s="156">
        <f t="shared" ref="BI34:BI35" si="58">BH34*E34</f>
        <v>0</v>
      </c>
      <c r="BJ34" s="373">
        <f t="shared" ref="BJ34:BK36" si="59">Z34+AB34+AD34+AF34+AH34+AJ34+AL34+AN34+AP34+AR34+AT34+AV34+AX34+AZ34+BB34+BD34+BF34+BH34</f>
        <v>9650</v>
      </c>
      <c r="BK34" s="156">
        <f t="shared" ref="BK34:BK35" si="60">AA34+AC34+AE34+AG34+AI34+AK34+AM34+AO34+AQ34+AS34+AU34+AW34+AY34+BA34+BC34+BE34+BG34+BI34</f>
        <v>115800000</v>
      </c>
      <c r="BL34" s="328" t="s">
        <v>909</v>
      </c>
      <c r="BN34" s="375"/>
      <c r="BO34" s="375"/>
      <c r="BP34" s="375">
        <f t="shared" ref="BP34:BP35" si="61">G34</f>
        <v>115800000</v>
      </c>
      <c r="BQ34" s="375"/>
      <c r="BR34" s="375">
        <f t="shared" ref="BR34:BR35" si="62">BN34+BO34+BP34+BQ34</f>
        <v>115800000</v>
      </c>
      <c r="BS34" s="375"/>
      <c r="BT34" s="375"/>
      <c r="BU34" s="375"/>
      <c r="BV34" s="377">
        <f t="shared" si="40"/>
        <v>115800000</v>
      </c>
    </row>
    <row r="35" spans="1:74" ht="31.5" x14ac:dyDescent="0.25">
      <c r="A35" s="954"/>
      <c r="B35" s="399"/>
      <c r="C35" s="169" t="s">
        <v>889</v>
      </c>
      <c r="D35" s="38" t="s">
        <v>886</v>
      </c>
      <c r="E35" s="229">
        <v>10000</v>
      </c>
      <c r="F35" s="38">
        <f t="shared" si="32"/>
        <v>750</v>
      </c>
      <c r="G35" s="485">
        <f t="shared" si="33"/>
        <v>7500000</v>
      </c>
      <c r="H35" s="485">
        <f>G35*0</f>
        <v>0</v>
      </c>
      <c r="I35" s="485">
        <f>G35*0</f>
        <v>0</v>
      </c>
      <c r="J35" s="485">
        <f>G35*0.9</f>
        <v>6750000</v>
      </c>
      <c r="K35" s="485">
        <f t="shared" si="35"/>
        <v>0</v>
      </c>
      <c r="L35" s="485">
        <f>G35*0</f>
        <v>0</v>
      </c>
      <c r="M35" s="485">
        <f t="shared" si="36"/>
        <v>0</v>
      </c>
      <c r="N35" s="485">
        <f t="shared" si="37"/>
        <v>0</v>
      </c>
      <c r="O35" s="76"/>
      <c r="P35" s="76">
        <f t="shared" si="38"/>
        <v>750000</v>
      </c>
      <c r="Q35" s="76"/>
      <c r="R35" s="54"/>
      <c r="S35" s="54"/>
      <c r="T35" s="54"/>
      <c r="U35" s="54">
        <v>750</v>
      </c>
      <c r="V35" s="486"/>
      <c r="W35" s="486"/>
      <c r="X35" s="486"/>
      <c r="Y35" s="486">
        <f>G35</f>
        <v>7500000</v>
      </c>
      <c r="Z35" s="373">
        <v>0</v>
      </c>
      <c r="AA35" s="156">
        <f t="shared" si="41"/>
        <v>0</v>
      </c>
      <c r="AB35" s="373">
        <v>0</v>
      </c>
      <c r="AC35" s="156">
        <f t="shared" si="42"/>
        <v>0</v>
      </c>
      <c r="AD35" s="647">
        <v>0</v>
      </c>
      <c r="AE35" s="156">
        <f t="shared" si="43"/>
        <v>0</v>
      </c>
      <c r="AF35" s="373">
        <v>0</v>
      </c>
      <c r="AG35" s="156">
        <f t="shared" si="44"/>
        <v>0</v>
      </c>
      <c r="AH35" s="373">
        <v>0</v>
      </c>
      <c r="AI35" s="156">
        <f t="shared" si="45"/>
        <v>0</v>
      </c>
      <c r="AJ35" s="373">
        <v>0</v>
      </c>
      <c r="AK35" s="156">
        <f t="shared" si="46"/>
        <v>0</v>
      </c>
      <c r="AL35" s="373">
        <v>150</v>
      </c>
      <c r="AM35" s="156">
        <f t="shared" si="47"/>
        <v>1500000</v>
      </c>
      <c r="AN35" s="373">
        <v>0</v>
      </c>
      <c r="AO35" s="156">
        <f t="shared" si="48"/>
        <v>0</v>
      </c>
      <c r="AP35" s="373">
        <v>0</v>
      </c>
      <c r="AQ35" s="156">
        <f t="shared" si="49"/>
        <v>0</v>
      </c>
      <c r="AR35" s="373">
        <v>0</v>
      </c>
      <c r="AS35" s="156">
        <f t="shared" si="50"/>
        <v>0</v>
      </c>
      <c r="AT35" s="373">
        <v>100</v>
      </c>
      <c r="AU35" s="156">
        <f t="shared" si="51"/>
        <v>1000000</v>
      </c>
      <c r="AV35" s="373">
        <v>0</v>
      </c>
      <c r="AW35" s="156">
        <f t="shared" si="52"/>
        <v>0</v>
      </c>
      <c r="AX35" s="373">
        <v>100</v>
      </c>
      <c r="AY35" s="156">
        <f t="shared" si="53"/>
        <v>1000000</v>
      </c>
      <c r="AZ35" s="373">
        <v>100</v>
      </c>
      <c r="BA35" s="156">
        <f t="shared" si="54"/>
        <v>1000000</v>
      </c>
      <c r="BB35" s="373">
        <v>100</v>
      </c>
      <c r="BC35" s="156">
        <f t="shared" si="55"/>
        <v>1000000</v>
      </c>
      <c r="BD35" s="373">
        <v>100</v>
      </c>
      <c r="BE35" s="156">
        <f t="shared" si="56"/>
        <v>1000000</v>
      </c>
      <c r="BF35" s="373">
        <v>100</v>
      </c>
      <c r="BG35" s="156">
        <f t="shared" si="57"/>
        <v>1000000</v>
      </c>
      <c r="BH35" s="373">
        <v>0</v>
      </c>
      <c r="BI35" s="156">
        <f t="shared" si="58"/>
        <v>0</v>
      </c>
      <c r="BJ35" s="373">
        <f t="shared" si="59"/>
        <v>750</v>
      </c>
      <c r="BK35" s="156">
        <f t="shared" si="60"/>
        <v>7500000</v>
      </c>
      <c r="BL35" s="328" t="s">
        <v>890</v>
      </c>
      <c r="BN35" s="375"/>
      <c r="BO35" s="375"/>
      <c r="BP35" s="375">
        <f t="shared" si="61"/>
        <v>7500000</v>
      </c>
      <c r="BQ35" s="375"/>
      <c r="BR35" s="375">
        <f t="shared" si="62"/>
        <v>7500000</v>
      </c>
      <c r="BS35" s="375"/>
      <c r="BT35" s="375"/>
      <c r="BU35" s="375"/>
      <c r="BV35" s="377">
        <f t="shared" si="40"/>
        <v>7500000</v>
      </c>
    </row>
    <row r="36" spans="1:74" x14ac:dyDescent="0.25">
      <c r="A36" s="954"/>
      <c r="B36" s="391"/>
      <c r="C36" s="391"/>
      <c r="D36" s="391"/>
      <c r="E36" s="391"/>
      <c r="F36" s="391">
        <f>SUM(F29:F35)</f>
        <v>13251</v>
      </c>
      <c r="G36" s="491">
        <f>SUM(G29:G35)</f>
        <v>204632000</v>
      </c>
      <c r="H36" s="491">
        <f>SUM(H28:H34)</f>
        <v>2738600</v>
      </c>
      <c r="I36" s="491">
        <f t="shared" ref="I36:Q36" si="63">SUM(I28:I34)</f>
        <v>155008300</v>
      </c>
      <c r="J36" s="491">
        <f>SUM(J28:J35)</f>
        <v>6750000</v>
      </c>
      <c r="K36" s="491">
        <f t="shared" si="63"/>
        <v>0</v>
      </c>
      <c r="L36" s="491">
        <f t="shared" si="63"/>
        <v>8091900</v>
      </c>
      <c r="M36" s="491">
        <f t="shared" si="63"/>
        <v>0</v>
      </c>
      <c r="N36" s="491">
        <f t="shared" si="63"/>
        <v>0</v>
      </c>
      <c r="O36" s="491">
        <f t="shared" si="63"/>
        <v>0</v>
      </c>
      <c r="P36" s="491">
        <f>SUM(P28:P35)</f>
        <v>32043200</v>
      </c>
      <c r="Q36" s="491">
        <f t="shared" si="63"/>
        <v>0</v>
      </c>
      <c r="R36" s="533">
        <f>SUM(R29:R35)</f>
        <v>104</v>
      </c>
      <c r="S36" s="533">
        <f t="shared" ref="S36:U36" si="64">SUM(S29:S35)</f>
        <v>2107</v>
      </c>
      <c r="T36" s="533">
        <f t="shared" si="64"/>
        <v>350</v>
      </c>
      <c r="U36" s="533">
        <f t="shared" si="64"/>
        <v>10717</v>
      </c>
      <c r="V36" s="533">
        <f>SUM(V29:V35)</f>
        <v>9786000</v>
      </c>
      <c r="W36" s="533">
        <f t="shared" ref="W36" si="65">SUM(W29:W35)</f>
        <v>31136000</v>
      </c>
      <c r="X36" s="533">
        <f t="shared" ref="X36" si="66">SUM(X29:X35)</f>
        <v>25650000</v>
      </c>
      <c r="Y36" s="533">
        <f t="shared" ref="Y36" si="67">SUM(Y29:Y35)</f>
        <v>138060000</v>
      </c>
      <c r="Z36" s="493">
        <f t="shared" ref="Z36:AO36" si="68">SUM(Z28:Z35)</f>
        <v>1400</v>
      </c>
      <c r="AA36" s="789">
        <f t="shared" si="68"/>
        <v>20286000</v>
      </c>
      <c r="AB36" s="493">
        <f t="shared" si="68"/>
        <v>658</v>
      </c>
      <c r="AC36" s="789">
        <f t="shared" si="68"/>
        <v>10114000</v>
      </c>
      <c r="AD36" s="493">
        <f t="shared" si="68"/>
        <v>932</v>
      </c>
      <c r="AE36" s="789">
        <f t="shared" si="68"/>
        <v>14350000</v>
      </c>
      <c r="AF36" s="493">
        <f t="shared" si="68"/>
        <v>365</v>
      </c>
      <c r="AG36" s="789">
        <f t="shared" si="68"/>
        <v>8955000</v>
      </c>
      <c r="AH36" s="493">
        <f t="shared" si="68"/>
        <v>322</v>
      </c>
      <c r="AI36" s="789">
        <f t="shared" si="68"/>
        <v>5638000</v>
      </c>
      <c r="AJ36" s="493">
        <f t="shared" si="68"/>
        <v>1084</v>
      </c>
      <c r="AK36" s="789">
        <f t="shared" si="68"/>
        <v>16156000</v>
      </c>
      <c r="AL36" s="493">
        <f t="shared" si="68"/>
        <v>615</v>
      </c>
      <c r="AM36" s="789">
        <f t="shared" si="68"/>
        <v>12015000</v>
      </c>
      <c r="AN36" s="493">
        <f t="shared" si="68"/>
        <v>1172</v>
      </c>
      <c r="AO36" s="789">
        <f t="shared" si="68"/>
        <v>15784000</v>
      </c>
      <c r="AP36" s="789">
        <f t="shared" ref="AP36:BI36" si="69">SUM(AP28:AP35)</f>
        <v>341</v>
      </c>
      <c r="AQ36" s="789">
        <f t="shared" si="69"/>
        <v>5179000</v>
      </c>
      <c r="AR36" s="789">
        <f t="shared" si="69"/>
        <v>1120</v>
      </c>
      <c r="AS36" s="789">
        <f t="shared" si="69"/>
        <v>15178000</v>
      </c>
      <c r="AT36" s="789">
        <f t="shared" si="69"/>
        <v>650</v>
      </c>
      <c r="AU36" s="789">
        <f t="shared" si="69"/>
        <v>11696000</v>
      </c>
      <c r="AV36" s="789">
        <f t="shared" si="69"/>
        <v>630</v>
      </c>
      <c r="AW36" s="789">
        <f t="shared" si="69"/>
        <v>9175000</v>
      </c>
      <c r="AX36" s="789">
        <f t="shared" si="69"/>
        <v>514</v>
      </c>
      <c r="AY36" s="789">
        <f t="shared" si="69"/>
        <v>7438000</v>
      </c>
      <c r="AZ36" s="789">
        <f t="shared" si="69"/>
        <v>516</v>
      </c>
      <c r="BA36" s="789">
        <f t="shared" si="69"/>
        <v>11134000</v>
      </c>
      <c r="BB36" s="789">
        <f t="shared" si="69"/>
        <v>1649</v>
      </c>
      <c r="BC36" s="789">
        <f t="shared" si="69"/>
        <v>21780000</v>
      </c>
      <c r="BD36" s="789">
        <f t="shared" si="69"/>
        <v>835</v>
      </c>
      <c r="BE36" s="789">
        <f t="shared" si="69"/>
        <v>11572000</v>
      </c>
      <c r="BF36" s="789">
        <f t="shared" si="69"/>
        <v>448</v>
      </c>
      <c r="BG36" s="789">
        <f t="shared" si="69"/>
        <v>8182000</v>
      </c>
      <c r="BH36" s="789">
        <f t="shared" si="69"/>
        <v>0</v>
      </c>
      <c r="BI36" s="789">
        <f t="shared" si="69"/>
        <v>0</v>
      </c>
      <c r="BJ36" s="493">
        <f t="shared" si="59"/>
        <v>13251</v>
      </c>
      <c r="BK36" s="493">
        <f t="shared" si="59"/>
        <v>204632000</v>
      </c>
      <c r="BL36" s="259"/>
      <c r="BN36" s="488">
        <f t="shared" ref="BN36:BU36" si="70">SUM(BN28:BN33)</f>
        <v>0</v>
      </c>
      <c r="BO36" s="488">
        <f t="shared" si="70"/>
        <v>0</v>
      </c>
      <c r="BP36" s="488">
        <f>SUM(BP28:BP35)</f>
        <v>204632000</v>
      </c>
      <c r="BQ36" s="488">
        <f t="shared" si="70"/>
        <v>0</v>
      </c>
      <c r="BR36" s="488">
        <f>SUM(BR28:BR35)</f>
        <v>204632000</v>
      </c>
      <c r="BS36" s="488">
        <f t="shared" si="70"/>
        <v>0</v>
      </c>
      <c r="BT36" s="488">
        <f t="shared" si="70"/>
        <v>0</v>
      </c>
      <c r="BU36" s="488">
        <f t="shared" si="70"/>
        <v>0</v>
      </c>
      <c r="BV36" s="489">
        <f t="shared" si="1"/>
        <v>204632000</v>
      </c>
    </row>
    <row r="37" spans="1:74" x14ac:dyDescent="0.25">
      <c r="A37" s="954"/>
      <c r="B37" s="38">
        <v>23500</v>
      </c>
      <c r="C37" s="38" t="s">
        <v>187</v>
      </c>
      <c r="D37" s="38"/>
      <c r="E37" s="365"/>
      <c r="F37" s="38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54"/>
      <c r="S37" s="54"/>
      <c r="T37" s="54"/>
      <c r="U37" s="54"/>
      <c r="V37" s="76"/>
      <c r="W37" s="76"/>
      <c r="X37" s="76"/>
      <c r="Y37" s="76"/>
      <c r="Z37" s="373">
        <v>0</v>
      </c>
      <c r="AA37" s="156">
        <f t="shared" si="2"/>
        <v>0</v>
      </c>
      <c r="AB37" s="373">
        <v>0</v>
      </c>
      <c r="AC37" s="156">
        <f t="shared" si="3"/>
        <v>0</v>
      </c>
      <c r="AD37" s="373">
        <v>0</v>
      </c>
      <c r="AE37" s="156">
        <f t="shared" si="4"/>
        <v>0</v>
      </c>
      <c r="AF37" s="373">
        <v>0</v>
      </c>
      <c r="AG37" s="156">
        <f t="shared" si="5"/>
        <v>0</v>
      </c>
      <c r="AH37" s="373"/>
      <c r="AI37" s="156">
        <f t="shared" si="6"/>
        <v>0</v>
      </c>
      <c r="AJ37" s="373"/>
      <c r="AK37" s="156">
        <f t="shared" si="7"/>
        <v>0</v>
      </c>
      <c r="AL37" s="373"/>
      <c r="AM37" s="156">
        <f t="shared" si="8"/>
        <v>0</v>
      </c>
      <c r="AN37" s="373"/>
      <c r="AO37" s="156">
        <f t="shared" si="9"/>
        <v>0</v>
      </c>
      <c r="AP37" s="373"/>
      <c r="AQ37" s="156">
        <f t="shared" si="10"/>
        <v>0</v>
      </c>
      <c r="AR37" s="373"/>
      <c r="AS37" s="156">
        <f t="shared" si="11"/>
        <v>0</v>
      </c>
      <c r="AT37" s="373"/>
      <c r="AU37" s="156">
        <f t="shared" si="12"/>
        <v>0</v>
      </c>
      <c r="AV37" s="373"/>
      <c r="AW37" s="156">
        <f t="shared" si="13"/>
        <v>0</v>
      </c>
      <c r="AX37" s="373"/>
      <c r="AY37" s="156">
        <f t="shared" si="14"/>
        <v>0</v>
      </c>
      <c r="AZ37" s="373"/>
      <c r="BA37" s="156">
        <f t="shared" si="15"/>
        <v>0</v>
      </c>
      <c r="BB37" s="373"/>
      <c r="BC37" s="156">
        <f t="shared" si="16"/>
        <v>0</v>
      </c>
      <c r="BD37" s="373"/>
      <c r="BE37" s="156">
        <f t="shared" si="17"/>
        <v>0</v>
      </c>
      <c r="BF37" s="373"/>
      <c r="BG37" s="156">
        <f t="shared" si="18"/>
        <v>0</v>
      </c>
      <c r="BH37" s="373"/>
      <c r="BI37" s="156">
        <f t="shared" si="19"/>
        <v>0</v>
      </c>
      <c r="BJ37" s="373">
        <f t="shared" si="20"/>
        <v>0</v>
      </c>
      <c r="BK37" s="156">
        <f t="shared" si="21"/>
        <v>0</v>
      </c>
      <c r="BL37" s="38"/>
      <c r="BN37" s="375"/>
      <c r="BO37" s="375"/>
      <c r="BP37" s="375"/>
      <c r="BQ37" s="375"/>
      <c r="BR37" s="375"/>
      <c r="BS37" s="375"/>
      <c r="BT37" s="375"/>
      <c r="BU37" s="375"/>
      <c r="BV37" s="377">
        <f t="shared" si="1"/>
        <v>0</v>
      </c>
    </row>
    <row r="38" spans="1:74" x14ac:dyDescent="0.25">
      <c r="A38" s="954"/>
      <c r="B38" s="38">
        <v>23510</v>
      </c>
      <c r="C38" s="38" t="s">
        <v>188</v>
      </c>
      <c r="D38" s="38" t="s">
        <v>189</v>
      </c>
      <c r="E38" s="365">
        <f>1*100000</f>
        <v>100000</v>
      </c>
      <c r="F38" s="38">
        <f>BJ38</f>
        <v>17</v>
      </c>
      <c r="G38" s="485">
        <f>E38*F38</f>
        <v>1700000</v>
      </c>
      <c r="H38" s="485">
        <f>G38*0.2</f>
        <v>340000</v>
      </c>
      <c r="I38" s="485">
        <f>G38*0.8</f>
        <v>1360000</v>
      </c>
      <c r="J38" s="485">
        <f>G38*0</f>
        <v>0</v>
      </c>
      <c r="K38" s="485">
        <f>G38*0</f>
        <v>0</v>
      </c>
      <c r="L38" s="485">
        <f>G38*0</f>
        <v>0</v>
      </c>
      <c r="M38" s="485">
        <f>G38*0</f>
        <v>0</v>
      </c>
      <c r="N38" s="485">
        <f>G38*0</f>
        <v>0</v>
      </c>
      <c r="O38" s="76">
        <f>G38*0</f>
        <v>0</v>
      </c>
      <c r="P38" s="76">
        <f>G38*0</f>
        <v>0</v>
      </c>
      <c r="Q38" s="76">
        <f>G38*0</f>
        <v>0</v>
      </c>
      <c r="R38" s="54"/>
      <c r="S38" s="54">
        <v>17</v>
      </c>
      <c r="T38" s="54"/>
      <c r="U38" s="54"/>
      <c r="V38" s="486">
        <f>R38*E38</f>
        <v>0</v>
      </c>
      <c r="W38" s="486">
        <f>S38*E38</f>
        <v>1700000</v>
      </c>
      <c r="X38" s="486">
        <f>T38*E38</f>
        <v>0</v>
      </c>
      <c r="Y38" s="486">
        <f>U38*E38</f>
        <v>0</v>
      </c>
      <c r="Z38" s="373">
        <v>0</v>
      </c>
      <c r="AA38" s="156">
        <f t="shared" si="2"/>
        <v>0</v>
      </c>
      <c r="AB38" s="373">
        <v>0</v>
      </c>
      <c r="AC38" s="156">
        <f t="shared" si="3"/>
        <v>0</v>
      </c>
      <c r="AD38" s="373">
        <v>0</v>
      </c>
      <c r="AE38" s="156">
        <f t="shared" si="4"/>
        <v>0</v>
      </c>
      <c r="AF38" s="373">
        <v>0</v>
      </c>
      <c r="AG38" s="156">
        <f t="shared" si="5"/>
        <v>0</v>
      </c>
      <c r="AH38" s="373">
        <v>0</v>
      </c>
      <c r="AI38" s="156">
        <f t="shared" si="6"/>
        <v>0</v>
      </c>
      <c r="AJ38" s="373">
        <v>0</v>
      </c>
      <c r="AK38" s="156">
        <f t="shared" si="7"/>
        <v>0</v>
      </c>
      <c r="AL38" s="373">
        <v>0</v>
      </c>
      <c r="AM38" s="156">
        <f t="shared" si="8"/>
        <v>0</v>
      </c>
      <c r="AN38" s="373">
        <v>0</v>
      </c>
      <c r="AO38" s="156">
        <f t="shared" si="9"/>
        <v>0</v>
      </c>
      <c r="AP38" s="373">
        <v>0</v>
      </c>
      <c r="AQ38" s="156">
        <f t="shared" si="10"/>
        <v>0</v>
      </c>
      <c r="AR38" s="373">
        <v>0</v>
      </c>
      <c r="AS38" s="156">
        <f t="shared" si="11"/>
        <v>0</v>
      </c>
      <c r="AT38" s="373">
        <v>0</v>
      </c>
      <c r="AU38" s="156">
        <f t="shared" si="12"/>
        <v>0</v>
      </c>
      <c r="AV38" s="373">
        <v>0</v>
      </c>
      <c r="AW38" s="156">
        <f t="shared" si="13"/>
        <v>0</v>
      </c>
      <c r="AX38" s="373">
        <v>0</v>
      </c>
      <c r="AY38" s="156">
        <f t="shared" si="14"/>
        <v>0</v>
      </c>
      <c r="AZ38" s="373">
        <v>0</v>
      </c>
      <c r="BA38" s="156">
        <f t="shared" si="15"/>
        <v>0</v>
      </c>
      <c r="BB38" s="373">
        <v>0</v>
      </c>
      <c r="BC38" s="156">
        <f t="shared" si="16"/>
        <v>0</v>
      </c>
      <c r="BD38" s="373">
        <v>0</v>
      </c>
      <c r="BE38" s="156">
        <f t="shared" si="17"/>
        <v>0</v>
      </c>
      <c r="BF38" s="373">
        <v>0</v>
      </c>
      <c r="BG38" s="156">
        <f t="shared" si="18"/>
        <v>0</v>
      </c>
      <c r="BH38" s="373">
        <v>17</v>
      </c>
      <c r="BI38" s="156">
        <f t="shared" si="19"/>
        <v>1700000</v>
      </c>
      <c r="BJ38" s="373">
        <f t="shared" si="20"/>
        <v>17</v>
      </c>
      <c r="BK38" s="156">
        <f t="shared" si="21"/>
        <v>1700000</v>
      </c>
      <c r="BL38" s="328" t="s">
        <v>467</v>
      </c>
      <c r="BN38" s="375"/>
      <c r="BO38" s="375"/>
      <c r="BP38" s="375">
        <f>G38</f>
        <v>1700000</v>
      </c>
      <c r="BQ38" s="375"/>
      <c r="BR38" s="375">
        <f>BN38+BO38+BP38+BQ38</f>
        <v>1700000</v>
      </c>
      <c r="BS38" s="375"/>
      <c r="BT38" s="375"/>
      <c r="BU38" s="375">
        <f>BS38+BT38</f>
        <v>0</v>
      </c>
      <c r="BV38" s="377">
        <f t="shared" si="1"/>
        <v>1700000</v>
      </c>
    </row>
    <row r="39" spans="1:74" x14ac:dyDescent="0.25">
      <c r="A39" s="954"/>
      <c r="B39" s="38">
        <v>23520</v>
      </c>
      <c r="C39" s="38" t="s">
        <v>190</v>
      </c>
      <c r="D39" s="38" t="s">
        <v>191</v>
      </c>
      <c r="E39" s="365">
        <f>7.5*100000</f>
        <v>750000</v>
      </c>
      <c r="F39" s="38">
        <f>BJ39</f>
        <v>3</v>
      </c>
      <c r="G39" s="485">
        <f>E39*F39</f>
        <v>2250000</v>
      </c>
      <c r="H39" s="485">
        <f>G39*0.2</f>
        <v>450000</v>
      </c>
      <c r="I39" s="485">
        <f>G39*0.8</f>
        <v>1800000</v>
      </c>
      <c r="J39" s="485">
        <f>G39*0</f>
        <v>0</v>
      </c>
      <c r="K39" s="485">
        <f>G39*0</f>
        <v>0</v>
      </c>
      <c r="L39" s="485">
        <f>G39*0</f>
        <v>0</v>
      </c>
      <c r="M39" s="485">
        <f>G39*0</f>
        <v>0</v>
      </c>
      <c r="N39" s="485">
        <f>G39*0</f>
        <v>0</v>
      </c>
      <c r="O39" s="76">
        <f>G39*0</f>
        <v>0</v>
      </c>
      <c r="P39" s="76">
        <f>G39*0</f>
        <v>0</v>
      </c>
      <c r="Q39" s="76">
        <f>G39*0</f>
        <v>0</v>
      </c>
      <c r="R39" s="54"/>
      <c r="S39" s="54">
        <v>3</v>
      </c>
      <c r="T39" s="54"/>
      <c r="U39" s="54"/>
      <c r="V39" s="486">
        <f>R39*E39</f>
        <v>0</v>
      </c>
      <c r="W39" s="486">
        <f>S39*E39</f>
        <v>2250000</v>
      </c>
      <c r="X39" s="486">
        <f>T39*E39</f>
        <v>0</v>
      </c>
      <c r="Y39" s="486">
        <f>U39*E39</f>
        <v>0</v>
      </c>
      <c r="Z39" s="373">
        <v>0</v>
      </c>
      <c r="AA39" s="156">
        <f t="shared" si="2"/>
        <v>0</v>
      </c>
      <c r="AB39" s="373">
        <v>0</v>
      </c>
      <c r="AC39" s="156">
        <f t="shared" si="3"/>
        <v>0</v>
      </c>
      <c r="AD39" s="373">
        <v>0</v>
      </c>
      <c r="AE39" s="156">
        <f t="shared" si="4"/>
        <v>0</v>
      </c>
      <c r="AF39" s="373">
        <v>0</v>
      </c>
      <c r="AG39" s="156">
        <f t="shared" si="5"/>
        <v>0</v>
      </c>
      <c r="AH39" s="373">
        <v>0</v>
      </c>
      <c r="AI39" s="156">
        <f t="shared" si="6"/>
        <v>0</v>
      </c>
      <c r="AJ39" s="373">
        <v>0</v>
      </c>
      <c r="AK39" s="156">
        <f t="shared" si="7"/>
        <v>0</v>
      </c>
      <c r="AL39" s="373">
        <v>0</v>
      </c>
      <c r="AM39" s="156">
        <f t="shared" si="8"/>
        <v>0</v>
      </c>
      <c r="AN39" s="373">
        <v>0</v>
      </c>
      <c r="AO39" s="156">
        <f t="shared" si="9"/>
        <v>0</v>
      </c>
      <c r="AP39" s="373">
        <v>0</v>
      </c>
      <c r="AQ39" s="156">
        <f t="shared" si="10"/>
        <v>0</v>
      </c>
      <c r="AR39" s="373">
        <v>0</v>
      </c>
      <c r="AS39" s="156">
        <f t="shared" si="11"/>
        <v>0</v>
      </c>
      <c r="AT39" s="373">
        <v>0</v>
      </c>
      <c r="AU39" s="156">
        <f t="shared" si="12"/>
        <v>0</v>
      </c>
      <c r="AV39" s="373">
        <v>0</v>
      </c>
      <c r="AW39" s="156">
        <f t="shared" si="13"/>
        <v>0</v>
      </c>
      <c r="AX39" s="373">
        <v>0</v>
      </c>
      <c r="AY39" s="156">
        <f t="shared" si="14"/>
        <v>0</v>
      </c>
      <c r="AZ39" s="373">
        <v>0</v>
      </c>
      <c r="BA39" s="156">
        <f t="shared" si="15"/>
        <v>0</v>
      </c>
      <c r="BB39" s="373">
        <v>0</v>
      </c>
      <c r="BC39" s="156">
        <f t="shared" si="16"/>
        <v>0</v>
      </c>
      <c r="BD39" s="373">
        <v>0</v>
      </c>
      <c r="BE39" s="156">
        <f t="shared" si="17"/>
        <v>0</v>
      </c>
      <c r="BF39" s="373">
        <v>0</v>
      </c>
      <c r="BG39" s="156">
        <f t="shared" si="18"/>
        <v>0</v>
      </c>
      <c r="BH39" s="373">
        <v>3</v>
      </c>
      <c r="BI39" s="156">
        <f t="shared" si="19"/>
        <v>2250000</v>
      </c>
      <c r="BJ39" s="373">
        <f t="shared" si="20"/>
        <v>3</v>
      </c>
      <c r="BK39" s="156">
        <f t="shared" si="21"/>
        <v>2250000</v>
      </c>
      <c r="BL39" s="328" t="s">
        <v>467</v>
      </c>
      <c r="BN39" s="375"/>
      <c r="BO39" s="375"/>
      <c r="BP39" s="375">
        <f>G39</f>
        <v>2250000</v>
      </c>
      <c r="BQ39" s="375"/>
      <c r="BR39" s="375">
        <f>BN39+BO39+BP39+BQ39</f>
        <v>2250000</v>
      </c>
      <c r="BS39" s="375"/>
      <c r="BT39" s="375"/>
      <c r="BU39" s="375">
        <f>BS39+BT39</f>
        <v>0</v>
      </c>
      <c r="BV39" s="377">
        <f t="shared" si="1"/>
        <v>2250000</v>
      </c>
    </row>
    <row r="40" spans="1:74" x14ac:dyDescent="0.25">
      <c r="A40" s="954"/>
      <c r="B40" s="399"/>
      <c r="C40" s="38" t="s">
        <v>192</v>
      </c>
      <c r="D40" s="38" t="s">
        <v>193</v>
      </c>
      <c r="E40" s="365">
        <f>4*100000</f>
        <v>400000</v>
      </c>
      <c r="F40" s="38">
        <f>BJ40</f>
        <v>3</v>
      </c>
      <c r="G40" s="485">
        <f>E40*F40</f>
        <v>1200000</v>
      </c>
      <c r="H40" s="485">
        <f>G40*0.2</f>
        <v>240000</v>
      </c>
      <c r="I40" s="485">
        <f>G40*0.8</f>
        <v>960000</v>
      </c>
      <c r="J40" s="485">
        <f>G40*0</f>
        <v>0</v>
      </c>
      <c r="K40" s="485">
        <f>G40*0</f>
        <v>0</v>
      </c>
      <c r="L40" s="485">
        <f>G40*0</f>
        <v>0</v>
      </c>
      <c r="M40" s="485">
        <f>G40*0</f>
        <v>0</v>
      </c>
      <c r="N40" s="485">
        <f>G40*0</f>
        <v>0</v>
      </c>
      <c r="O40" s="76">
        <f>G40*0</f>
        <v>0</v>
      </c>
      <c r="P40" s="76">
        <f>G40*0</f>
        <v>0</v>
      </c>
      <c r="Q40" s="76">
        <f>G40*0</f>
        <v>0</v>
      </c>
      <c r="R40" s="54"/>
      <c r="S40" s="54"/>
      <c r="T40" s="54">
        <v>3</v>
      </c>
      <c r="U40" s="54"/>
      <c r="V40" s="486">
        <f>R40*E40</f>
        <v>0</v>
      </c>
      <c r="W40" s="486">
        <f>S40*E40</f>
        <v>0</v>
      </c>
      <c r="X40" s="486">
        <f>T40*E40</f>
        <v>1200000</v>
      </c>
      <c r="Y40" s="486">
        <f>U40*E40</f>
        <v>0</v>
      </c>
      <c r="Z40" s="373">
        <v>0</v>
      </c>
      <c r="AA40" s="156">
        <f t="shared" si="2"/>
        <v>0</v>
      </c>
      <c r="AB40" s="373">
        <v>0</v>
      </c>
      <c r="AC40" s="156">
        <f t="shared" si="3"/>
        <v>0</v>
      </c>
      <c r="AD40" s="373">
        <v>0</v>
      </c>
      <c r="AE40" s="156">
        <f t="shared" si="4"/>
        <v>0</v>
      </c>
      <c r="AF40" s="373">
        <v>0</v>
      </c>
      <c r="AG40" s="156">
        <f t="shared" si="5"/>
        <v>0</v>
      </c>
      <c r="AH40" s="373">
        <v>0</v>
      </c>
      <c r="AI40" s="156">
        <f t="shared" si="6"/>
        <v>0</v>
      </c>
      <c r="AJ40" s="373">
        <v>0</v>
      </c>
      <c r="AK40" s="156">
        <f t="shared" si="7"/>
        <v>0</v>
      </c>
      <c r="AL40" s="373">
        <v>0</v>
      </c>
      <c r="AM40" s="156">
        <f t="shared" si="8"/>
        <v>0</v>
      </c>
      <c r="AN40" s="373">
        <v>0</v>
      </c>
      <c r="AO40" s="156">
        <f t="shared" si="9"/>
        <v>0</v>
      </c>
      <c r="AP40" s="373">
        <v>0</v>
      </c>
      <c r="AQ40" s="156">
        <f t="shared" si="10"/>
        <v>0</v>
      </c>
      <c r="AR40" s="373">
        <v>0</v>
      </c>
      <c r="AS40" s="156">
        <f t="shared" si="11"/>
        <v>0</v>
      </c>
      <c r="AT40" s="373">
        <v>0</v>
      </c>
      <c r="AU40" s="156">
        <f t="shared" si="12"/>
        <v>0</v>
      </c>
      <c r="AV40" s="373">
        <v>0</v>
      </c>
      <c r="AW40" s="156">
        <f t="shared" si="13"/>
        <v>0</v>
      </c>
      <c r="AX40" s="373">
        <v>0</v>
      </c>
      <c r="AY40" s="156">
        <f t="shared" si="14"/>
        <v>0</v>
      </c>
      <c r="AZ40" s="373">
        <v>0</v>
      </c>
      <c r="BA40" s="156">
        <f t="shared" si="15"/>
        <v>0</v>
      </c>
      <c r="BB40" s="373">
        <v>0</v>
      </c>
      <c r="BC40" s="156">
        <f t="shared" si="16"/>
        <v>0</v>
      </c>
      <c r="BD40" s="373">
        <v>0</v>
      </c>
      <c r="BE40" s="156">
        <f t="shared" si="17"/>
        <v>0</v>
      </c>
      <c r="BF40" s="373">
        <v>0</v>
      </c>
      <c r="BG40" s="156">
        <f t="shared" si="18"/>
        <v>0</v>
      </c>
      <c r="BH40" s="373">
        <v>3</v>
      </c>
      <c r="BI40" s="156">
        <f t="shared" si="19"/>
        <v>1200000</v>
      </c>
      <c r="BJ40" s="373">
        <f t="shared" si="20"/>
        <v>3</v>
      </c>
      <c r="BK40" s="156">
        <f t="shared" si="21"/>
        <v>1200000</v>
      </c>
      <c r="BL40" s="328" t="s">
        <v>467</v>
      </c>
      <c r="BN40" s="375"/>
      <c r="BO40" s="375"/>
      <c r="BP40" s="375">
        <f>G40</f>
        <v>1200000</v>
      </c>
      <c r="BQ40" s="375"/>
      <c r="BR40" s="375">
        <f>BN40+BO40+BP40+BQ40</f>
        <v>1200000</v>
      </c>
      <c r="BS40" s="375"/>
      <c r="BT40" s="375"/>
      <c r="BU40" s="375">
        <f>BS40+BT40</f>
        <v>0</v>
      </c>
      <c r="BV40" s="377">
        <f t="shared" si="1"/>
        <v>1200000</v>
      </c>
    </row>
    <row r="41" spans="1:74" x14ac:dyDescent="0.25">
      <c r="A41" s="954"/>
      <c r="B41" s="399"/>
      <c r="C41" s="38" t="s">
        <v>194</v>
      </c>
      <c r="D41" s="38" t="s">
        <v>191</v>
      </c>
      <c r="E41" s="365">
        <f>8*100000</f>
        <v>800000</v>
      </c>
      <c r="F41" s="38">
        <f>BJ41</f>
        <v>3</v>
      </c>
      <c r="G41" s="485">
        <f>E41*F41</f>
        <v>2400000</v>
      </c>
      <c r="H41" s="485">
        <f>G41*0.2</f>
        <v>480000</v>
      </c>
      <c r="I41" s="485">
        <f>G41*0.8</f>
        <v>1920000</v>
      </c>
      <c r="J41" s="485">
        <f>G41*0</f>
        <v>0</v>
      </c>
      <c r="K41" s="485">
        <f>G41*0</f>
        <v>0</v>
      </c>
      <c r="L41" s="485">
        <f>G41*0</f>
        <v>0</v>
      </c>
      <c r="M41" s="485">
        <f>G41*0</f>
        <v>0</v>
      </c>
      <c r="N41" s="485">
        <f>G41*0</f>
        <v>0</v>
      </c>
      <c r="O41" s="76">
        <f>G41*0</f>
        <v>0</v>
      </c>
      <c r="P41" s="76">
        <f>G41*0</f>
        <v>0</v>
      </c>
      <c r="Q41" s="76">
        <f>G41*0</f>
        <v>0</v>
      </c>
      <c r="R41" s="54"/>
      <c r="S41" s="54"/>
      <c r="T41" s="54">
        <v>3</v>
      </c>
      <c r="U41" s="54"/>
      <c r="V41" s="486">
        <f>R41*E41</f>
        <v>0</v>
      </c>
      <c r="W41" s="486">
        <f>S41*E41</f>
        <v>0</v>
      </c>
      <c r="X41" s="486">
        <f>T41*E41</f>
        <v>2400000</v>
      </c>
      <c r="Y41" s="486">
        <f>U41*E41</f>
        <v>0</v>
      </c>
      <c r="Z41" s="373">
        <v>0</v>
      </c>
      <c r="AA41" s="156">
        <f t="shared" si="2"/>
        <v>0</v>
      </c>
      <c r="AB41" s="373">
        <v>0</v>
      </c>
      <c r="AC41" s="156">
        <f t="shared" si="3"/>
        <v>0</v>
      </c>
      <c r="AD41" s="373">
        <v>0</v>
      </c>
      <c r="AE41" s="156">
        <f t="shared" si="4"/>
        <v>0</v>
      </c>
      <c r="AF41" s="373">
        <v>0</v>
      </c>
      <c r="AG41" s="156">
        <f t="shared" si="5"/>
        <v>0</v>
      </c>
      <c r="AH41" s="373">
        <v>0</v>
      </c>
      <c r="AI41" s="156">
        <f t="shared" si="6"/>
        <v>0</v>
      </c>
      <c r="AJ41" s="373">
        <v>0</v>
      </c>
      <c r="AK41" s="156">
        <f t="shared" si="7"/>
        <v>0</v>
      </c>
      <c r="AL41" s="373">
        <v>0</v>
      </c>
      <c r="AM41" s="156">
        <f t="shared" si="8"/>
        <v>0</v>
      </c>
      <c r="AN41" s="373">
        <v>0</v>
      </c>
      <c r="AO41" s="156">
        <f t="shared" si="9"/>
        <v>0</v>
      </c>
      <c r="AP41" s="373">
        <v>0</v>
      </c>
      <c r="AQ41" s="156">
        <f t="shared" si="10"/>
        <v>0</v>
      </c>
      <c r="AR41" s="373">
        <v>0</v>
      </c>
      <c r="AS41" s="156">
        <f t="shared" si="11"/>
        <v>0</v>
      </c>
      <c r="AT41" s="373">
        <v>0</v>
      </c>
      <c r="AU41" s="156">
        <f t="shared" si="12"/>
        <v>0</v>
      </c>
      <c r="AV41" s="373">
        <v>0</v>
      </c>
      <c r="AW41" s="156">
        <f t="shared" si="13"/>
        <v>0</v>
      </c>
      <c r="AX41" s="373">
        <v>0</v>
      </c>
      <c r="AY41" s="156">
        <f t="shared" si="14"/>
        <v>0</v>
      </c>
      <c r="AZ41" s="373">
        <v>0</v>
      </c>
      <c r="BA41" s="156">
        <f t="shared" si="15"/>
        <v>0</v>
      </c>
      <c r="BB41" s="373">
        <v>0</v>
      </c>
      <c r="BC41" s="156">
        <f t="shared" si="16"/>
        <v>0</v>
      </c>
      <c r="BD41" s="373">
        <v>0</v>
      </c>
      <c r="BE41" s="156">
        <f t="shared" si="17"/>
        <v>0</v>
      </c>
      <c r="BF41" s="373">
        <v>0</v>
      </c>
      <c r="BG41" s="156">
        <f t="shared" si="18"/>
        <v>0</v>
      </c>
      <c r="BH41" s="373">
        <v>3</v>
      </c>
      <c r="BI41" s="156">
        <f t="shared" si="19"/>
        <v>2400000</v>
      </c>
      <c r="BJ41" s="373">
        <f t="shared" si="20"/>
        <v>3</v>
      </c>
      <c r="BK41" s="156">
        <f t="shared" si="21"/>
        <v>2400000</v>
      </c>
      <c r="BL41" s="328" t="s">
        <v>467</v>
      </c>
      <c r="BN41" s="375"/>
      <c r="BO41" s="375"/>
      <c r="BP41" s="375">
        <f>G41</f>
        <v>2400000</v>
      </c>
      <c r="BQ41" s="375"/>
      <c r="BR41" s="375">
        <f>BN41+BO41+BP41+BQ41</f>
        <v>2400000</v>
      </c>
      <c r="BS41" s="375"/>
      <c r="BT41" s="375"/>
      <c r="BU41" s="375">
        <f>BS41+BT41</f>
        <v>0</v>
      </c>
      <c r="BV41" s="377">
        <f t="shared" si="1"/>
        <v>2400000</v>
      </c>
    </row>
    <row r="42" spans="1:74" x14ac:dyDescent="0.25">
      <c r="A42" s="954"/>
      <c r="B42" s="399"/>
      <c r="C42" s="38" t="s">
        <v>195</v>
      </c>
      <c r="D42" s="38" t="s">
        <v>191</v>
      </c>
      <c r="E42" s="365">
        <f>1*100000</f>
        <v>100000</v>
      </c>
      <c r="F42" s="38">
        <f>BJ42</f>
        <v>3</v>
      </c>
      <c r="G42" s="485">
        <f>E42*F42</f>
        <v>300000</v>
      </c>
      <c r="H42" s="485">
        <f>G42*0.2</f>
        <v>60000</v>
      </c>
      <c r="I42" s="485">
        <f>G42*0.8</f>
        <v>240000</v>
      </c>
      <c r="J42" s="485">
        <f>G42*0</f>
        <v>0</v>
      </c>
      <c r="K42" s="485">
        <f>G42*0</f>
        <v>0</v>
      </c>
      <c r="L42" s="485">
        <f>G42*0</f>
        <v>0</v>
      </c>
      <c r="M42" s="485">
        <f>G42*0</f>
        <v>0</v>
      </c>
      <c r="N42" s="485">
        <f>G42*0</f>
        <v>0</v>
      </c>
      <c r="O42" s="76">
        <f>G42*0</f>
        <v>0</v>
      </c>
      <c r="P42" s="76">
        <f>G42*0</f>
        <v>0</v>
      </c>
      <c r="Q42" s="76">
        <f>G42*0</f>
        <v>0</v>
      </c>
      <c r="R42" s="54"/>
      <c r="S42" s="54"/>
      <c r="T42" s="54">
        <v>3</v>
      </c>
      <c r="U42" s="54"/>
      <c r="V42" s="486">
        <f>R42*E42</f>
        <v>0</v>
      </c>
      <c r="W42" s="486">
        <f>S42*E42</f>
        <v>0</v>
      </c>
      <c r="X42" s="486">
        <f>T42*E42</f>
        <v>300000</v>
      </c>
      <c r="Y42" s="486">
        <f>U42*E42</f>
        <v>0</v>
      </c>
      <c r="Z42" s="373">
        <v>0</v>
      </c>
      <c r="AA42" s="156">
        <f t="shared" si="2"/>
        <v>0</v>
      </c>
      <c r="AB42" s="373">
        <v>0</v>
      </c>
      <c r="AC42" s="156">
        <f t="shared" si="3"/>
        <v>0</v>
      </c>
      <c r="AD42" s="373">
        <v>0</v>
      </c>
      <c r="AE42" s="156">
        <f t="shared" si="4"/>
        <v>0</v>
      </c>
      <c r="AF42" s="373">
        <v>0</v>
      </c>
      <c r="AG42" s="156">
        <f t="shared" si="5"/>
        <v>0</v>
      </c>
      <c r="AH42" s="373">
        <v>0</v>
      </c>
      <c r="AI42" s="156">
        <f t="shared" si="6"/>
        <v>0</v>
      </c>
      <c r="AJ42" s="373">
        <v>0</v>
      </c>
      <c r="AK42" s="156">
        <f t="shared" si="7"/>
        <v>0</v>
      </c>
      <c r="AL42" s="373">
        <v>0</v>
      </c>
      <c r="AM42" s="156">
        <f t="shared" si="8"/>
        <v>0</v>
      </c>
      <c r="AN42" s="373">
        <v>0</v>
      </c>
      <c r="AO42" s="156">
        <f t="shared" si="9"/>
        <v>0</v>
      </c>
      <c r="AP42" s="373">
        <v>0</v>
      </c>
      <c r="AQ42" s="156">
        <f t="shared" si="10"/>
        <v>0</v>
      </c>
      <c r="AR42" s="373">
        <v>0</v>
      </c>
      <c r="AS42" s="156">
        <f t="shared" si="11"/>
        <v>0</v>
      </c>
      <c r="AT42" s="373">
        <v>0</v>
      </c>
      <c r="AU42" s="156">
        <f t="shared" si="12"/>
        <v>0</v>
      </c>
      <c r="AV42" s="373">
        <v>0</v>
      </c>
      <c r="AW42" s="156">
        <f t="shared" si="13"/>
        <v>0</v>
      </c>
      <c r="AX42" s="373">
        <v>0</v>
      </c>
      <c r="AY42" s="156">
        <f t="shared" si="14"/>
        <v>0</v>
      </c>
      <c r="AZ42" s="373">
        <v>0</v>
      </c>
      <c r="BA42" s="156">
        <f t="shared" si="15"/>
        <v>0</v>
      </c>
      <c r="BB42" s="373">
        <v>0</v>
      </c>
      <c r="BC42" s="156">
        <f t="shared" si="16"/>
        <v>0</v>
      </c>
      <c r="BD42" s="373">
        <v>0</v>
      </c>
      <c r="BE42" s="156">
        <f t="shared" si="17"/>
        <v>0</v>
      </c>
      <c r="BF42" s="373">
        <v>0</v>
      </c>
      <c r="BG42" s="156">
        <f t="shared" si="18"/>
        <v>0</v>
      </c>
      <c r="BH42" s="373">
        <v>3</v>
      </c>
      <c r="BI42" s="156">
        <f t="shared" si="19"/>
        <v>300000</v>
      </c>
      <c r="BJ42" s="373">
        <f t="shared" si="20"/>
        <v>3</v>
      </c>
      <c r="BK42" s="156">
        <f t="shared" si="21"/>
        <v>300000</v>
      </c>
      <c r="BL42" s="328" t="s">
        <v>467</v>
      </c>
      <c r="BN42" s="375"/>
      <c r="BO42" s="375"/>
      <c r="BP42" s="375">
        <f>G42</f>
        <v>300000</v>
      </c>
      <c r="BQ42" s="375"/>
      <c r="BR42" s="375">
        <f>BN42+BO42+BP42+BQ42</f>
        <v>300000</v>
      </c>
      <c r="BS42" s="375"/>
      <c r="BT42" s="375"/>
      <c r="BU42" s="375">
        <f>BS42+BT42</f>
        <v>0</v>
      </c>
      <c r="BV42" s="377">
        <f t="shared" si="1"/>
        <v>300000</v>
      </c>
    </row>
    <row r="43" spans="1:74" x14ac:dyDescent="0.25">
      <c r="A43" s="954"/>
      <c r="B43" s="382"/>
      <c r="C43" s="382"/>
      <c r="D43" s="382"/>
      <c r="E43" s="382"/>
      <c r="F43" s="391">
        <f>SUM(F38:F42)</f>
        <v>29</v>
      </c>
      <c r="G43" s="491">
        <f>SUM(G38:G42)</f>
        <v>7850000</v>
      </c>
      <c r="H43" s="491">
        <f t="shared" ref="H43:Q43" si="71">SUM(H38:H42)</f>
        <v>1570000</v>
      </c>
      <c r="I43" s="491">
        <f t="shared" si="71"/>
        <v>6280000</v>
      </c>
      <c r="J43" s="491">
        <f t="shared" si="71"/>
        <v>0</v>
      </c>
      <c r="K43" s="491">
        <f t="shared" si="71"/>
        <v>0</v>
      </c>
      <c r="L43" s="491">
        <f t="shared" si="71"/>
        <v>0</v>
      </c>
      <c r="M43" s="491">
        <f t="shared" si="71"/>
        <v>0</v>
      </c>
      <c r="N43" s="491">
        <f t="shared" si="71"/>
        <v>0</v>
      </c>
      <c r="O43" s="491">
        <f t="shared" si="71"/>
        <v>0</v>
      </c>
      <c r="P43" s="491">
        <f t="shared" si="71"/>
        <v>0</v>
      </c>
      <c r="Q43" s="491">
        <f t="shared" si="71"/>
        <v>0</v>
      </c>
      <c r="R43" s="382">
        <f t="shared" ref="R43:Y43" si="72">SUM(R38:R42)</f>
        <v>0</v>
      </c>
      <c r="S43" s="382">
        <f t="shared" si="72"/>
        <v>20</v>
      </c>
      <c r="T43" s="382">
        <f t="shared" si="72"/>
        <v>9</v>
      </c>
      <c r="U43" s="382">
        <f t="shared" si="72"/>
        <v>0</v>
      </c>
      <c r="V43" s="491">
        <f t="shared" si="72"/>
        <v>0</v>
      </c>
      <c r="W43" s="491">
        <f t="shared" si="72"/>
        <v>3950000</v>
      </c>
      <c r="X43" s="491">
        <f t="shared" si="72"/>
        <v>3900000</v>
      </c>
      <c r="Y43" s="491">
        <f t="shared" si="72"/>
        <v>0</v>
      </c>
      <c r="Z43" s="493">
        <f>SUM(Z37:Z42)</f>
        <v>0</v>
      </c>
      <c r="AA43" s="493">
        <f t="shared" ref="AA43:BI43" si="73">SUM(AA37:AA42)</f>
        <v>0</v>
      </c>
      <c r="AB43" s="493">
        <f t="shared" si="73"/>
        <v>0</v>
      </c>
      <c r="AC43" s="493">
        <f t="shared" si="73"/>
        <v>0</v>
      </c>
      <c r="AD43" s="493">
        <f t="shared" si="73"/>
        <v>0</v>
      </c>
      <c r="AE43" s="493">
        <f t="shared" si="73"/>
        <v>0</v>
      </c>
      <c r="AF43" s="493">
        <f t="shared" si="73"/>
        <v>0</v>
      </c>
      <c r="AG43" s="493">
        <f t="shared" si="73"/>
        <v>0</v>
      </c>
      <c r="AH43" s="493">
        <f t="shared" si="73"/>
        <v>0</v>
      </c>
      <c r="AI43" s="493">
        <f t="shared" si="73"/>
        <v>0</v>
      </c>
      <c r="AJ43" s="493">
        <f t="shared" si="73"/>
        <v>0</v>
      </c>
      <c r="AK43" s="493">
        <f t="shared" si="73"/>
        <v>0</v>
      </c>
      <c r="AL43" s="493">
        <f t="shared" si="73"/>
        <v>0</v>
      </c>
      <c r="AM43" s="493">
        <f t="shared" si="73"/>
        <v>0</v>
      </c>
      <c r="AN43" s="493">
        <f t="shared" si="73"/>
        <v>0</v>
      </c>
      <c r="AO43" s="493">
        <f t="shared" si="73"/>
        <v>0</v>
      </c>
      <c r="AP43" s="493">
        <f t="shared" si="73"/>
        <v>0</v>
      </c>
      <c r="AQ43" s="493">
        <f t="shared" si="73"/>
        <v>0</v>
      </c>
      <c r="AR43" s="493">
        <f t="shared" si="73"/>
        <v>0</v>
      </c>
      <c r="AS43" s="493">
        <f t="shared" si="73"/>
        <v>0</v>
      </c>
      <c r="AT43" s="493">
        <f t="shared" si="73"/>
        <v>0</v>
      </c>
      <c r="AU43" s="493">
        <f t="shared" si="73"/>
        <v>0</v>
      </c>
      <c r="AV43" s="493">
        <f t="shared" si="73"/>
        <v>0</v>
      </c>
      <c r="AW43" s="493">
        <f t="shared" si="73"/>
        <v>0</v>
      </c>
      <c r="AX43" s="493">
        <f t="shared" si="73"/>
        <v>0</v>
      </c>
      <c r="AY43" s="493">
        <f t="shared" si="73"/>
        <v>0</v>
      </c>
      <c r="AZ43" s="493">
        <f t="shared" si="73"/>
        <v>0</v>
      </c>
      <c r="BA43" s="493">
        <f t="shared" si="73"/>
        <v>0</v>
      </c>
      <c r="BB43" s="493">
        <f t="shared" si="73"/>
        <v>0</v>
      </c>
      <c r="BC43" s="493">
        <f t="shared" si="73"/>
        <v>0</v>
      </c>
      <c r="BD43" s="493">
        <f t="shared" si="73"/>
        <v>0</v>
      </c>
      <c r="BE43" s="493">
        <f t="shared" si="73"/>
        <v>0</v>
      </c>
      <c r="BF43" s="493">
        <f t="shared" si="73"/>
        <v>0</v>
      </c>
      <c r="BG43" s="493">
        <f t="shared" si="73"/>
        <v>0</v>
      </c>
      <c r="BH43" s="493">
        <f t="shared" si="73"/>
        <v>29</v>
      </c>
      <c r="BI43" s="493">
        <f t="shared" si="73"/>
        <v>7850000</v>
      </c>
      <c r="BJ43" s="493">
        <f t="shared" si="20"/>
        <v>29</v>
      </c>
      <c r="BK43" s="493">
        <f t="shared" si="20"/>
        <v>7850000</v>
      </c>
      <c r="BL43" s="259"/>
      <c r="BN43" s="488">
        <f t="shared" ref="BN43:BU43" si="74">SUM(BN38:BN42)</f>
        <v>0</v>
      </c>
      <c r="BO43" s="488">
        <f t="shared" si="74"/>
        <v>0</v>
      </c>
      <c r="BP43" s="488">
        <f t="shared" si="74"/>
        <v>7850000</v>
      </c>
      <c r="BQ43" s="488">
        <f t="shared" si="74"/>
        <v>0</v>
      </c>
      <c r="BR43" s="488">
        <f t="shared" si="74"/>
        <v>7850000</v>
      </c>
      <c r="BS43" s="488">
        <f t="shared" si="74"/>
        <v>0</v>
      </c>
      <c r="BT43" s="488">
        <f t="shared" si="74"/>
        <v>0</v>
      </c>
      <c r="BU43" s="488">
        <f t="shared" si="74"/>
        <v>0</v>
      </c>
      <c r="BV43" s="489">
        <f t="shared" si="1"/>
        <v>7850000</v>
      </c>
    </row>
    <row r="44" spans="1:74" x14ac:dyDescent="0.25">
      <c r="A44" s="954"/>
      <c r="B44" s="38">
        <v>23600</v>
      </c>
      <c r="C44" s="484" t="s">
        <v>196</v>
      </c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73">
        <v>0</v>
      </c>
      <c r="AA44" s="156">
        <f t="shared" si="2"/>
        <v>0</v>
      </c>
      <c r="AB44" s="373">
        <v>0</v>
      </c>
      <c r="AC44" s="156">
        <f t="shared" si="3"/>
        <v>0</v>
      </c>
      <c r="AD44" s="373">
        <v>0</v>
      </c>
      <c r="AE44" s="156">
        <f t="shared" si="4"/>
        <v>0</v>
      </c>
      <c r="AF44" s="373">
        <v>0</v>
      </c>
      <c r="AG44" s="156">
        <f t="shared" si="5"/>
        <v>0</v>
      </c>
      <c r="AH44" s="399"/>
      <c r="AI44" s="156">
        <f t="shared" si="6"/>
        <v>0</v>
      </c>
      <c r="AJ44" s="399"/>
      <c r="AK44" s="156">
        <f t="shared" si="7"/>
        <v>0</v>
      </c>
      <c r="AL44" s="399"/>
      <c r="AM44" s="156">
        <f t="shared" si="8"/>
        <v>0</v>
      </c>
      <c r="AN44" s="399"/>
      <c r="AO44" s="156">
        <f t="shared" si="9"/>
        <v>0</v>
      </c>
      <c r="AP44" s="399"/>
      <c r="AQ44" s="156">
        <f t="shared" si="10"/>
        <v>0</v>
      </c>
      <c r="AR44" s="399"/>
      <c r="AS44" s="156">
        <f t="shared" si="11"/>
        <v>0</v>
      </c>
      <c r="AT44" s="399"/>
      <c r="AU44" s="156">
        <f t="shared" si="12"/>
        <v>0</v>
      </c>
      <c r="AV44" s="399"/>
      <c r="AW44" s="156">
        <f t="shared" si="13"/>
        <v>0</v>
      </c>
      <c r="AX44" s="399"/>
      <c r="AY44" s="156">
        <f t="shared" si="14"/>
        <v>0</v>
      </c>
      <c r="AZ44" s="399"/>
      <c r="BA44" s="156">
        <f t="shared" si="15"/>
        <v>0</v>
      </c>
      <c r="BB44" s="399"/>
      <c r="BC44" s="156">
        <f t="shared" si="16"/>
        <v>0</v>
      </c>
      <c r="BD44" s="399"/>
      <c r="BE44" s="156">
        <f t="shared" si="17"/>
        <v>0</v>
      </c>
      <c r="BF44" s="399"/>
      <c r="BG44" s="156">
        <f t="shared" si="18"/>
        <v>0</v>
      </c>
      <c r="BH44" s="399"/>
      <c r="BI44" s="156">
        <f t="shared" si="19"/>
        <v>0</v>
      </c>
      <c r="BJ44" s="373">
        <f t="shared" si="20"/>
        <v>0</v>
      </c>
      <c r="BK44" s="156">
        <f t="shared" si="21"/>
        <v>0</v>
      </c>
      <c r="BL44" s="38"/>
      <c r="BN44" s="375"/>
      <c r="BO44" s="375"/>
      <c r="BP44" s="375"/>
      <c r="BQ44" s="375"/>
      <c r="BR44" s="375"/>
      <c r="BS44" s="375"/>
      <c r="BT44" s="375"/>
      <c r="BU44" s="375"/>
      <c r="BV44" s="377">
        <f t="shared" si="1"/>
        <v>0</v>
      </c>
    </row>
    <row r="45" spans="1:74" ht="31.5" x14ac:dyDescent="0.25">
      <c r="A45" s="954"/>
      <c r="B45" s="38">
        <v>23610</v>
      </c>
      <c r="C45" s="38" t="s">
        <v>834</v>
      </c>
      <c r="D45" s="38" t="s">
        <v>197</v>
      </c>
      <c r="E45" s="365">
        <f>3*100000</f>
        <v>300000</v>
      </c>
      <c r="F45" s="38">
        <f>BJ45</f>
        <v>24</v>
      </c>
      <c r="G45" s="485">
        <f>BK45</f>
        <v>7200000</v>
      </c>
      <c r="H45" s="485">
        <f>G45*0.2</f>
        <v>1440000</v>
      </c>
      <c r="I45" s="485">
        <f>G45*0.8</f>
        <v>5760000</v>
      </c>
      <c r="J45" s="485">
        <f>G45*0</f>
        <v>0</v>
      </c>
      <c r="K45" s="485">
        <f>G45*0</f>
        <v>0</v>
      </c>
      <c r="L45" s="485">
        <f>G45*0</f>
        <v>0</v>
      </c>
      <c r="M45" s="485">
        <f>G45*0</f>
        <v>0</v>
      </c>
      <c r="N45" s="485">
        <f>G45*0</f>
        <v>0</v>
      </c>
      <c r="O45" s="76">
        <f>G45*0</f>
        <v>0</v>
      </c>
      <c r="P45" s="76">
        <f>G45*0</f>
        <v>0</v>
      </c>
      <c r="Q45" s="76">
        <f>G45*0</f>
        <v>0</v>
      </c>
      <c r="R45" s="54">
        <v>4</v>
      </c>
      <c r="S45" s="54">
        <v>10</v>
      </c>
      <c r="T45" s="54">
        <v>10</v>
      </c>
      <c r="U45" s="54"/>
      <c r="V45" s="486">
        <f>R45*E45</f>
        <v>1200000</v>
      </c>
      <c r="W45" s="486">
        <f>S45*E45</f>
        <v>3000000</v>
      </c>
      <c r="X45" s="486">
        <f>T45*E45</f>
        <v>3000000</v>
      </c>
      <c r="Y45" s="486">
        <f>U45*E45</f>
        <v>0</v>
      </c>
      <c r="Z45" s="373">
        <v>1</v>
      </c>
      <c r="AA45" s="156">
        <f t="shared" si="2"/>
        <v>300000</v>
      </c>
      <c r="AB45" s="373">
        <v>0</v>
      </c>
      <c r="AC45" s="156">
        <f t="shared" si="3"/>
        <v>0</v>
      </c>
      <c r="AD45" s="373">
        <v>2</v>
      </c>
      <c r="AE45" s="156">
        <f t="shared" si="4"/>
        <v>600000</v>
      </c>
      <c r="AF45" s="373">
        <v>2</v>
      </c>
      <c r="AG45" s="156">
        <f t="shared" si="5"/>
        <v>600000</v>
      </c>
      <c r="AH45" s="373">
        <v>1</v>
      </c>
      <c r="AI45" s="156">
        <f t="shared" si="6"/>
        <v>300000</v>
      </c>
      <c r="AJ45" s="373">
        <v>1</v>
      </c>
      <c r="AK45" s="156">
        <f t="shared" si="7"/>
        <v>300000</v>
      </c>
      <c r="AL45" s="373">
        <v>2</v>
      </c>
      <c r="AM45" s="156">
        <f t="shared" si="8"/>
        <v>600000</v>
      </c>
      <c r="AN45" s="373">
        <v>1</v>
      </c>
      <c r="AO45" s="156">
        <f t="shared" si="9"/>
        <v>300000</v>
      </c>
      <c r="AP45" s="373">
        <v>1</v>
      </c>
      <c r="AQ45" s="156">
        <f t="shared" si="10"/>
        <v>300000</v>
      </c>
      <c r="AR45" s="373">
        <v>1</v>
      </c>
      <c r="AS45" s="156">
        <f t="shared" si="11"/>
        <v>300000</v>
      </c>
      <c r="AT45" s="373">
        <v>0</v>
      </c>
      <c r="AU45" s="156">
        <f t="shared" si="12"/>
        <v>0</v>
      </c>
      <c r="AV45" s="373">
        <v>2</v>
      </c>
      <c r="AW45" s="156">
        <f t="shared" si="13"/>
        <v>600000</v>
      </c>
      <c r="AX45" s="373">
        <v>1</v>
      </c>
      <c r="AY45" s="156">
        <f t="shared" si="14"/>
        <v>300000</v>
      </c>
      <c r="AZ45" s="373">
        <v>3</v>
      </c>
      <c r="BA45" s="156">
        <f t="shared" si="15"/>
        <v>900000</v>
      </c>
      <c r="BB45" s="373">
        <v>1</v>
      </c>
      <c r="BC45" s="156">
        <f t="shared" si="16"/>
        <v>300000</v>
      </c>
      <c r="BD45" s="373">
        <v>3</v>
      </c>
      <c r="BE45" s="156">
        <f t="shared" si="17"/>
        <v>900000</v>
      </c>
      <c r="BF45" s="373">
        <v>2</v>
      </c>
      <c r="BG45" s="156">
        <f t="shared" si="18"/>
        <v>600000</v>
      </c>
      <c r="BH45" s="373">
        <v>0</v>
      </c>
      <c r="BI45" s="156">
        <f t="shared" si="19"/>
        <v>0</v>
      </c>
      <c r="BJ45" s="373">
        <f t="shared" si="20"/>
        <v>24</v>
      </c>
      <c r="BK45" s="156">
        <f t="shared" si="21"/>
        <v>7200000</v>
      </c>
      <c r="BL45" s="328" t="s">
        <v>467</v>
      </c>
      <c r="BN45" s="375"/>
      <c r="BO45" s="375"/>
      <c r="BP45" s="375">
        <f>G45</f>
        <v>7200000</v>
      </c>
      <c r="BQ45" s="375"/>
      <c r="BR45" s="375">
        <f>BN45+BO45+BP45+BQ45</f>
        <v>7200000</v>
      </c>
      <c r="BS45" s="375"/>
      <c r="BT45" s="375"/>
      <c r="BU45" s="375">
        <f>BS45+BT45</f>
        <v>0</v>
      </c>
      <c r="BV45" s="377">
        <f t="shared" si="1"/>
        <v>7200000</v>
      </c>
    </row>
    <row r="46" spans="1:74" ht="47.25" x14ac:dyDescent="0.25">
      <c r="A46" s="954"/>
      <c r="B46" s="38">
        <v>23620</v>
      </c>
      <c r="C46" s="38" t="s">
        <v>843</v>
      </c>
      <c r="D46" s="38" t="s">
        <v>189</v>
      </c>
      <c r="E46" s="178">
        <f>30*100000</f>
        <v>3000000</v>
      </c>
      <c r="F46" s="38">
        <f>BJ46</f>
        <v>17</v>
      </c>
      <c r="G46" s="485">
        <f>BK46</f>
        <v>50200000</v>
      </c>
      <c r="H46" s="485">
        <f>G46*0</f>
        <v>0</v>
      </c>
      <c r="I46" s="485">
        <f>G46*0.8</f>
        <v>40160000</v>
      </c>
      <c r="J46" s="485">
        <f>G46*0</f>
        <v>0</v>
      </c>
      <c r="K46" s="485">
        <f>G46*0</f>
        <v>0</v>
      </c>
      <c r="L46" s="485">
        <f>G46*0</f>
        <v>0</v>
      </c>
      <c r="M46" s="485">
        <f>G46*0</f>
        <v>0</v>
      </c>
      <c r="N46" s="485">
        <f>G46*0</f>
        <v>0</v>
      </c>
      <c r="O46" s="76">
        <f>G46*0</f>
        <v>0</v>
      </c>
      <c r="P46" s="76">
        <f>G46*0</f>
        <v>0</v>
      </c>
      <c r="Q46" s="76">
        <f>G46*0.2</f>
        <v>10040000</v>
      </c>
      <c r="R46" s="54"/>
      <c r="S46" s="54"/>
      <c r="T46" s="54">
        <f>F46*0.6</f>
        <v>10.199999999999999</v>
      </c>
      <c r="U46" s="54">
        <f>F46*0.4</f>
        <v>6.8000000000000007</v>
      </c>
      <c r="V46" s="486">
        <f>R46*E46</f>
        <v>0</v>
      </c>
      <c r="W46" s="486">
        <f>S46*E46</f>
        <v>0</v>
      </c>
      <c r="X46" s="486">
        <f>T46*E46</f>
        <v>30599999.999999996</v>
      </c>
      <c r="Y46" s="486">
        <f>U46*E46</f>
        <v>20400000.000000004</v>
      </c>
      <c r="Z46" s="373">
        <v>1</v>
      </c>
      <c r="AA46" s="156">
        <f t="shared" si="2"/>
        <v>3000000</v>
      </c>
      <c r="AB46" s="373">
        <v>1</v>
      </c>
      <c r="AC46" s="156">
        <f t="shared" si="3"/>
        <v>3000000</v>
      </c>
      <c r="AD46" s="373">
        <v>1</v>
      </c>
      <c r="AE46" s="156">
        <f t="shared" si="4"/>
        <v>3000000</v>
      </c>
      <c r="AF46" s="373">
        <v>1</v>
      </c>
      <c r="AG46" s="156">
        <f t="shared" si="5"/>
        <v>3000000</v>
      </c>
      <c r="AH46" s="373">
        <v>1</v>
      </c>
      <c r="AI46" s="156">
        <f t="shared" si="6"/>
        <v>3000000</v>
      </c>
      <c r="AJ46" s="373">
        <v>1</v>
      </c>
      <c r="AK46" s="156">
        <f t="shared" si="7"/>
        <v>3000000</v>
      </c>
      <c r="AL46" s="373">
        <v>1</v>
      </c>
      <c r="AM46" s="156">
        <f t="shared" si="8"/>
        <v>3000000</v>
      </c>
      <c r="AN46" s="373">
        <v>1</v>
      </c>
      <c r="AO46" s="156">
        <f t="shared" si="9"/>
        <v>3000000</v>
      </c>
      <c r="AP46" s="373">
        <v>1</v>
      </c>
      <c r="AQ46" s="156">
        <f t="shared" si="10"/>
        <v>3000000</v>
      </c>
      <c r="AR46" s="373">
        <v>1</v>
      </c>
      <c r="AS46" s="156">
        <f t="shared" si="11"/>
        <v>3000000</v>
      </c>
      <c r="AT46" s="373">
        <v>1</v>
      </c>
      <c r="AU46" s="156">
        <f t="shared" si="12"/>
        <v>3000000</v>
      </c>
      <c r="AV46" s="373">
        <v>1</v>
      </c>
      <c r="AW46" s="156">
        <f t="shared" si="13"/>
        <v>3000000</v>
      </c>
      <c r="AX46" s="373">
        <v>1</v>
      </c>
      <c r="AY46" s="156">
        <f t="shared" si="14"/>
        <v>3000000</v>
      </c>
      <c r="AZ46" s="373">
        <v>1</v>
      </c>
      <c r="BA46" s="156">
        <f t="shared" si="15"/>
        <v>3000000</v>
      </c>
      <c r="BB46" s="373">
        <v>1</v>
      </c>
      <c r="BC46" s="156">
        <f t="shared" si="16"/>
        <v>3000000</v>
      </c>
      <c r="BD46" s="373">
        <v>1</v>
      </c>
      <c r="BE46" s="156">
        <v>2200000</v>
      </c>
      <c r="BF46" s="373">
        <v>1</v>
      </c>
      <c r="BG46" s="156">
        <f t="shared" si="18"/>
        <v>3000000</v>
      </c>
      <c r="BH46" s="373">
        <v>0</v>
      </c>
      <c r="BI46" s="156">
        <f t="shared" si="19"/>
        <v>0</v>
      </c>
      <c r="BJ46" s="373">
        <f t="shared" si="20"/>
        <v>17</v>
      </c>
      <c r="BK46" s="156">
        <f t="shared" si="21"/>
        <v>50200000</v>
      </c>
      <c r="BL46" s="328" t="s">
        <v>467</v>
      </c>
      <c r="BN46" s="375">
        <f>G46</f>
        <v>50200000</v>
      </c>
      <c r="BO46" s="375"/>
      <c r="BP46" s="375"/>
      <c r="BQ46" s="375"/>
      <c r="BR46" s="375">
        <f>BN46+BO46+BP46+BQ46</f>
        <v>50200000</v>
      </c>
      <c r="BS46" s="375"/>
      <c r="BT46" s="375"/>
      <c r="BU46" s="375">
        <f>BS46+BT46</f>
        <v>0</v>
      </c>
      <c r="BV46" s="377">
        <f t="shared" si="1"/>
        <v>50200000</v>
      </c>
    </row>
    <row r="47" spans="1:74" s="269" customFormat="1" x14ac:dyDescent="0.25">
      <c r="A47" s="954"/>
      <c r="B47" s="391"/>
      <c r="C47" s="391"/>
      <c r="D47" s="391"/>
      <c r="E47" s="391"/>
      <c r="F47" s="391">
        <f>SUM(F45:F46)</f>
        <v>41</v>
      </c>
      <c r="G47" s="491">
        <f>SUM(G45:G46)</f>
        <v>57400000</v>
      </c>
      <c r="H47" s="491">
        <f t="shared" ref="H47:Q47" si="75">SUM(H45:H46)</f>
        <v>1440000</v>
      </c>
      <c r="I47" s="491">
        <f t="shared" si="75"/>
        <v>45920000</v>
      </c>
      <c r="J47" s="491">
        <f t="shared" si="75"/>
        <v>0</v>
      </c>
      <c r="K47" s="491">
        <f t="shared" si="75"/>
        <v>0</v>
      </c>
      <c r="L47" s="491">
        <f t="shared" si="75"/>
        <v>0</v>
      </c>
      <c r="M47" s="491">
        <f t="shared" si="75"/>
        <v>0</v>
      </c>
      <c r="N47" s="491">
        <f t="shared" si="75"/>
        <v>0</v>
      </c>
      <c r="O47" s="491">
        <f t="shared" si="75"/>
        <v>0</v>
      </c>
      <c r="P47" s="491">
        <f t="shared" si="75"/>
        <v>0</v>
      </c>
      <c r="Q47" s="491">
        <f t="shared" si="75"/>
        <v>10040000</v>
      </c>
      <c r="R47" s="391">
        <f t="shared" ref="R47:Y47" si="76">SUM(R45:R46)</f>
        <v>4</v>
      </c>
      <c r="S47" s="391">
        <f t="shared" si="76"/>
        <v>10</v>
      </c>
      <c r="T47" s="391">
        <f t="shared" si="76"/>
        <v>20.2</v>
      </c>
      <c r="U47" s="391">
        <f t="shared" si="76"/>
        <v>6.8000000000000007</v>
      </c>
      <c r="V47" s="491">
        <f t="shared" si="76"/>
        <v>1200000</v>
      </c>
      <c r="W47" s="491">
        <f t="shared" si="76"/>
        <v>3000000</v>
      </c>
      <c r="X47" s="491">
        <f t="shared" si="76"/>
        <v>33600000</v>
      </c>
      <c r="Y47" s="491">
        <f t="shared" si="76"/>
        <v>20400000.000000004</v>
      </c>
      <c r="Z47" s="280">
        <f>SUM(Z44:Z46)</f>
        <v>2</v>
      </c>
      <c r="AA47" s="280">
        <f t="shared" ref="AA47:BI47" si="77">SUM(AA44:AA46)</f>
        <v>3300000</v>
      </c>
      <c r="AB47" s="280">
        <f t="shared" si="77"/>
        <v>1</v>
      </c>
      <c r="AC47" s="280">
        <f t="shared" si="77"/>
        <v>3000000</v>
      </c>
      <c r="AD47" s="280">
        <f t="shared" si="77"/>
        <v>3</v>
      </c>
      <c r="AE47" s="280">
        <f t="shared" si="77"/>
        <v>3600000</v>
      </c>
      <c r="AF47" s="280">
        <f t="shared" si="77"/>
        <v>3</v>
      </c>
      <c r="AG47" s="280">
        <f t="shared" si="77"/>
        <v>3600000</v>
      </c>
      <c r="AH47" s="280">
        <f t="shared" si="77"/>
        <v>2</v>
      </c>
      <c r="AI47" s="280">
        <f t="shared" si="77"/>
        <v>3300000</v>
      </c>
      <c r="AJ47" s="280">
        <f t="shared" si="77"/>
        <v>2</v>
      </c>
      <c r="AK47" s="280">
        <f t="shared" si="77"/>
        <v>3300000</v>
      </c>
      <c r="AL47" s="280">
        <f t="shared" si="77"/>
        <v>3</v>
      </c>
      <c r="AM47" s="280">
        <f t="shared" si="77"/>
        <v>3600000</v>
      </c>
      <c r="AN47" s="280">
        <f t="shared" si="77"/>
        <v>2</v>
      </c>
      <c r="AO47" s="280">
        <f t="shared" si="77"/>
        <v>3300000</v>
      </c>
      <c r="AP47" s="280">
        <f t="shared" si="77"/>
        <v>2</v>
      </c>
      <c r="AQ47" s="280">
        <f t="shared" si="77"/>
        <v>3300000</v>
      </c>
      <c r="AR47" s="280">
        <f t="shared" si="77"/>
        <v>2</v>
      </c>
      <c r="AS47" s="280">
        <f t="shared" si="77"/>
        <v>3300000</v>
      </c>
      <c r="AT47" s="280">
        <f t="shared" si="77"/>
        <v>1</v>
      </c>
      <c r="AU47" s="280">
        <f t="shared" si="77"/>
        <v>3000000</v>
      </c>
      <c r="AV47" s="280">
        <f t="shared" si="77"/>
        <v>3</v>
      </c>
      <c r="AW47" s="280">
        <f t="shared" si="77"/>
        <v>3600000</v>
      </c>
      <c r="AX47" s="280">
        <f t="shared" si="77"/>
        <v>2</v>
      </c>
      <c r="AY47" s="280">
        <f t="shared" si="77"/>
        <v>3300000</v>
      </c>
      <c r="AZ47" s="280">
        <f t="shared" si="77"/>
        <v>4</v>
      </c>
      <c r="BA47" s="280">
        <f t="shared" si="77"/>
        <v>3900000</v>
      </c>
      <c r="BB47" s="280">
        <f t="shared" si="77"/>
        <v>2</v>
      </c>
      <c r="BC47" s="280">
        <f t="shared" si="77"/>
        <v>3300000</v>
      </c>
      <c r="BD47" s="280">
        <f t="shared" si="77"/>
        <v>4</v>
      </c>
      <c r="BE47" s="280">
        <f t="shared" si="77"/>
        <v>3100000</v>
      </c>
      <c r="BF47" s="280">
        <f t="shared" si="77"/>
        <v>3</v>
      </c>
      <c r="BG47" s="280">
        <f t="shared" si="77"/>
        <v>3600000</v>
      </c>
      <c r="BH47" s="280">
        <f t="shared" si="77"/>
        <v>0</v>
      </c>
      <c r="BI47" s="280">
        <f t="shared" si="77"/>
        <v>0</v>
      </c>
      <c r="BJ47" s="280">
        <f t="shared" si="20"/>
        <v>41</v>
      </c>
      <c r="BK47" s="280">
        <f t="shared" si="20"/>
        <v>57400000</v>
      </c>
      <c r="BL47" s="241"/>
      <c r="BN47" s="488">
        <f t="shared" ref="BN47:BU47" si="78">SUM(BN45:BN46)</f>
        <v>50200000</v>
      </c>
      <c r="BO47" s="488">
        <f t="shared" si="78"/>
        <v>0</v>
      </c>
      <c r="BP47" s="488">
        <f t="shared" si="78"/>
        <v>7200000</v>
      </c>
      <c r="BQ47" s="488">
        <f t="shared" si="78"/>
        <v>0</v>
      </c>
      <c r="BR47" s="488">
        <f t="shared" si="78"/>
        <v>57400000</v>
      </c>
      <c r="BS47" s="488">
        <f t="shared" si="78"/>
        <v>0</v>
      </c>
      <c r="BT47" s="488">
        <f t="shared" si="78"/>
        <v>0</v>
      </c>
      <c r="BU47" s="488">
        <f t="shared" si="78"/>
        <v>0</v>
      </c>
      <c r="BV47" s="489">
        <f t="shared" si="1"/>
        <v>57400000</v>
      </c>
    </row>
    <row r="48" spans="1:74" x14ac:dyDescent="0.25">
      <c r="A48" s="954"/>
      <c r="B48" s="38">
        <v>23700</v>
      </c>
      <c r="C48" s="38" t="s">
        <v>198</v>
      </c>
      <c r="D48" s="38" t="s">
        <v>120</v>
      </c>
      <c r="E48" s="365">
        <f>0.3*100000</f>
        <v>30000</v>
      </c>
      <c r="F48" s="38">
        <f>BJ48</f>
        <v>150</v>
      </c>
      <c r="G48" s="485">
        <f>E48*F48</f>
        <v>4500000</v>
      </c>
      <c r="H48" s="485">
        <f>G48*0</f>
        <v>0</v>
      </c>
      <c r="I48" s="485">
        <f>G48*1</f>
        <v>4500000</v>
      </c>
      <c r="J48" s="485">
        <f>G48*0</f>
        <v>0</v>
      </c>
      <c r="K48" s="485">
        <f>G48*0</f>
        <v>0</v>
      </c>
      <c r="L48" s="485">
        <f>G48*0</f>
        <v>0</v>
      </c>
      <c r="M48" s="485">
        <f>G48*0</f>
        <v>0</v>
      </c>
      <c r="N48" s="485">
        <f>G48*0</f>
        <v>0</v>
      </c>
      <c r="O48" s="76">
        <f>G48*0</f>
        <v>0</v>
      </c>
      <c r="P48" s="76">
        <f>G48*0</f>
        <v>0</v>
      </c>
      <c r="Q48" s="76">
        <f>G48*0</f>
        <v>0</v>
      </c>
      <c r="R48" s="54"/>
      <c r="S48" s="54">
        <f>F48*0.6</f>
        <v>90</v>
      </c>
      <c r="T48" s="54">
        <f>F48*0.2</f>
        <v>30</v>
      </c>
      <c r="U48" s="54">
        <f>F48*0.2</f>
        <v>30</v>
      </c>
      <c r="V48" s="486">
        <f>R48*E48</f>
        <v>0</v>
      </c>
      <c r="W48" s="486">
        <f>S48*E48</f>
        <v>2700000</v>
      </c>
      <c r="X48" s="486">
        <f>T48*E48</f>
        <v>900000</v>
      </c>
      <c r="Y48" s="486">
        <f>U48*E48</f>
        <v>900000</v>
      </c>
      <c r="Z48" s="373">
        <v>8</v>
      </c>
      <c r="AA48" s="156">
        <f t="shared" si="2"/>
        <v>240000</v>
      </c>
      <c r="AB48" s="373">
        <v>3</v>
      </c>
      <c r="AC48" s="156">
        <f t="shared" si="3"/>
        <v>90000</v>
      </c>
      <c r="AD48" s="373">
        <v>4</v>
      </c>
      <c r="AE48" s="156">
        <f t="shared" si="4"/>
        <v>120000</v>
      </c>
      <c r="AF48" s="373">
        <v>5</v>
      </c>
      <c r="AG48" s="156">
        <f t="shared" si="5"/>
        <v>150000</v>
      </c>
      <c r="AH48" s="373">
        <v>5</v>
      </c>
      <c r="AI48" s="156">
        <f t="shared" si="6"/>
        <v>150000</v>
      </c>
      <c r="AJ48" s="373">
        <v>6</v>
      </c>
      <c r="AK48" s="156">
        <f t="shared" si="7"/>
        <v>180000</v>
      </c>
      <c r="AL48" s="373">
        <v>25</v>
      </c>
      <c r="AM48" s="156">
        <f t="shared" si="8"/>
        <v>750000</v>
      </c>
      <c r="AN48" s="373">
        <v>8</v>
      </c>
      <c r="AO48" s="156">
        <f t="shared" si="9"/>
        <v>240000</v>
      </c>
      <c r="AP48" s="373">
        <v>5</v>
      </c>
      <c r="AQ48" s="156">
        <f t="shared" si="10"/>
        <v>150000</v>
      </c>
      <c r="AR48" s="373">
        <v>15</v>
      </c>
      <c r="AS48" s="156">
        <f t="shared" si="11"/>
        <v>450000</v>
      </c>
      <c r="AT48" s="373">
        <v>6</v>
      </c>
      <c r="AU48" s="156">
        <f t="shared" si="12"/>
        <v>180000</v>
      </c>
      <c r="AV48" s="373">
        <v>5</v>
      </c>
      <c r="AW48" s="156">
        <f t="shared" si="13"/>
        <v>150000</v>
      </c>
      <c r="AX48" s="373">
        <v>9</v>
      </c>
      <c r="AY48" s="156">
        <f t="shared" si="14"/>
        <v>270000</v>
      </c>
      <c r="AZ48" s="373">
        <v>19</v>
      </c>
      <c r="BA48" s="156">
        <f t="shared" si="15"/>
        <v>570000</v>
      </c>
      <c r="BB48" s="373">
        <v>10</v>
      </c>
      <c r="BC48" s="156">
        <f t="shared" si="16"/>
        <v>300000</v>
      </c>
      <c r="BD48" s="373">
        <v>11</v>
      </c>
      <c r="BE48" s="156">
        <f t="shared" si="17"/>
        <v>330000</v>
      </c>
      <c r="BF48" s="373">
        <v>6</v>
      </c>
      <c r="BG48" s="156">
        <f t="shared" si="18"/>
        <v>180000</v>
      </c>
      <c r="BH48" s="373"/>
      <c r="BI48" s="156">
        <f t="shared" si="19"/>
        <v>0</v>
      </c>
      <c r="BJ48" s="373">
        <f t="shared" si="20"/>
        <v>150</v>
      </c>
      <c r="BK48" s="156">
        <f t="shared" si="21"/>
        <v>4500000</v>
      </c>
      <c r="BL48" s="328" t="s">
        <v>469</v>
      </c>
      <c r="BN48" s="375"/>
      <c r="BO48" s="375">
        <f>G48</f>
        <v>4500000</v>
      </c>
      <c r="BP48" s="375"/>
      <c r="BQ48" s="375"/>
      <c r="BR48" s="375">
        <f>BN48+BO48+BP48+BQ48</f>
        <v>4500000</v>
      </c>
      <c r="BS48" s="375"/>
      <c r="BT48" s="375"/>
      <c r="BU48" s="375">
        <f>BS48+BT48</f>
        <v>0</v>
      </c>
      <c r="BV48" s="377">
        <f t="shared" si="1"/>
        <v>4500000</v>
      </c>
    </row>
    <row r="49" spans="1:74" s="269" customFormat="1" x14ac:dyDescent="0.25">
      <c r="A49" s="954"/>
      <c r="B49" s="391"/>
      <c r="C49" s="391"/>
      <c r="D49" s="391"/>
      <c r="E49" s="391"/>
      <c r="F49" s="241">
        <f>F48</f>
        <v>150</v>
      </c>
      <c r="G49" s="491">
        <f>SUM(G48)</f>
        <v>4500000</v>
      </c>
      <c r="H49" s="491">
        <f t="shared" ref="H49:Q49" si="79">SUM(H48)</f>
        <v>0</v>
      </c>
      <c r="I49" s="491">
        <f t="shared" si="79"/>
        <v>4500000</v>
      </c>
      <c r="J49" s="491">
        <f t="shared" si="79"/>
        <v>0</v>
      </c>
      <c r="K49" s="491">
        <f t="shared" si="79"/>
        <v>0</v>
      </c>
      <c r="L49" s="491">
        <f t="shared" si="79"/>
        <v>0</v>
      </c>
      <c r="M49" s="491">
        <f t="shared" si="79"/>
        <v>0</v>
      </c>
      <c r="N49" s="491">
        <f t="shared" si="79"/>
        <v>0</v>
      </c>
      <c r="O49" s="491">
        <f t="shared" si="79"/>
        <v>0</v>
      </c>
      <c r="P49" s="491">
        <f t="shared" si="79"/>
        <v>0</v>
      </c>
      <c r="Q49" s="491">
        <f t="shared" si="79"/>
        <v>0</v>
      </c>
      <c r="R49" s="391">
        <f t="shared" ref="R49:Y49" si="80">SUM(R48)</f>
        <v>0</v>
      </c>
      <c r="S49" s="391">
        <f t="shared" si="80"/>
        <v>90</v>
      </c>
      <c r="T49" s="391">
        <f t="shared" si="80"/>
        <v>30</v>
      </c>
      <c r="U49" s="391">
        <f t="shared" si="80"/>
        <v>30</v>
      </c>
      <c r="V49" s="491">
        <f t="shared" si="80"/>
        <v>0</v>
      </c>
      <c r="W49" s="491">
        <f t="shared" si="80"/>
        <v>2700000</v>
      </c>
      <c r="X49" s="491">
        <f t="shared" si="80"/>
        <v>900000</v>
      </c>
      <c r="Y49" s="491">
        <f t="shared" si="80"/>
        <v>900000</v>
      </c>
      <c r="Z49" s="280">
        <f>Z48</f>
        <v>8</v>
      </c>
      <c r="AA49" s="280">
        <f t="shared" ref="AA49:BI49" si="81">AA48</f>
        <v>240000</v>
      </c>
      <c r="AB49" s="280">
        <f t="shared" si="81"/>
        <v>3</v>
      </c>
      <c r="AC49" s="280">
        <f t="shared" si="81"/>
        <v>90000</v>
      </c>
      <c r="AD49" s="280">
        <f t="shared" si="81"/>
        <v>4</v>
      </c>
      <c r="AE49" s="280">
        <f t="shared" si="81"/>
        <v>120000</v>
      </c>
      <c r="AF49" s="280">
        <f t="shared" si="81"/>
        <v>5</v>
      </c>
      <c r="AG49" s="280">
        <f t="shared" si="81"/>
        <v>150000</v>
      </c>
      <c r="AH49" s="280">
        <f t="shared" si="81"/>
        <v>5</v>
      </c>
      <c r="AI49" s="280">
        <f t="shared" si="81"/>
        <v>150000</v>
      </c>
      <c r="AJ49" s="280">
        <f t="shared" si="81"/>
        <v>6</v>
      </c>
      <c r="AK49" s="280">
        <f t="shared" si="81"/>
        <v>180000</v>
      </c>
      <c r="AL49" s="280">
        <f t="shared" si="81"/>
        <v>25</v>
      </c>
      <c r="AM49" s="280">
        <f t="shared" si="81"/>
        <v>750000</v>
      </c>
      <c r="AN49" s="280">
        <f t="shared" si="81"/>
        <v>8</v>
      </c>
      <c r="AO49" s="280">
        <f t="shared" si="81"/>
        <v>240000</v>
      </c>
      <c r="AP49" s="280">
        <f t="shared" si="81"/>
        <v>5</v>
      </c>
      <c r="AQ49" s="280">
        <f t="shared" si="81"/>
        <v>150000</v>
      </c>
      <c r="AR49" s="280">
        <f t="shared" si="81"/>
        <v>15</v>
      </c>
      <c r="AS49" s="280">
        <f t="shared" si="81"/>
        <v>450000</v>
      </c>
      <c r="AT49" s="280">
        <f t="shared" si="81"/>
        <v>6</v>
      </c>
      <c r="AU49" s="280">
        <f t="shared" si="81"/>
        <v>180000</v>
      </c>
      <c r="AV49" s="280">
        <f t="shared" si="81"/>
        <v>5</v>
      </c>
      <c r="AW49" s="280">
        <f t="shared" si="81"/>
        <v>150000</v>
      </c>
      <c r="AX49" s="280">
        <f t="shared" si="81"/>
        <v>9</v>
      </c>
      <c r="AY49" s="280">
        <f t="shared" si="81"/>
        <v>270000</v>
      </c>
      <c r="AZ49" s="280">
        <f t="shared" si="81"/>
        <v>19</v>
      </c>
      <c r="BA49" s="280">
        <f t="shared" si="81"/>
        <v>570000</v>
      </c>
      <c r="BB49" s="280">
        <f t="shared" si="81"/>
        <v>10</v>
      </c>
      <c r="BC49" s="280">
        <f t="shared" si="81"/>
        <v>300000</v>
      </c>
      <c r="BD49" s="280">
        <f t="shared" si="81"/>
        <v>11</v>
      </c>
      <c r="BE49" s="280">
        <f t="shared" si="81"/>
        <v>330000</v>
      </c>
      <c r="BF49" s="280">
        <f t="shared" si="81"/>
        <v>6</v>
      </c>
      <c r="BG49" s="280">
        <f t="shared" si="81"/>
        <v>180000</v>
      </c>
      <c r="BH49" s="280">
        <f t="shared" si="81"/>
        <v>0</v>
      </c>
      <c r="BI49" s="280">
        <f t="shared" si="81"/>
        <v>0</v>
      </c>
      <c r="BJ49" s="280">
        <f t="shared" si="20"/>
        <v>150</v>
      </c>
      <c r="BK49" s="280">
        <f t="shared" si="20"/>
        <v>4500000</v>
      </c>
      <c r="BL49" s="241"/>
      <c r="BN49" s="488">
        <f t="shared" ref="BN49:BU49" si="82">SUM(BN48)</f>
        <v>0</v>
      </c>
      <c r="BO49" s="488">
        <f t="shared" si="82"/>
        <v>4500000</v>
      </c>
      <c r="BP49" s="488">
        <f t="shared" si="82"/>
        <v>0</v>
      </c>
      <c r="BQ49" s="488">
        <f t="shared" si="82"/>
        <v>0</v>
      </c>
      <c r="BR49" s="488">
        <f t="shared" si="82"/>
        <v>4500000</v>
      </c>
      <c r="BS49" s="488">
        <f t="shared" si="82"/>
        <v>0</v>
      </c>
      <c r="BT49" s="488">
        <f t="shared" si="82"/>
        <v>0</v>
      </c>
      <c r="BU49" s="488">
        <f t="shared" si="82"/>
        <v>0</v>
      </c>
      <c r="BV49" s="489">
        <f t="shared" si="1"/>
        <v>4500000</v>
      </c>
    </row>
    <row r="50" spans="1:74" s="648" customFormat="1" x14ac:dyDescent="0.25">
      <c r="A50" s="954"/>
      <c r="B50" s="644">
        <v>23800</v>
      </c>
      <c r="C50" s="683" t="s">
        <v>738</v>
      </c>
      <c r="D50" s="644" t="s">
        <v>208</v>
      </c>
      <c r="E50" s="751">
        <v>350000</v>
      </c>
      <c r="F50" s="652">
        <f t="shared" ref="F50:F56" si="83">BJ50</f>
        <v>5</v>
      </c>
      <c r="G50" s="651">
        <f t="shared" ref="G50:G57" si="84">E50*F50</f>
        <v>1750000</v>
      </c>
      <c r="H50" s="651">
        <f t="shared" ref="H50:H56" si="85">G50*0.1</f>
        <v>175000</v>
      </c>
      <c r="I50" s="651">
        <f t="shared" ref="I50:I56" si="86">G50*0.8</f>
        <v>1400000</v>
      </c>
      <c r="J50" s="646"/>
      <c r="K50" s="646"/>
      <c r="L50" s="646"/>
      <c r="M50" s="646"/>
      <c r="N50" s="646"/>
      <c r="O50" s="646"/>
      <c r="P50" s="651">
        <f t="shared" ref="P50:P57" si="87">G50*0.1</f>
        <v>175000</v>
      </c>
      <c r="Q50" s="653"/>
      <c r="R50" s="654">
        <v>0</v>
      </c>
      <c r="S50" s="655">
        <v>2</v>
      </c>
      <c r="T50" s="655">
        <v>3</v>
      </c>
      <c r="U50" s="655"/>
      <c r="V50" s="803">
        <f t="shared" ref="V50:V57" si="88">R50*E50</f>
        <v>0</v>
      </c>
      <c r="W50" s="803">
        <f t="shared" ref="W50:W57" si="89">S50*E50</f>
        <v>700000</v>
      </c>
      <c r="X50" s="803">
        <f t="shared" ref="X50:X56" si="90">T50*E50</f>
        <v>1050000</v>
      </c>
      <c r="Y50" s="803">
        <f t="shared" ref="Y50:Y56" si="91">U50*E50</f>
        <v>0</v>
      </c>
      <c r="Z50" s="647">
        <v>0</v>
      </c>
      <c r="AA50" s="656">
        <f t="shared" ref="AA50:AA57" si="92">Z50*E50</f>
        <v>0</v>
      </c>
      <c r="AB50" s="647">
        <v>0</v>
      </c>
      <c r="AC50" s="656">
        <f t="shared" ref="AC50:AC57" si="93">AB50*E50</f>
        <v>0</v>
      </c>
      <c r="AD50" s="647">
        <v>0</v>
      </c>
      <c r="AE50" s="656">
        <f t="shared" ref="AE50:AE57" si="94">AD50*E50</f>
        <v>0</v>
      </c>
      <c r="AF50" s="647">
        <v>0</v>
      </c>
      <c r="AG50" s="656">
        <f t="shared" ref="AG50:AG57" si="95">AF50*E50</f>
        <v>0</v>
      </c>
      <c r="AH50" s="647">
        <v>0</v>
      </c>
      <c r="AI50" s="656">
        <f t="shared" ref="AI50:AI57" si="96">AH50*E50</f>
        <v>0</v>
      </c>
      <c r="AJ50" s="647">
        <v>0</v>
      </c>
      <c r="AK50" s="656">
        <f t="shared" ref="AK50:AK57" si="97">AJ50*E50</f>
        <v>0</v>
      </c>
      <c r="AL50" s="647">
        <v>0</v>
      </c>
      <c r="AM50" s="656">
        <f t="shared" ref="AM50:AM57" si="98">AL50*E50</f>
        <v>0</v>
      </c>
      <c r="AN50" s="647">
        <v>1</v>
      </c>
      <c r="AO50" s="656">
        <v>350000</v>
      </c>
      <c r="AP50" s="647">
        <v>0</v>
      </c>
      <c r="AQ50" s="656">
        <f t="shared" ref="AQ50:AQ57" si="99">AP50*E50</f>
        <v>0</v>
      </c>
      <c r="AR50" s="647">
        <v>1</v>
      </c>
      <c r="AS50" s="656">
        <f t="shared" ref="AS50:AS57" si="100">AR50*E50</f>
        <v>350000</v>
      </c>
      <c r="AT50" s="647">
        <v>0</v>
      </c>
      <c r="AU50" s="656">
        <f t="shared" ref="AU50:AU57" si="101">AT50*E50</f>
        <v>0</v>
      </c>
      <c r="AV50" s="647">
        <v>1</v>
      </c>
      <c r="AW50" s="656">
        <f t="shared" ref="AW50:AW57" si="102">AV50*E50</f>
        <v>350000</v>
      </c>
      <c r="AX50" s="647">
        <v>0</v>
      </c>
      <c r="AY50" s="656">
        <f t="shared" ref="AY50:AY57" si="103">AX50*E50</f>
        <v>0</v>
      </c>
      <c r="AZ50" s="647">
        <v>0</v>
      </c>
      <c r="BA50" s="656">
        <f t="shared" ref="BA50:BA57" si="104">AZ50*E50</f>
        <v>0</v>
      </c>
      <c r="BB50" s="647">
        <v>1</v>
      </c>
      <c r="BC50" s="656">
        <f t="shared" ref="BC50:BC57" si="105">BB50*E50</f>
        <v>350000</v>
      </c>
      <c r="BD50" s="647">
        <v>1</v>
      </c>
      <c r="BE50" s="656">
        <f t="shared" ref="BE50:BE57" si="106">BD50*E50</f>
        <v>350000</v>
      </c>
      <c r="BF50" s="647">
        <v>0</v>
      </c>
      <c r="BG50" s="656">
        <f t="shared" ref="BG50:BG57" si="107">BF50*E50</f>
        <v>0</v>
      </c>
      <c r="BH50" s="647"/>
      <c r="BI50" s="656">
        <f t="shared" ref="BI50:BI57" si="108">BH50*E50</f>
        <v>0</v>
      </c>
      <c r="BJ50" s="647">
        <f t="shared" ref="BJ50:BK58" si="109">Z50+AB50+AD50+AF50+AH50+AJ50+AL50+AN50+AP50+AR50+AT50+AV50+AX50+AZ50+BB50+BD50+BF50+BH50</f>
        <v>5</v>
      </c>
      <c r="BK50" s="656">
        <f t="shared" si="109"/>
        <v>1750000</v>
      </c>
      <c r="BL50" s="645" t="s">
        <v>471</v>
      </c>
      <c r="BN50" s="784">
        <f t="shared" ref="BN50:BN57" si="110">G50</f>
        <v>1750000</v>
      </c>
      <c r="BO50" s="649"/>
      <c r="BP50" s="649"/>
      <c r="BQ50" s="649"/>
      <c r="BR50" s="784">
        <f t="shared" ref="BR50:BR57" si="111">BN50+BO50+BP50+BQ50</f>
        <v>1750000</v>
      </c>
      <c r="BS50" s="649"/>
      <c r="BT50" s="649"/>
      <c r="BU50" s="649"/>
      <c r="BV50" s="785">
        <f t="shared" si="1"/>
        <v>1750000</v>
      </c>
    </row>
    <row r="51" spans="1:74" s="648" customFormat="1" x14ac:dyDescent="0.25">
      <c r="A51" s="954"/>
      <c r="B51" s="644"/>
      <c r="C51" s="683" t="s">
        <v>669</v>
      </c>
      <c r="D51" s="644" t="s">
        <v>208</v>
      </c>
      <c r="E51" s="651">
        <v>1000000</v>
      </c>
      <c r="F51" s="652">
        <f t="shared" si="83"/>
        <v>12</v>
      </c>
      <c r="G51" s="651">
        <f t="shared" si="84"/>
        <v>12000000</v>
      </c>
      <c r="H51" s="651">
        <f t="shared" si="85"/>
        <v>1200000</v>
      </c>
      <c r="I51" s="651">
        <f t="shared" si="86"/>
        <v>9600000</v>
      </c>
      <c r="J51" s="646"/>
      <c r="K51" s="646"/>
      <c r="L51" s="646"/>
      <c r="M51" s="646"/>
      <c r="N51" s="646"/>
      <c r="O51" s="646"/>
      <c r="P51" s="651">
        <f t="shared" si="87"/>
        <v>1200000</v>
      </c>
      <c r="Q51" s="653"/>
      <c r="R51" s="654"/>
      <c r="S51" s="655">
        <v>6</v>
      </c>
      <c r="T51" s="655">
        <v>3</v>
      </c>
      <c r="U51" s="655">
        <v>3</v>
      </c>
      <c r="V51" s="803">
        <f t="shared" si="88"/>
        <v>0</v>
      </c>
      <c r="W51" s="803">
        <f t="shared" si="89"/>
        <v>6000000</v>
      </c>
      <c r="X51" s="803">
        <f t="shared" si="90"/>
        <v>3000000</v>
      </c>
      <c r="Y51" s="803">
        <f t="shared" si="91"/>
        <v>3000000</v>
      </c>
      <c r="Z51" s="647">
        <v>0</v>
      </c>
      <c r="AA51" s="656">
        <f t="shared" si="92"/>
        <v>0</v>
      </c>
      <c r="AB51" s="647">
        <v>1</v>
      </c>
      <c r="AC51" s="656">
        <f t="shared" si="93"/>
        <v>1000000</v>
      </c>
      <c r="AD51" s="647">
        <v>1</v>
      </c>
      <c r="AE51" s="656">
        <f t="shared" si="94"/>
        <v>1000000</v>
      </c>
      <c r="AF51" s="647">
        <v>1</v>
      </c>
      <c r="AG51" s="656">
        <f t="shared" si="95"/>
        <v>1000000</v>
      </c>
      <c r="AH51" s="647">
        <v>1</v>
      </c>
      <c r="AI51" s="656">
        <f t="shared" si="96"/>
        <v>1000000</v>
      </c>
      <c r="AJ51" s="647">
        <v>0</v>
      </c>
      <c r="AK51" s="656">
        <f t="shared" si="97"/>
        <v>0</v>
      </c>
      <c r="AL51" s="647">
        <v>1</v>
      </c>
      <c r="AM51" s="656">
        <f t="shared" si="98"/>
        <v>1000000</v>
      </c>
      <c r="AN51" s="647">
        <v>0</v>
      </c>
      <c r="AO51" s="656">
        <f t="shared" ref="AO51:AO57" si="112">AN51*E51</f>
        <v>0</v>
      </c>
      <c r="AP51" s="647">
        <v>0</v>
      </c>
      <c r="AQ51" s="656">
        <f t="shared" si="99"/>
        <v>0</v>
      </c>
      <c r="AR51" s="647">
        <v>1</v>
      </c>
      <c r="AS51" s="656">
        <f t="shared" si="100"/>
        <v>1000000</v>
      </c>
      <c r="AT51" s="647">
        <v>1</v>
      </c>
      <c r="AU51" s="656">
        <f t="shared" si="101"/>
        <v>1000000</v>
      </c>
      <c r="AV51" s="647">
        <v>1</v>
      </c>
      <c r="AW51" s="656">
        <f t="shared" si="102"/>
        <v>1000000</v>
      </c>
      <c r="AX51" s="647">
        <v>0</v>
      </c>
      <c r="AY51" s="656">
        <f t="shared" si="103"/>
        <v>0</v>
      </c>
      <c r="AZ51" s="647">
        <v>1</v>
      </c>
      <c r="BA51" s="656">
        <f t="shared" si="104"/>
        <v>1000000</v>
      </c>
      <c r="BB51" s="647">
        <v>1</v>
      </c>
      <c r="BC51" s="656">
        <f t="shared" si="105"/>
        <v>1000000</v>
      </c>
      <c r="BD51" s="647">
        <v>1</v>
      </c>
      <c r="BE51" s="656">
        <f t="shared" si="106"/>
        <v>1000000</v>
      </c>
      <c r="BF51" s="647">
        <v>1</v>
      </c>
      <c r="BG51" s="656">
        <f t="shared" si="107"/>
        <v>1000000</v>
      </c>
      <c r="BH51" s="647">
        <v>0</v>
      </c>
      <c r="BI51" s="656">
        <f t="shared" si="108"/>
        <v>0</v>
      </c>
      <c r="BJ51" s="647">
        <f t="shared" si="109"/>
        <v>12</v>
      </c>
      <c r="BK51" s="656">
        <f t="shared" si="109"/>
        <v>12000000</v>
      </c>
      <c r="BL51" s="645" t="s">
        <v>471</v>
      </c>
      <c r="BN51" s="784">
        <f t="shared" si="110"/>
        <v>12000000</v>
      </c>
      <c r="BO51" s="649"/>
      <c r="BP51" s="649"/>
      <c r="BQ51" s="649"/>
      <c r="BR51" s="784">
        <f t="shared" si="111"/>
        <v>12000000</v>
      </c>
      <c r="BS51" s="649"/>
      <c r="BT51" s="649"/>
      <c r="BU51" s="649"/>
      <c r="BV51" s="785">
        <f t="shared" si="1"/>
        <v>12000000</v>
      </c>
    </row>
    <row r="52" spans="1:74" s="648" customFormat="1" x14ac:dyDescent="0.25">
      <c r="A52" s="954"/>
      <c r="B52" s="644"/>
      <c r="C52" s="683" t="s">
        <v>671</v>
      </c>
      <c r="D52" s="644" t="s">
        <v>208</v>
      </c>
      <c r="E52" s="651">
        <v>10000</v>
      </c>
      <c r="F52" s="652">
        <f t="shared" si="83"/>
        <v>12</v>
      </c>
      <c r="G52" s="651">
        <f t="shared" si="84"/>
        <v>120000</v>
      </c>
      <c r="H52" s="651">
        <f t="shared" si="85"/>
        <v>12000</v>
      </c>
      <c r="I52" s="651">
        <f t="shared" si="86"/>
        <v>96000</v>
      </c>
      <c r="J52" s="646"/>
      <c r="K52" s="646"/>
      <c r="L52" s="646"/>
      <c r="M52" s="646"/>
      <c r="N52" s="646"/>
      <c r="O52" s="646"/>
      <c r="P52" s="651">
        <f t="shared" si="87"/>
        <v>12000</v>
      </c>
      <c r="Q52" s="653"/>
      <c r="R52" s="654"/>
      <c r="S52" s="655">
        <v>4</v>
      </c>
      <c r="T52" s="655">
        <f>F52*0.3</f>
        <v>3.5999999999999996</v>
      </c>
      <c r="U52" s="655">
        <f>F52*0.3</f>
        <v>3.5999999999999996</v>
      </c>
      <c r="V52" s="803">
        <f t="shared" si="88"/>
        <v>0</v>
      </c>
      <c r="W52" s="803">
        <f t="shared" si="89"/>
        <v>40000</v>
      </c>
      <c r="X52" s="803">
        <f t="shared" si="90"/>
        <v>36000</v>
      </c>
      <c r="Y52" s="803">
        <f t="shared" si="91"/>
        <v>36000</v>
      </c>
      <c r="Z52" s="647"/>
      <c r="AA52" s="656">
        <f t="shared" si="92"/>
        <v>0</v>
      </c>
      <c r="AB52" s="647"/>
      <c r="AC52" s="656">
        <f t="shared" si="93"/>
        <v>0</v>
      </c>
      <c r="AD52" s="647"/>
      <c r="AE52" s="656">
        <f t="shared" si="94"/>
        <v>0</v>
      </c>
      <c r="AF52" s="647"/>
      <c r="AG52" s="656">
        <f t="shared" si="95"/>
        <v>0</v>
      </c>
      <c r="AH52" s="647"/>
      <c r="AI52" s="656">
        <f t="shared" si="96"/>
        <v>0</v>
      </c>
      <c r="AJ52" s="647">
        <v>0</v>
      </c>
      <c r="AK52" s="656">
        <f t="shared" si="97"/>
        <v>0</v>
      </c>
      <c r="AL52" s="647"/>
      <c r="AM52" s="656">
        <f t="shared" si="98"/>
        <v>0</v>
      </c>
      <c r="AN52" s="647"/>
      <c r="AO52" s="656">
        <f t="shared" si="112"/>
        <v>0</v>
      </c>
      <c r="AP52" s="647"/>
      <c r="AQ52" s="656">
        <f t="shared" si="99"/>
        <v>0</v>
      </c>
      <c r="AR52" s="647"/>
      <c r="AS52" s="656">
        <f t="shared" si="100"/>
        <v>0</v>
      </c>
      <c r="AT52" s="647"/>
      <c r="AU52" s="656">
        <f t="shared" si="101"/>
        <v>0</v>
      </c>
      <c r="AV52" s="647">
        <v>10</v>
      </c>
      <c r="AW52" s="656">
        <f t="shared" si="102"/>
        <v>100000</v>
      </c>
      <c r="AX52" s="647">
        <v>2</v>
      </c>
      <c r="AY52" s="656">
        <f t="shared" si="103"/>
        <v>20000</v>
      </c>
      <c r="AZ52" s="647"/>
      <c r="BA52" s="656">
        <f t="shared" si="104"/>
        <v>0</v>
      </c>
      <c r="BB52" s="647"/>
      <c r="BC52" s="656">
        <f t="shared" si="105"/>
        <v>0</v>
      </c>
      <c r="BD52" s="647"/>
      <c r="BE52" s="656">
        <f t="shared" si="106"/>
        <v>0</v>
      </c>
      <c r="BF52" s="647"/>
      <c r="BG52" s="656">
        <f t="shared" si="107"/>
        <v>0</v>
      </c>
      <c r="BH52" s="647"/>
      <c r="BI52" s="656">
        <f t="shared" si="108"/>
        <v>0</v>
      </c>
      <c r="BJ52" s="647">
        <f t="shared" si="109"/>
        <v>12</v>
      </c>
      <c r="BK52" s="656">
        <f t="shared" si="109"/>
        <v>120000</v>
      </c>
      <c r="BL52" s="645" t="s">
        <v>471</v>
      </c>
      <c r="BN52" s="784">
        <f t="shared" si="110"/>
        <v>120000</v>
      </c>
      <c r="BO52" s="649"/>
      <c r="BP52" s="649"/>
      <c r="BQ52" s="649"/>
      <c r="BR52" s="784">
        <f t="shared" si="111"/>
        <v>120000</v>
      </c>
      <c r="BS52" s="649"/>
      <c r="BT52" s="649"/>
      <c r="BU52" s="649"/>
      <c r="BV52" s="785">
        <f t="shared" si="1"/>
        <v>120000</v>
      </c>
    </row>
    <row r="53" spans="1:74" s="648" customFormat="1" x14ac:dyDescent="0.25">
      <c r="A53" s="954"/>
      <c r="B53" s="644"/>
      <c r="C53" s="683" t="s">
        <v>672</v>
      </c>
      <c r="D53" s="644" t="s">
        <v>208</v>
      </c>
      <c r="E53" s="651">
        <v>2000</v>
      </c>
      <c r="F53" s="652">
        <f t="shared" si="83"/>
        <v>2</v>
      </c>
      <c r="G53" s="651">
        <f t="shared" si="84"/>
        <v>4000</v>
      </c>
      <c r="H53" s="651">
        <f t="shared" si="85"/>
        <v>400</v>
      </c>
      <c r="I53" s="651">
        <f t="shared" si="86"/>
        <v>3200</v>
      </c>
      <c r="J53" s="646"/>
      <c r="K53" s="646"/>
      <c r="L53" s="646"/>
      <c r="M53" s="646"/>
      <c r="N53" s="646"/>
      <c r="O53" s="646"/>
      <c r="P53" s="651">
        <f t="shared" si="87"/>
        <v>400</v>
      </c>
      <c r="Q53" s="653"/>
      <c r="R53" s="654"/>
      <c r="S53" s="655"/>
      <c r="T53" s="655">
        <f>F53*0.3</f>
        <v>0.6</v>
      </c>
      <c r="U53" s="655">
        <f>F53*0.3</f>
        <v>0.6</v>
      </c>
      <c r="V53" s="803">
        <f t="shared" si="88"/>
        <v>0</v>
      </c>
      <c r="W53" s="803">
        <f t="shared" si="89"/>
        <v>0</v>
      </c>
      <c r="X53" s="803">
        <f t="shared" si="90"/>
        <v>1200</v>
      </c>
      <c r="Y53" s="803">
        <f t="shared" si="91"/>
        <v>1200</v>
      </c>
      <c r="Z53" s="647"/>
      <c r="AA53" s="656">
        <f t="shared" si="92"/>
        <v>0</v>
      </c>
      <c r="AB53" s="647"/>
      <c r="AC53" s="656">
        <f t="shared" si="93"/>
        <v>0</v>
      </c>
      <c r="AD53" s="647"/>
      <c r="AE53" s="656">
        <f t="shared" si="94"/>
        <v>0</v>
      </c>
      <c r="AF53" s="647"/>
      <c r="AG53" s="656">
        <f t="shared" si="95"/>
        <v>0</v>
      </c>
      <c r="AH53" s="647"/>
      <c r="AI53" s="656">
        <f t="shared" si="96"/>
        <v>0</v>
      </c>
      <c r="AJ53" s="647">
        <v>0</v>
      </c>
      <c r="AK53" s="656">
        <f t="shared" si="97"/>
        <v>0</v>
      </c>
      <c r="AL53" s="647"/>
      <c r="AM53" s="656">
        <f t="shared" si="98"/>
        <v>0</v>
      </c>
      <c r="AN53" s="647"/>
      <c r="AO53" s="656">
        <f t="shared" si="112"/>
        <v>0</v>
      </c>
      <c r="AP53" s="647"/>
      <c r="AQ53" s="656">
        <f t="shared" si="99"/>
        <v>0</v>
      </c>
      <c r="AR53" s="647"/>
      <c r="AS53" s="656">
        <f t="shared" si="100"/>
        <v>0</v>
      </c>
      <c r="AT53" s="647"/>
      <c r="AU53" s="656">
        <f t="shared" si="101"/>
        <v>0</v>
      </c>
      <c r="AV53" s="647"/>
      <c r="AW53" s="656">
        <f t="shared" si="102"/>
        <v>0</v>
      </c>
      <c r="AX53" s="647">
        <v>2</v>
      </c>
      <c r="AY53" s="656">
        <f t="shared" si="103"/>
        <v>4000</v>
      </c>
      <c r="AZ53" s="647"/>
      <c r="BA53" s="656">
        <f t="shared" si="104"/>
        <v>0</v>
      </c>
      <c r="BB53" s="647"/>
      <c r="BC53" s="656">
        <f t="shared" si="105"/>
        <v>0</v>
      </c>
      <c r="BD53" s="647"/>
      <c r="BE53" s="656">
        <f t="shared" si="106"/>
        <v>0</v>
      </c>
      <c r="BF53" s="647"/>
      <c r="BG53" s="656">
        <f t="shared" si="107"/>
        <v>0</v>
      </c>
      <c r="BH53" s="647"/>
      <c r="BI53" s="656">
        <f t="shared" si="108"/>
        <v>0</v>
      </c>
      <c r="BJ53" s="647">
        <f t="shared" si="109"/>
        <v>2</v>
      </c>
      <c r="BK53" s="656">
        <f t="shared" si="109"/>
        <v>4000</v>
      </c>
      <c r="BL53" s="645" t="s">
        <v>471</v>
      </c>
      <c r="BN53" s="784">
        <f t="shared" si="110"/>
        <v>4000</v>
      </c>
      <c r="BO53" s="649"/>
      <c r="BP53" s="649"/>
      <c r="BQ53" s="649"/>
      <c r="BR53" s="784">
        <f t="shared" si="111"/>
        <v>4000</v>
      </c>
      <c r="BS53" s="649"/>
      <c r="BT53" s="649"/>
      <c r="BU53" s="649"/>
      <c r="BV53" s="785">
        <f t="shared" si="1"/>
        <v>4000</v>
      </c>
    </row>
    <row r="54" spans="1:74" s="648" customFormat="1" x14ac:dyDescent="0.25">
      <c r="A54" s="954"/>
      <c r="B54" s="644"/>
      <c r="C54" s="683" t="s">
        <v>673</v>
      </c>
      <c r="D54" s="644" t="s">
        <v>208</v>
      </c>
      <c r="E54" s="651">
        <v>1000000</v>
      </c>
      <c r="F54" s="652">
        <f t="shared" si="83"/>
        <v>5</v>
      </c>
      <c r="G54" s="651">
        <f>BK54</f>
        <v>4500000</v>
      </c>
      <c r="H54" s="651">
        <f t="shared" si="85"/>
        <v>450000</v>
      </c>
      <c r="I54" s="651">
        <f t="shared" si="86"/>
        <v>3600000</v>
      </c>
      <c r="J54" s="646"/>
      <c r="K54" s="646"/>
      <c r="L54" s="646"/>
      <c r="M54" s="646"/>
      <c r="N54" s="646"/>
      <c r="O54" s="646"/>
      <c r="P54" s="651">
        <f t="shared" si="87"/>
        <v>450000</v>
      </c>
      <c r="Q54" s="653"/>
      <c r="R54" s="654"/>
      <c r="S54" s="655">
        <v>9</v>
      </c>
      <c r="T54" s="655"/>
      <c r="U54" s="655"/>
      <c r="V54" s="803">
        <f t="shared" si="88"/>
        <v>0</v>
      </c>
      <c r="W54" s="803">
        <f t="shared" si="89"/>
        <v>9000000</v>
      </c>
      <c r="X54" s="803">
        <f t="shared" si="90"/>
        <v>0</v>
      </c>
      <c r="Y54" s="803">
        <f t="shared" si="91"/>
        <v>0</v>
      </c>
      <c r="Z54" s="647"/>
      <c r="AA54" s="656">
        <f t="shared" si="92"/>
        <v>0</v>
      </c>
      <c r="AB54" s="647">
        <v>0</v>
      </c>
      <c r="AC54" s="656">
        <f t="shared" si="93"/>
        <v>0</v>
      </c>
      <c r="AD54" s="647">
        <v>1</v>
      </c>
      <c r="AE54" s="656">
        <f t="shared" si="94"/>
        <v>1000000</v>
      </c>
      <c r="AF54" s="647">
        <v>1</v>
      </c>
      <c r="AG54" s="656">
        <f t="shared" si="95"/>
        <v>1000000</v>
      </c>
      <c r="AH54" s="647"/>
      <c r="AI54" s="656">
        <f t="shared" si="96"/>
        <v>0</v>
      </c>
      <c r="AJ54" s="647">
        <v>0</v>
      </c>
      <c r="AK54" s="656">
        <f t="shared" si="97"/>
        <v>0</v>
      </c>
      <c r="AL54" s="647">
        <v>1</v>
      </c>
      <c r="AM54" s="656">
        <f t="shared" si="98"/>
        <v>1000000</v>
      </c>
      <c r="AN54" s="647">
        <v>1</v>
      </c>
      <c r="AO54" s="656">
        <f>AN54*E54*0.5</f>
        <v>500000</v>
      </c>
      <c r="AP54" s="647"/>
      <c r="AQ54" s="656">
        <f t="shared" si="99"/>
        <v>0</v>
      </c>
      <c r="AR54" s="647"/>
      <c r="AS54" s="656">
        <f t="shared" si="100"/>
        <v>0</v>
      </c>
      <c r="AT54" s="647">
        <v>0</v>
      </c>
      <c r="AU54" s="656">
        <f t="shared" si="101"/>
        <v>0</v>
      </c>
      <c r="AV54" s="647">
        <v>1</v>
      </c>
      <c r="AW54" s="656">
        <f t="shared" si="102"/>
        <v>1000000</v>
      </c>
      <c r="AX54" s="647"/>
      <c r="AY54" s="656">
        <f t="shared" si="103"/>
        <v>0</v>
      </c>
      <c r="AZ54" s="647">
        <v>0</v>
      </c>
      <c r="BA54" s="656">
        <f t="shared" si="104"/>
        <v>0</v>
      </c>
      <c r="BB54" s="647"/>
      <c r="BC54" s="656">
        <f t="shared" si="105"/>
        <v>0</v>
      </c>
      <c r="BD54" s="647"/>
      <c r="BE54" s="656">
        <f t="shared" si="106"/>
        <v>0</v>
      </c>
      <c r="BF54" s="647">
        <v>0</v>
      </c>
      <c r="BG54" s="656">
        <f t="shared" si="107"/>
        <v>0</v>
      </c>
      <c r="BH54" s="647"/>
      <c r="BI54" s="656">
        <f t="shared" si="108"/>
        <v>0</v>
      </c>
      <c r="BJ54" s="647">
        <f t="shared" si="109"/>
        <v>5</v>
      </c>
      <c r="BK54" s="656">
        <f t="shared" si="109"/>
        <v>4500000</v>
      </c>
      <c r="BL54" s="645" t="s">
        <v>471</v>
      </c>
      <c r="BN54" s="784">
        <f t="shared" si="110"/>
        <v>4500000</v>
      </c>
      <c r="BO54" s="649"/>
      <c r="BP54" s="649"/>
      <c r="BQ54" s="649"/>
      <c r="BR54" s="784">
        <f t="shared" si="111"/>
        <v>4500000</v>
      </c>
      <c r="BS54" s="649"/>
      <c r="BT54" s="649"/>
      <c r="BU54" s="649"/>
      <c r="BV54" s="785">
        <f t="shared" si="1"/>
        <v>4500000</v>
      </c>
    </row>
    <row r="55" spans="1:74" s="648" customFormat="1" x14ac:dyDescent="0.25">
      <c r="A55" s="954"/>
      <c r="B55" s="644"/>
      <c r="C55" s="683" t="s">
        <v>882</v>
      </c>
      <c r="D55" s="644" t="s">
        <v>208</v>
      </c>
      <c r="E55" s="651">
        <v>100000</v>
      </c>
      <c r="F55" s="652">
        <f t="shared" si="83"/>
        <v>47</v>
      </c>
      <c r="G55" s="651">
        <f t="shared" si="84"/>
        <v>4700000</v>
      </c>
      <c r="H55" s="651">
        <f t="shared" si="85"/>
        <v>470000</v>
      </c>
      <c r="I55" s="651">
        <f t="shared" si="86"/>
        <v>3760000</v>
      </c>
      <c r="J55" s="646"/>
      <c r="K55" s="646"/>
      <c r="L55" s="646"/>
      <c r="M55" s="646"/>
      <c r="N55" s="646"/>
      <c r="O55" s="646"/>
      <c r="P55" s="651">
        <f t="shared" si="87"/>
        <v>470000</v>
      </c>
      <c r="Q55" s="653"/>
      <c r="R55" s="654"/>
      <c r="S55" s="655">
        <v>33</v>
      </c>
      <c r="T55" s="655">
        <v>20</v>
      </c>
      <c r="U55" s="655"/>
      <c r="V55" s="803">
        <f t="shared" si="88"/>
        <v>0</v>
      </c>
      <c r="W55" s="803">
        <f t="shared" si="89"/>
        <v>3300000</v>
      </c>
      <c r="X55" s="803">
        <f t="shared" si="90"/>
        <v>2000000</v>
      </c>
      <c r="Y55" s="803">
        <f t="shared" si="91"/>
        <v>0</v>
      </c>
      <c r="Z55" s="647">
        <v>10</v>
      </c>
      <c r="AA55" s="656">
        <f t="shared" si="92"/>
        <v>1000000</v>
      </c>
      <c r="AB55" s="647">
        <v>0</v>
      </c>
      <c r="AC55" s="656">
        <f t="shared" si="93"/>
        <v>0</v>
      </c>
      <c r="AD55" s="647"/>
      <c r="AE55" s="656">
        <f t="shared" si="94"/>
        <v>0</v>
      </c>
      <c r="AF55" s="647"/>
      <c r="AG55" s="656">
        <f t="shared" si="95"/>
        <v>0</v>
      </c>
      <c r="AH55" s="647"/>
      <c r="AI55" s="656">
        <f t="shared" si="96"/>
        <v>0</v>
      </c>
      <c r="AJ55" s="647">
        <v>1</v>
      </c>
      <c r="AK55" s="656">
        <f t="shared" si="97"/>
        <v>100000</v>
      </c>
      <c r="AL55" s="647"/>
      <c r="AM55" s="656">
        <f t="shared" si="98"/>
        <v>0</v>
      </c>
      <c r="AN55" s="647">
        <v>0</v>
      </c>
      <c r="AO55" s="656">
        <f t="shared" si="112"/>
        <v>0</v>
      </c>
      <c r="AP55" s="647"/>
      <c r="AQ55" s="656">
        <f t="shared" si="99"/>
        <v>0</v>
      </c>
      <c r="AR55" s="647"/>
      <c r="AS55" s="656">
        <f t="shared" si="100"/>
        <v>0</v>
      </c>
      <c r="AT55" s="647"/>
      <c r="AU55" s="656">
        <f t="shared" si="101"/>
        <v>0</v>
      </c>
      <c r="AV55" s="647"/>
      <c r="AW55" s="656">
        <f t="shared" si="102"/>
        <v>0</v>
      </c>
      <c r="AX55" s="647">
        <v>1</v>
      </c>
      <c r="AY55" s="656">
        <f t="shared" si="103"/>
        <v>100000</v>
      </c>
      <c r="AZ55" s="647"/>
      <c r="BA55" s="656">
        <f t="shared" si="104"/>
        <v>0</v>
      </c>
      <c r="BB55" s="647"/>
      <c r="BC55" s="656">
        <f t="shared" si="105"/>
        <v>0</v>
      </c>
      <c r="BD55" s="647">
        <v>25</v>
      </c>
      <c r="BE55" s="656">
        <f t="shared" si="106"/>
        <v>2500000</v>
      </c>
      <c r="BF55" s="647">
        <v>10</v>
      </c>
      <c r="BG55" s="656">
        <f t="shared" si="107"/>
        <v>1000000</v>
      </c>
      <c r="BH55" s="647"/>
      <c r="BI55" s="656">
        <f t="shared" si="108"/>
        <v>0</v>
      </c>
      <c r="BJ55" s="647">
        <f t="shared" si="109"/>
        <v>47</v>
      </c>
      <c r="BK55" s="656">
        <f t="shared" si="109"/>
        <v>4700000</v>
      </c>
      <c r="BL55" s="645" t="s">
        <v>471</v>
      </c>
      <c r="BN55" s="784">
        <f t="shared" si="110"/>
        <v>4700000</v>
      </c>
      <c r="BO55" s="649"/>
      <c r="BP55" s="649"/>
      <c r="BQ55" s="649"/>
      <c r="BR55" s="784">
        <f t="shared" si="111"/>
        <v>4700000</v>
      </c>
      <c r="BS55" s="649"/>
      <c r="BT55" s="649"/>
      <c r="BU55" s="649"/>
      <c r="BV55" s="785">
        <f t="shared" si="1"/>
        <v>4700000</v>
      </c>
    </row>
    <row r="56" spans="1:74" s="648" customFormat="1" x14ac:dyDescent="0.25">
      <c r="A56" s="954"/>
      <c r="B56" s="644"/>
      <c r="C56" s="683" t="s">
        <v>911</v>
      </c>
      <c r="D56" s="644" t="s">
        <v>208</v>
      </c>
      <c r="E56" s="651">
        <v>50000</v>
      </c>
      <c r="F56" s="652">
        <f t="shared" si="83"/>
        <v>5</v>
      </c>
      <c r="G56" s="651">
        <f t="shared" si="84"/>
        <v>250000</v>
      </c>
      <c r="H56" s="651">
        <f t="shared" si="85"/>
        <v>25000</v>
      </c>
      <c r="I56" s="651">
        <f t="shared" si="86"/>
        <v>200000</v>
      </c>
      <c r="J56" s="646"/>
      <c r="K56" s="646"/>
      <c r="L56" s="646"/>
      <c r="M56" s="646"/>
      <c r="N56" s="646"/>
      <c r="O56" s="646"/>
      <c r="P56" s="651">
        <f t="shared" si="87"/>
        <v>25000</v>
      </c>
      <c r="Q56" s="653"/>
      <c r="R56" s="654"/>
      <c r="S56" s="655">
        <v>4</v>
      </c>
      <c r="T56" s="655">
        <f>F56*0.3</f>
        <v>1.5</v>
      </c>
      <c r="U56" s="655">
        <f>F56*0.3</f>
        <v>1.5</v>
      </c>
      <c r="V56" s="803">
        <f t="shared" si="88"/>
        <v>0</v>
      </c>
      <c r="W56" s="803">
        <f t="shared" si="89"/>
        <v>200000</v>
      </c>
      <c r="X56" s="803">
        <f t="shared" si="90"/>
        <v>75000</v>
      </c>
      <c r="Y56" s="803">
        <f t="shared" si="91"/>
        <v>75000</v>
      </c>
      <c r="Z56" s="647"/>
      <c r="AA56" s="656">
        <f t="shared" si="92"/>
        <v>0</v>
      </c>
      <c r="AB56" s="647">
        <v>0</v>
      </c>
      <c r="AC56" s="656">
        <f t="shared" si="93"/>
        <v>0</v>
      </c>
      <c r="AD56" s="647">
        <v>0</v>
      </c>
      <c r="AE56" s="656">
        <f t="shared" si="94"/>
        <v>0</v>
      </c>
      <c r="AF56" s="647"/>
      <c r="AG56" s="656">
        <f t="shared" si="95"/>
        <v>0</v>
      </c>
      <c r="AH56" s="647">
        <v>1</v>
      </c>
      <c r="AI56" s="656">
        <f t="shared" si="96"/>
        <v>50000</v>
      </c>
      <c r="AJ56" s="647">
        <v>0</v>
      </c>
      <c r="AK56" s="656">
        <f t="shared" si="97"/>
        <v>0</v>
      </c>
      <c r="AL56" s="647"/>
      <c r="AM56" s="656">
        <f t="shared" si="98"/>
        <v>0</v>
      </c>
      <c r="AN56" s="647">
        <v>1</v>
      </c>
      <c r="AO56" s="656">
        <f t="shared" si="112"/>
        <v>50000</v>
      </c>
      <c r="AP56" s="647"/>
      <c r="AQ56" s="656">
        <f t="shared" si="99"/>
        <v>0</v>
      </c>
      <c r="AR56" s="647">
        <v>3</v>
      </c>
      <c r="AS56" s="656">
        <f t="shared" si="100"/>
        <v>150000</v>
      </c>
      <c r="AT56" s="647"/>
      <c r="AU56" s="656">
        <f t="shared" si="101"/>
        <v>0</v>
      </c>
      <c r="AV56" s="647"/>
      <c r="AW56" s="656">
        <f t="shared" si="102"/>
        <v>0</v>
      </c>
      <c r="AX56" s="647">
        <v>0</v>
      </c>
      <c r="AY56" s="656">
        <f t="shared" si="103"/>
        <v>0</v>
      </c>
      <c r="AZ56" s="647"/>
      <c r="BA56" s="656">
        <f t="shared" si="104"/>
        <v>0</v>
      </c>
      <c r="BB56" s="647">
        <v>0</v>
      </c>
      <c r="BC56" s="656">
        <f t="shared" si="105"/>
        <v>0</v>
      </c>
      <c r="BD56" s="647"/>
      <c r="BE56" s="656">
        <f t="shared" si="106"/>
        <v>0</v>
      </c>
      <c r="BF56" s="647"/>
      <c r="BG56" s="656">
        <f t="shared" si="107"/>
        <v>0</v>
      </c>
      <c r="BH56" s="647"/>
      <c r="BI56" s="656">
        <f t="shared" si="108"/>
        <v>0</v>
      </c>
      <c r="BJ56" s="647">
        <f t="shared" si="109"/>
        <v>5</v>
      </c>
      <c r="BK56" s="656">
        <f t="shared" si="109"/>
        <v>250000</v>
      </c>
      <c r="BL56" s="645" t="s">
        <v>471</v>
      </c>
      <c r="BN56" s="784">
        <f t="shared" si="110"/>
        <v>250000</v>
      </c>
      <c r="BO56" s="649"/>
      <c r="BP56" s="649"/>
      <c r="BQ56" s="649"/>
      <c r="BR56" s="784">
        <f t="shared" si="111"/>
        <v>250000</v>
      </c>
      <c r="BS56" s="649"/>
      <c r="BT56" s="649"/>
      <c r="BU56" s="649"/>
      <c r="BV56" s="785">
        <f t="shared" si="1"/>
        <v>250000</v>
      </c>
    </row>
    <row r="57" spans="1:74" s="648" customFormat="1" x14ac:dyDescent="0.25">
      <c r="A57" s="954"/>
      <c r="B57" s="644"/>
      <c r="C57" s="683" t="s">
        <v>864</v>
      </c>
      <c r="D57" s="644" t="s">
        <v>865</v>
      </c>
      <c r="E57" s="751">
        <v>1200000</v>
      </c>
      <c r="F57" s="652">
        <v>1</v>
      </c>
      <c r="G57" s="651">
        <f t="shared" si="84"/>
        <v>1200000</v>
      </c>
      <c r="H57" s="651">
        <f>G57*0.1</f>
        <v>120000</v>
      </c>
      <c r="I57" s="651">
        <f>G57*0.8</f>
        <v>960000</v>
      </c>
      <c r="J57" s="646"/>
      <c r="K57" s="646"/>
      <c r="L57" s="646"/>
      <c r="M57" s="646"/>
      <c r="N57" s="646"/>
      <c r="O57" s="646"/>
      <c r="P57" s="651">
        <f t="shared" si="87"/>
        <v>120000</v>
      </c>
      <c r="Q57" s="653"/>
      <c r="R57" s="654"/>
      <c r="S57" s="655">
        <v>1</v>
      </c>
      <c r="T57" s="655"/>
      <c r="U57" s="655"/>
      <c r="V57" s="803">
        <f t="shared" si="88"/>
        <v>0</v>
      </c>
      <c r="W57" s="803">
        <f t="shared" si="89"/>
        <v>1200000</v>
      </c>
      <c r="X57" s="803"/>
      <c r="Y57" s="803"/>
      <c r="Z57" s="647">
        <v>0</v>
      </c>
      <c r="AA57" s="656">
        <f t="shared" si="92"/>
        <v>0</v>
      </c>
      <c r="AB57" s="647">
        <v>0</v>
      </c>
      <c r="AC57" s="656">
        <f t="shared" si="93"/>
        <v>0</v>
      </c>
      <c r="AD57" s="647">
        <v>0</v>
      </c>
      <c r="AE57" s="656">
        <f t="shared" si="94"/>
        <v>0</v>
      </c>
      <c r="AF57" s="647">
        <v>0</v>
      </c>
      <c r="AG57" s="656">
        <f t="shared" si="95"/>
        <v>0</v>
      </c>
      <c r="AH57" s="647">
        <v>0</v>
      </c>
      <c r="AI57" s="656">
        <f t="shared" si="96"/>
        <v>0</v>
      </c>
      <c r="AJ57" s="647">
        <v>0</v>
      </c>
      <c r="AK57" s="656">
        <f t="shared" si="97"/>
        <v>0</v>
      </c>
      <c r="AL57" s="647">
        <v>0</v>
      </c>
      <c r="AM57" s="656">
        <f t="shared" si="98"/>
        <v>0</v>
      </c>
      <c r="AN57" s="647">
        <v>0</v>
      </c>
      <c r="AO57" s="656">
        <f t="shared" si="112"/>
        <v>0</v>
      </c>
      <c r="AP57" s="647">
        <v>0</v>
      </c>
      <c r="AQ57" s="656">
        <f t="shared" si="99"/>
        <v>0</v>
      </c>
      <c r="AR57" s="647">
        <v>0</v>
      </c>
      <c r="AS57" s="656">
        <f t="shared" si="100"/>
        <v>0</v>
      </c>
      <c r="AT57" s="647">
        <v>0</v>
      </c>
      <c r="AU57" s="656">
        <f t="shared" si="101"/>
        <v>0</v>
      </c>
      <c r="AV57" s="647">
        <v>0</v>
      </c>
      <c r="AW57" s="656">
        <f t="shared" si="102"/>
        <v>0</v>
      </c>
      <c r="AX57" s="647">
        <v>0</v>
      </c>
      <c r="AY57" s="656">
        <f t="shared" si="103"/>
        <v>0</v>
      </c>
      <c r="AZ57" s="647">
        <v>0</v>
      </c>
      <c r="BA57" s="656">
        <f t="shared" si="104"/>
        <v>0</v>
      </c>
      <c r="BB57" s="647">
        <v>0</v>
      </c>
      <c r="BC57" s="656">
        <f t="shared" si="105"/>
        <v>0</v>
      </c>
      <c r="BD57" s="647">
        <v>0</v>
      </c>
      <c r="BE57" s="656">
        <f t="shared" si="106"/>
        <v>0</v>
      </c>
      <c r="BF57" s="647">
        <v>1</v>
      </c>
      <c r="BG57" s="656">
        <f t="shared" si="107"/>
        <v>1200000</v>
      </c>
      <c r="BH57" s="647">
        <v>0</v>
      </c>
      <c r="BI57" s="656">
        <f t="shared" si="108"/>
        <v>0</v>
      </c>
      <c r="BJ57" s="647">
        <f t="shared" si="109"/>
        <v>1</v>
      </c>
      <c r="BK57" s="656">
        <f t="shared" si="109"/>
        <v>1200000</v>
      </c>
      <c r="BL57" s="645" t="s">
        <v>471</v>
      </c>
      <c r="BN57" s="784">
        <f t="shared" si="110"/>
        <v>1200000</v>
      </c>
      <c r="BO57" s="649"/>
      <c r="BP57" s="649"/>
      <c r="BQ57" s="649"/>
      <c r="BR57" s="784">
        <f t="shared" si="111"/>
        <v>1200000</v>
      </c>
      <c r="BS57" s="649"/>
      <c r="BT57" s="649"/>
      <c r="BU57" s="649"/>
      <c r="BV57" s="785">
        <f t="shared" si="1"/>
        <v>1200000</v>
      </c>
    </row>
    <row r="58" spans="1:74" s="648" customFormat="1" x14ac:dyDescent="0.25">
      <c r="A58" s="954"/>
      <c r="B58" s="382"/>
      <c r="C58" s="389"/>
      <c r="D58" s="382"/>
      <c r="E58" s="690"/>
      <c r="F58" s="691">
        <f>SUM(F50:F57)</f>
        <v>89</v>
      </c>
      <c r="G58" s="691">
        <f t="shared" ref="G58:BL58" si="113">SUM(G50:G57)</f>
        <v>24524000</v>
      </c>
      <c r="H58" s="691">
        <f t="shared" si="113"/>
        <v>2452400</v>
      </c>
      <c r="I58" s="691">
        <f t="shared" si="113"/>
        <v>19619200</v>
      </c>
      <c r="J58" s="691">
        <f t="shared" si="113"/>
        <v>0</v>
      </c>
      <c r="K58" s="691">
        <f t="shared" si="113"/>
        <v>0</v>
      </c>
      <c r="L58" s="691">
        <f t="shared" si="113"/>
        <v>0</v>
      </c>
      <c r="M58" s="691">
        <f t="shared" si="113"/>
        <v>0</v>
      </c>
      <c r="N58" s="691">
        <f t="shared" si="113"/>
        <v>0</v>
      </c>
      <c r="O58" s="691">
        <f t="shared" si="113"/>
        <v>0</v>
      </c>
      <c r="P58" s="691">
        <f t="shared" si="113"/>
        <v>2452400</v>
      </c>
      <c r="Q58" s="691">
        <f t="shared" si="113"/>
        <v>0</v>
      </c>
      <c r="R58" s="691">
        <f t="shared" si="113"/>
        <v>0</v>
      </c>
      <c r="S58" s="691">
        <f t="shared" si="113"/>
        <v>59</v>
      </c>
      <c r="T58" s="691">
        <f t="shared" si="113"/>
        <v>31.7</v>
      </c>
      <c r="U58" s="691">
        <f t="shared" si="113"/>
        <v>8.6999999999999993</v>
      </c>
      <c r="V58" s="691">
        <f t="shared" si="113"/>
        <v>0</v>
      </c>
      <c r="W58" s="691">
        <f t="shared" si="113"/>
        <v>20440000</v>
      </c>
      <c r="X58" s="691">
        <f t="shared" si="113"/>
        <v>6162200</v>
      </c>
      <c r="Y58" s="691">
        <f t="shared" si="113"/>
        <v>3112200</v>
      </c>
      <c r="Z58" s="691">
        <f t="shared" si="113"/>
        <v>10</v>
      </c>
      <c r="AA58" s="691">
        <f t="shared" si="113"/>
        <v>1000000</v>
      </c>
      <c r="AB58" s="691">
        <f t="shared" si="113"/>
        <v>1</v>
      </c>
      <c r="AC58" s="691">
        <f t="shared" si="113"/>
        <v>1000000</v>
      </c>
      <c r="AD58" s="691">
        <f t="shared" si="113"/>
        <v>2</v>
      </c>
      <c r="AE58" s="691">
        <f t="shared" si="113"/>
        <v>2000000</v>
      </c>
      <c r="AF58" s="691">
        <f t="shared" si="113"/>
        <v>2</v>
      </c>
      <c r="AG58" s="691">
        <f t="shared" si="113"/>
        <v>2000000</v>
      </c>
      <c r="AH58" s="691">
        <f t="shared" si="113"/>
        <v>2</v>
      </c>
      <c r="AI58" s="691">
        <f t="shared" si="113"/>
        <v>1050000</v>
      </c>
      <c r="AJ58" s="691">
        <f t="shared" si="113"/>
        <v>1</v>
      </c>
      <c r="AK58" s="691">
        <f t="shared" si="113"/>
        <v>100000</v>
      </c>
      <c r="AL58" s="691">
        <f t="shared" si="113"/>
        <v>2</v>
      </c>
      <c r="AM58" s="691">
        <f t="shared" si="113"/>
        <v>2000000</v>
      </c>
      <c r="AN58" s="691">
        <f t="shared" si="113"/>
        <v>3</v>
      </c>
      <c r="AO58" s="691">
        <f t="shared" si="113"/>
        <v>900000</v>
      </c>
      <c r="AP58" s="691">
        <f t="shared" si="113"/>
        <v>0</v>
      </c>
      <c r="AQ58" s="691">
        <f t="shared" si="113"/>
        <v>0</v>
      </c>
      <c r="AR58" s="691">
        <f t="shared" si="113"/>
        <v>5</v>
      </c>
      <c r="AS58" s="691">
        <f t="shared" si="113"/>
        <v>1500000</v>
      </c>
      <c r="AT58" s="691">
        <f t="shared" si="113"/>
        <v>1</v>
      </c>
      <c r="AU58" s="691">
        <f t="shared" si="113"/>
        <v>1000000</v>
      </c>
      <c r="AV58" s="691">
        <f t="shared" si="113"/>
        <v>13</v>
      </c>
      <c r="AW58" s="691">
        <f t="shared" si="113"/>
        <v>2450000</v>
      </c>
      <c r="AX58" s="691">
        <f t="shared" si="113"/>
        <v>5</v>
      </c>
      <c r="AY58" s="691">
        <f t="shared" si="113"/>
        <v>124000</v>
      </c>
      <c r="AZ58" s="691">
        <f t="shared" si="113"/>
        <v>1</v>
      </c>
      <c r="BA58" s="691">
        <f t="shared" si="113"/>
        <v>1000000</v>
      </c>
      <c r="BB58" s="691">
        <f t="shared" si="113"/>
        <v>2</v>
      </c>
      <c r="BC58" s="691">
        <f t="shared" si="113"/>
        <v>1350000</v>
      </c>
      <c r="BD58" s="691">
        <f t="shared" si="113"/>
        <v>27</v>
      </c>
      <c r="BE58" s="691">
        <f t="shared" si="113"/>
        <v>3850000</v>
      </c>
      <c r="BF58" s="691">
        <f t="shared" si="113"/>
        <v>12</v>
      </c>
      <c r="BG58" s="691">
        <f t="shared" si="113"/>
        <v>3200000</v>
      </c>
      <c r="BH58" s="691">
        <f t="shared" si="113"/>
        <v>0</v>
      </c>
      <c r="BI58" s="691">
        <f t="shared" si="113"/>
        <v>0</v>
      </c>
      <c r="BJ58" s="691">
        <f t="shared" si="109"/>
        <v>89</v>
      </c>
      <c r="BK58" s="691">
        <f t="shared" si="109"/>
        <v>24524000</v>
      </c>
      <c r="BL58" s="691">
        <f t="shared" si="113"/>
        <v>0</v>
      </c>
      <c r="BN58" s="488">
        <f>SUM(BN50:BN57)</f>
        <v>24524000</v>
      </c>
      <c r="BO58" s="488">
        <f t="shared" ref="BO58:BV58" si="114">SUM(BO50:BO57)</f>
        <v>0</v>
      </c>
      <c r="BP58" s="488">
        <f t="shared" si="114"/>
        <v>0</v>
      </c>
      <c r="BQ58" s="488">
        <f t="shared" si="114"/>
        <v>0</v>
      </c>
      <c r="BR58" s="488">
        <f t="shared" si="114"/>
        <v>24524000</v>
      </c>
      <c r="BS58" s="488">
        <f t="shared" si="114"/>
        <v>0</v>
      </c>
      <c r="BT58" s="488">
        <f t="shared" si="114"/>
        <v>0</v>
      </c>
      <c r="BU58" s="488">
        <f t="shared" si="114"/>
        <v>0</v>
      </c>
      <c r="BV58" s="488">
        <f t="shared" si="114"/>
        <v>24524000</v>
      </c>
    </row>
    <row r="59" spans="1:74" x14ac:dyDescent="0.25">
      <c r="A59" s="955"/>
      <c r="B59" s="500"/>
      <c r="C59" s="500"/>
      <c r="D59" s="500"/>
      <c r="E59" s="500"/>
      <c r="F59" s="501">
        <f t="shared" ref="F59:AK59" si="115">F49+F47+F43+F36+F27+F22+F15+F58</f>
        <v>28414</v>
      </c>
      <c r="G59" s="501">
        <f t="shared" si="115"/>
        <v>335630000</v>
      </c>
      <c r="H59" s="501">
        <f t="shared" si="115"/>
        <v>13225900</v>
      </c>
      <c r="I59" s="501">
        <f t="shared" si="115"/>
        <v>260706700</v>
      </c>
      <c r="J59" s="501">
        <f t="shared" si="115"/>
        <v>8406500</v>
      </c>
      <c r="K59" s="501">
        <f t="shared" si="115"/>
        <v>0</v>
      </c>
      <c r="L59" s="501">
        <f t="shared" si="115"/>
        <v>8352900</v>
      </c>
      <c r="M59" s="501">
        <f t="shared" si="115"/>
        <v>0</v>
      </c>
      <c r="N59" s="501">
        <f t="shared" si="115"/>
        <v>0</v>
      </c>
      <c r="O59" s="501">
        <f t="shared" si="115"/>
        <v>0</v>
      </c>
      <c r="P59" s="501">
        <f t="shared" si="115"/>
        <v>34898000</v>
      </c>
      <c r="Q59" s="501">
        <f t="shared" si="115"/>
        <v>10040000</v>
      </c>
      <c r="R59" s="501">
        <f t="shared" si="115"/>
        <v>9904.5</v>
      </c>
      <c r="S59" s="501">
        <f t="shared" si="115"/>
        <v>6807.9</v>
      </c>
      <c r="T59" s="501">
        <f t="shared" si="115"/>
        <v>976.50000000000011</v>
      </c>
      <c r="U59" s="501">
        <f t="shared" si="115"/>
        <v>10762.5</v>
      </c>
      <c r="V59" s="501">
        <f t="shared" si="115"/>
        <v>16863900</v>
      </c>
      <c r="W59" s="501">
        <f t="shared" si="115"/>
        <v>76658500</v>
      </c>
      <c r="X59" s="501">
        <f t="shared" si="115"/>
        <v>85625800</v>
      </c>
      <c r="Y59" s="501">
        <f t="shared" si="115"/>
        <v>162472200</v>
      </c>
      <c r="Z59" s="501">
        <f t="shared" si="115"/>
        <v>1458</v>
      </c>
      <c r="AA59" s="501">
        <f t="shared" si="115"/>
        <v>25841000</v>
      </c>
      <c r="AB59" s="501">
        <f t="shared" si="115"/>
        <v>694</v>
      </c>
      <c r="AC59" s="501">
        <f t="shared" si="115"/>
        <v>15219000</v>
      </c>
      <c r="AD59" s="501">
        <f t="shared" si="115"/>
        <v>979</v>
      </c>
      <c r="AE59" s="501">
        <f t="shared" si="115"/>
        <v>21006000</v>
      </c>
      <c r="AF59" s="501">
        <f t="shared" si="115"/>
        <v>421</v>
      </c>
      <c r="AG59" s="501">
        <f t="shared" si="115"/>
        <v>16325000</v>
      </c>
      <c r="AH59" s="501">
        <f t="shared" si="115"/>
        <v>355</v>
      </c>
      <c r="AI59" s="501">
        <f t="shared" si="115"/>
        <v>10838000</v>
      </c>
      <c r="AJ59" s="501">
        <f t="shared" si="115"/>
        <v>1133</v>
      </c>
      <c r="AK59" s="501">
        <f t="shared" si="115"/>
        <v>21072000</v>
      </c>
      <c r="AL59" s="501">
        <f t="shared" ref="AL59:BR59" si="116">AL49+AL47+AL43+AL36+AL27+AL22+AL15+AL58</f>
        <v>695</v>
      </c>
      <c r="AM59" s="501">
        <f t="shared" si="116"/>
        <v>19870000</v>
      </c>
      <c r="AN59" s="501">
        <f t="shared" si="116"/>
        <v>1258</v>
      </c>
      <c r="AO59" s="501">
        <f t="shared" si="116"/>
        <v>22909000</v>
      </c>
      <c r="AP59" s="501">
        <f t="shared" si="116"/>
        <v>372</v>
      </c>
      <c r="AQ59" s="501">
        <f t="shared" si="116"/>
        <v>9199000</v>
      </c>
      <c r="AR59" s="501">
        <f t="shared" si="116"/>
        <v>1176</v>
      </c>
      <c r="AS59" s="501">
        <f t="shared" si="116"/>
        <v>21533000</v>
      </c>
      <c r="AT59" s="501">
        <f t="shared" si="116"/>
        <v>712</v>
      </c>
      <c r="AU59" s="501">
        <f t="shared" si="116"/>
        <v>17850000</v>
      </c>
      <c r="AV59" s="501">
        <f t="shared" si="116"/>
        <v>704</v>
      </c>
      <c r="AW59" s="501">
        <f t="shared" si="116"/>
        <v>17090000</v>
      </c>
      <c r="AX59" s="501">
        <f t="shared" si="116"/>
        <v>602</v>
      </c>
      <c r="AY59" s="501">
        <f t="shared" si="116"/>
        <v>14026000</v>
      </c>
      <c r="AZ59" s="501">
        <f t="shared" si="116"/>
        <v>627</v>
      </c>
      <c r="BA59" s="501">
        <f t="shared" si="116"/>
        <v>19649000</v>
      </c>
      <c r="BB59" s="501">
        <f t="shared" si="116"/>
        <v>1695</v>
      </c>
      <c r="BC59" s="501">
        <f t="shared" si="116"/>
        <v>27605000</v>
      </c>
      <c r="BD59" s="501">
        <f t="shared" si="116"/>
        <v>982</v>
      </c>
      <c r="BE59" s="501">
        <f t="shared" si="116"/>
        <v>22350000</v>
      </c>
      <c r="BF59" s="501">
        <f t="shared" si="116"/>
        <v>527</v>
      </c>
      <c r="BG59" s="501">
        <f t="shared" si="116"/>
        <v>17001000</v>
      </c>
      <c r="BH59" s="501">
        <f t="shared" si="116"/>
        <v>14024</v>
      </c>
      <c r="BI59" s="501">
        <f t="shared" si="116"/>
        <v>16247000</v>
      </c>
      <c r="BJ59" s="501">
        <f t="shared" si="116"/>
        <v>28414</v>
      </c>
      <c r="BK59" s="501">
        <f t="shared" si="116"/>
        <v>335630000</v>
      </c>
      <c r="BL59" s="501">
        <f t="shared" si="116"/>
        <v>0</v>
      </c>
      <c r="BN59" s="501">
        <f t="shared" si="116"/>
        <v>74724000</v>
      </c>
      <c r="BO59" s="501">
        <f t="shared" si="116"/>
        <v>12897000</v>
      </c>
      <c r="BP59" s="501">
        <f t="shared" si="116"/>
        <v>248009000</v>
      </c>
      <c r="BQ59" s="501">
        <f t="shared" si="116"/>
        <v>0</v>
      </c>
      <c r="BR59" s="501">
        <f t="shared" si="116"/>
        <v>335630000</v>
      </c>
      <c r="BS59" s="502">
        <f t="shared" ref="BS59:BU59" si="117">BS49+BS47+BS43+BS36+BS27+BS22+BS15+K58</f>
        <v>0</v>
      </c>
      <c r="BT59" s="502">
        <f t="shared" si="117"/>
        <v>0</v>
      </c>
      <c r="BU59" s="502">
        <f t="shared" si="117"/>
        <v>0</v>
      </c>
      <c r="BV59" s="501">
        <f t="shared" ref="BV59" si="118">BV49+BV47+BV43+BV36+BV27+BV22+BV15+BV58</f>
        <v>335630000</v>
      </c>
    </row>
    <row r="60" spans="1:74" x14ac:dyDescent="0.25">
      <c r="C60" s="106" t="s">
        <v>840</v>
      </c>
    </row>
    <row r="61" spans="1:74" x14ac:dyDescent="0.25">
      <c r="C61" s="39" t="s">
        <v>550</v>
      </c>
    </row>
    <row r="62" spans="1:74" x14ac:dyDescent="0.25">
      <c r="C62" s="39" t="s">
        <v>852</v>
      </c>
      <c r="J62" s="788"/>
    </row>
    <row r="63" spans="1:74" x14ac:dyDescent="0.25">
      <c r="C63" s="39" t="s">
        <v>551</v>
      </c>
      <c r="I63" s="788"/>
    </row>
    <row r="64" spans="1:74" x14ac:dyDescent="0.25">
      <c r="C64" s="39" t="s">
        <v>552</v>
      </c>
    </row>
    <row r="65" spans="3:3" x14ac:dyDescent="0.25">
      <c r="C65" s="39" t="s">
        <v>553</v>
      </c>
    </row>
    <row r="66" spans="3:3" x14ac:dyDescent="0.25">
      <c r="C66" s="39" t="s">
        <v>554</v>
      </c>
    </row>
    <row r="67" spans="3:3" x14ac:dyDescent="0.25">
      <c r="C67" s="39" t="s">
        <v>555</v>
      </c>
    </row>
    <row r="68" spans="3:3" x14ac:dyDescent="0.25">
      <c r="C68" s="39" t="s">
        <v>556</v>
      </c>
    </row>
    <row r="69" spans="3:3" x14ac:dyDescent="0.25">
      <c r="C69" s="39" t="s">
        <v>557</v>
      </c>
    </row>
    <row r="70" spans="3:3" x14ac:dyDescent="0.25">
      <c r="C70" s="39" t="s">
        <v>558</v>
      </c>
    </row>
    <row r="71" spans="3:3" x14ac:dyDescent="0.25">
      <c r="C71" s="39" t="s">
        <v>853</v>
      </c>
    </row>
    <row r="72" spans="3:3" x14ac:dyDescent="0.25">
      <c r="C72" s="39" t="s">
        <v>854</v>
      </c>
    </row>
    <row r="73" spans="3:3" x14ac:dyDescent="0.25">
      <c r="C73" s="39" t="s">
        <v>855</v>
      </c>
    </row>
  </sheetData>
  <mergeCells count="46">
    <mergeCell ref="BJ6:BK7"/>
    <mergeCell ref="A7:A8"/>
    <mergeCell ref="B7:B8"/>
    <mergeCell ref="C7:C8"/>
    <mergeCell ref="D7:D8"/>
    <mergeCell ref="E7:E8"/>
    <mergeCell ref="F7:F8"/>
    <mergeCell ref="G7:G8"/>
    <mergeCell ref="AT6:AU7"/>
    <mergeCell ref="AV6:AW7"/>
    <mergeCell ref="Z6:AA7"/>
    <mergeCell ref="AB6:AC7"/>
    <mergeCell ref="AD6:AE7"/>
    <mergeCell ref="H6:Q6"/>
    <mergeCell ref="A9:A59"/>
    <mergeCell ref="BF6:BG7"/>
    <mergeCell ref="BH6:BI7"/>
    <mergeCell ref="AX6:AY7"/>
    <mergeCell ref="AZ6:BA7"/>
    <mergeCell ref="BB6:BC7"/>
    <mergeCell ref="BD6:BE7"/>
    <mergeCell ref="AH6:AI7"/>
    <mergeCell ref="AJ6:AK7"/>
    <mergeCell ref="AL6:AM7"/>
    <mergeCell ref="AN6:AO7"/>
    <mergeCell ref="AP6:AQ7"/>
    <mergeCell ref="AR6:AS7"/>
    <mergeCell ref="AF6:AG7"/>
    <mergeCell ref="R6:U7"/>
    <mergeCell ref="V6:Y7"/>
    <mergeCell ref="BL7:BL9"/>
    <mergeCell ref="BN7:BR7"/>
    <mergeCell ref="BS7:BU7"/>
    <mergeCell ref="BV7:BV8"/>
    <mergeCell ref="A1:B1"/>
    <mergeCell ref="C1:Q1"/>
    <mergeCell ref="A2:B2"/>
    <mergeCell ref="C2:Q2"/>
    <mergeCell ref="A3:B3"/>
    <mergeCell ref="C3:Q3"/>
    <mergeCell ref="A4:B4"/>
    <mergeCell ref="C4:Q4"/>
    <mergeCell ref="A5:B5"/>
    <mergeCell ref="C5:Q5"/>
    <mergeCell ref="A6:D6"/>
    <mergeCell ref="F6:G6"/>
  </mergeCells>
  <pageMargins left="0.47" right="0.54" top="0.75" bottom="0.75" header="0.3" footer="0.3"/>
  <pageSetup paperSize="9" scale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D58"/>
  <sheetViews>
    <sheetView topLeftCell="B1" zoomScale="90" zoomScaleNormal="90" workbookViewId="0">
      <pane xSplit="7" ySplit="8" topLeftCell="S9" activePane="bottomRight" state="frozen"/>
      <selection activeCell="B1" sqref="B1"/>
      <selection pane="topRight" activeCell="H1" sqref="H1"/>
      <selection pane="bottomLeft" activeCell="B9" sqref="B9"/>
      <selection pane="bottomRight" activeCell="Z57" sqref="Z57"/>
    </sheetView>
  </sheetViews>
  <sheetFormatPr defaultColWidth="9.140625" defaultRowHeight="15.75" x14ac:dyDescent="0.25"/>
  <cols>
    <col min="1" max="1" width="12" style="448" customWidth="1"/>
    <col min="2" max="2" width="12" style="448" hidden="1" customWidth="1"/>
    <col min="3" max="3" width="13.42578125" style="448" hidden="1" customWidth="1"/>
    <col min="4" max="4" width="35" style="448" customWidth="1"/>
    <col min="5" max="5" width="7.85546875" style="448" customWidth="1"/>
    <col min="6" max="6" width="15.28515625" style="449" customWidth="1"/>
    <col min="7" max="7" width="7" style="449" customWidth="1"/>
    <col min="8" max="8" width="19.85546875" style="450" customWidth="1"/>
    <col min="9" max="9" width="16.28515625" style="450" customWidth="1"/>
    <col min="10" max="11" width="16" style="450" customWidth="1"/>
    <col min="12" max="12" width="17.42578125" style="450" customWidth="1"/>
    <col min="13" max="13" width="18.7109375" style="450" customWidth="1"/>
    <col min="14" max="14" width="16" style="450" customWidth="1"/>
    <col min="15" max="15" width="5.7109375" style="450" customWidth="1"/>
    <col min="16" max="16" width="7.140625" style="449" customWidth="1"/>
    <col min="17" max="17" width="14.85546875" style="449" customWidth="1"/>
    <col min="18" max="18" width="18" style="449" customWidth="1"/>
    <col min="19" max="19" width="8" style="425" customWidth="1"/>
    <col min="20" max="20" width="7.42578125" style="425" customWidth="1"/>
    <col min="21" max="22" width="9.42578125" style="425" customWidth="1"/>
    <col min="23" max="23" width="16.28515625" style="424" customWidth="1"/>
    <col min="24" max="24" width="17" style="424" customWidth="1"/>
    <col min="25" max="25" width="17.85546875" style="424" customWidth="1"/>
    <col min="26" max="26" width="17.42578125" style="424" customWidth="1"/>
    <col min="27" max="27" width="5.140625" style="449" customWidth="1"/>
    <col min="28" max="28" width="15.85546875" style="448" customWidth="1"/>
    <col min="29" max="29" width="5" style="448" customWidth="1"/>
    <col min="30" max="30" width="13.85546875" style="448" customWidth="1"/>
    <col min="31" max="31" width="5" style="448" customWidth="1"/>
    <col min="32" max="32" width="13.85546875" style="448" customWidth="1"/>
    <col min="33" max="33" width="6.5703125" style="448" customWidth="1"/>
    <col min="34" max="34" width="14.28515625" style="448" customWidth="1"/>
    <col min="35" max="35" width="5.140625" style="448" customWidth="1"/>
    <col min="36" max="36" width="14.28515625" style="448" customWidth="1"/>
    <col min="37" max="37" width="5.7109375" style="448" customWidth="1"/>
    <col min="38" max="38" width="14" style="448" customWidth="1"/>
    <col min="39" max="39" width="5.7109375" style="448" customWidth="1"/>
    <col min="40" max="40" width="14.85546875" style="448" customWidth="1"/>
    <col min="41" max="41" width="5.140625" style="448" customWidth="1"/>
    <col min="42" max="42" width="13.140625" style="448" customWidth="1"/>
    <col min="43" max="43" width="5" style="448" customWidth="1"/>
    <col min="44" max="44" width="14" style="448" customWidth="1"/>
    <col min="45" max="45" width="6.5703125" style="448" customWidth="1"/>
    <col min="46" max="46" width="14.28515625" style="448" customWidth="1"/>
    <col min="47" max="47" width="5.140625" style="448" customWidth="1"/>
    <col min="48" max="48" width="14.85546875" style="448" customWidth="1"/>
    <col min="49" max="49" width="5.140625" style="448" customWidth="1"/>
    <col min="50" max="50" width="14.28515625" style="448" customWidth="1"/>
    <col min="51" max="51" width="5.140625" style="448" customWidth="1"/>
    <col min="52" max="52" width="14.28515625" style="448" customWidth="1"/>
    <col min="53" max="53" width="5.140625" style="448" customWidth="1"/>
    <col min="54" max="54" width="13.85546875" style="448" customWidth="1"/>
    <col min="55" max="55" width="5.140625" style="448" customWidth="1"/>
    <col min="56" max="56" width="14.28515625" style="448" customWidth="1"/>
    <col min="57" max="57" width="5.140625" style="448" customWidth="1"/>
    <col min="58" max="58" width="14.7109375" style="448" customWidth="1"/>
    <col min="59" max="59" width="5.140625" style="106" customWidth="1"/>
    <col min="60" max="60" width="14.28515625" style="106" customWidth="1"/>
    <col min="61" max="61" width="7.140625" style="106" customWidth="1"/>
    <col min="62" max="62" width="9" style="106" customWidth="1"/>
    <col min="63" max="63" width="10.5703125" style="106" customWidth="1"/>
    <col min="64" max="64" width="17.7109375" style="106" customWidth="1"/>
    <col min="65" max="65" width="33" style="337" customWidth="1"/>
    <col min="66" max="66" width="9.140625" style="106" customWidth="1"/>
    <col min="67" max="67" width="18.85546875" style="106" bestFit="1" customWidth="1"/>
    <col min="68" max="68" width="9.140625" style="106" customWidth="1"/>
    <col min="69" max="69" width="20.85546875" style="106" bestFit="1" customWidth="1"/>
    <col min="70" max="70" width="9.140625" style="106" customWidth="1"/>
    <col min="71" max="71" width="18.85546875" style="106" bestFit="1" customWidth="1"/>
    <col min="72" max="74" width="9.140625" style="106" customWidth="1"/>
    <col min="75" max="75" width="18.85546875" style="106" bestFit="1" customWidth="1"/>
    <col min="76" max="77" width="9.140625" style="106" customWidth="1"/>
    <col min="78" max="160" width="9.140625" style="106"/>
    <col min="161" max="16384" width="9.140625" style="448"/>
  </cols>
  <sheetData>
    <row r="1" spans="1:160" s="106" customFormat="1" ht="16.5" hidden="1" customHeight="1" x14ac:dyDescent="0.25">
      <c r="A1" s="928" t="s">
        <v>407</v>
      </c>
      <c r="B1" s="928"/>
      <c r="C1" s="928"/>
      <c r="D1" s="929" t="s">
        <v>401</v>
      </c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  <c r="R1" s="929"/>
      <c r="S1" s="404"/>
      <c r="T1" s="404"/>
      <c r="U1" s="404"/>
      <c r="V1" s="404"/>
      <c r="W1" s="291"/>
      <c r="X1" s="291"/>
      <c r="Y1" s="291"/>
      <c r="Z1" s="291"/>
      <c r="AA1" s="449"/>
      <c r="BM1" s="337"/>
    </row>
    <row r="2" spans="1:160" s="106" customFormat="1" ht="16.5" hidden="1" customHeight="1" x14ac:dyDescent="0.25">
      <c r="A2" s="928" t="s">
        <v>403</v>
      </c>
      <c r="B2" s="928"/>
      <c r="C2" s="928"/>
      <c r="D2" s="929" t="s">
        <v>402</v>
      </c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404"/>
      <c r="T2" s="404"/>
      <c r="U2" s="404"/>
      <c r="V2" s="404"/>
      <c r="W2" s="291"/>
      <c r="X2" s="291"/>
      <c r="Y2" s="291"/>
      <c r="Z2" s="291"/>
      <c r="AA2" s="351" t="s">
        <v>781</v>
      </c>
      <c r="AB2" s="351">
        <v>8.34</v>
      </c>
      <c r="AC2" s="351"/>
      <c r="AD2" s="351">
        <v>2.85</v>
      </c>
      <c r="AE2" s="351"/>
      <c r="AF2" s="351">
        <v>8.3800000000000008</v>
      </c>
      <c r="AG2" s="351"/>
      <c r="AH2" s="351">
        <v>7.49</v>
      </c>
      <c r="AI2" s="351"/>
      <c r="AJ2" s="351">
        <v>3.33</v>
      </c>
      <c r="AK2" s="351"/>
      <c r="AL2" s="351">
        <v>6.64</v>
      </c>
      <c r="AM2" s="351"/>
      <c r="AN2" s="351">
        <v>3.67</v>
      </c>
      <c r="AO2" s="351"/>
      <c r="AP2" s="351">
        <v>5.0599999999999996</v>
      </c>
      <c r="AQ2" s="351"/>
      <c r="AR2" s="351">
        <v>5.94</v>
      </c>
      <c r="AS2" s="351"/>
      <c r="AT2" s="351">
        <v>6.85</v>
      </c>
      <c r="AU2" s="351"/>
      <c r="AV2" s="351">
        <v>7.45</v>
      </c>
      <c r="AW2" s="351"/>
      <c r="AX2" s="351">
        <v>5.13</v>
      </c>
      <c r="AY2" s="351"/>
      <c r="AZ2" s="351">
        <v>4.8600000000000003</v>
      </c>
      <c r="BA2" s="351"/>
      <c r="BB2" s="351">
        <v>5.79</v>
      </c>
      <c r="BC2" s="351"/>
      <c r="BD2" s="351">
        <v>5.3</v>
      </c>
      <c r="BE2" s="351"/>
      <c r="BF2" s="351">
        <v>3.47</v>
      </c>
      <c r="BG2" s="351"/>
      <c r="BH2" s="351">
        <v>9.42</v>
      </c>
      <c r="BI2" s="351"/>
      <c r="BJ2" s="351"/>
      <c r="BK2" s="351"/>
      <c r="BL2" s="351"/>
      <c r="BM2" s="337"/>
    </row>
    <row r="3" spans="1:160" s="106" customFormat="1" ht="21.75" hidden="1" customHeight="1" x14ac:dyDescent="0.25">
      <c r="A3" s="928" t="s">
        <v>404</v>
      </c>
      <c r="B3" s="928"/>
      <c r="C3" s="928"/>
      <c r="D3" s="929" t="s">
        <v>746</v>
      </c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404"/>
      <c r="T3" s="404"/>
      <c r="U3" s="404"/>
      <c r="V3" s="404"/>
      <c r="W3" s="291"/>
      <c r="X3" s="291"/>
      <c r="Y3" s="291"/>
      <c r="Z3" s="291"/>
      <c r="AA3" s="351" t="s">
        <v>779</v>
      </c>
      <c r="AB3" s="351">
        <v>48</v>
      </c>
      <c r="AC3" s="351"/>
      <c r="AD3" s="351">
        <v>23</v>
      </c>
      <c r="AE3" s="351"/>
      <c r="AF3" s="351">
        <v>80</v>
      </c>
      <c r="AG3" s="351"/>
      <c r="AH3" s="351">
        <v>105</v>
      </c>
      <c r="AI3" s="351"/>
      <c r="AJ3" s="351">
        <v>43</v>
      </c>
      <c r="AK3" s="351"/>
      <c r="AL3" s="351">
        <v>75</v>
      </c>
      <c r="AM3" s="351"/>
      <c r="AN3" s="351">
        <v>41</v>
      </c>
      <c r="AO3" s="351"/>
      <c r="AP3" s="351">
        <v>101</v>
      </c>
      <c r="AQ3" s="351"/>
      <c r="AR3" s="351">
        <v>8</v>
      </c>
      <c r="AS3" s="351"/>
      <c r="AT3" s="351">
        <v>33</v>
      </c>
      <c r="AU3" s="351"/>
      <c r="AV3" s="351">
        <v>53</v>
      </c>
      <c r="AW3" s="351"/>
      <c r="AX3" s="351">
        <v>52</v>
      </c>
      <c r="AY3" s="351"/>
      <c r="AZ3" s="351">
        <v>76</v>
      </c>
      <c r="BA3" s="351"/>
      <c r="BB3" s="351">
        <v>82</v>
      </c>
      <c r="BC3" s="351"/>
      <c r="BD3" s="351">
        <v>104</v>
      </c>
      <c r="BE3" s="351"/>
      <c r="BF3" s="351">
        <v>147</v>
      </c>
      <c r="BG3" s="351"/>
      <c r="BH3" s="351">
        <v>54</v>
      </c>
      <c r="BI3" s="351"/>
      <c r="BJ3" s="351"/>
      <c r="BK3" s="351"/>
      <c r="BL3" s="351"/>
      <c r="BM3" s="337"/>
    </row>
    <row r="4" spans="1:160" s="106" customFormat="1" ht="21.75" hidden="1" customHeight="1" x14ac:dyDescent="0.25">
      <c r="A4" s="928" t="s">
        <v>417</v>
      </c>
      <c r="B4" s="928"/>
      <c r="C4" s="928"/>
      <c r="D4" s="929" t="s">
        <v>201</v>
      </c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404"/>
      <c r="T4" s="404"/>
      <c r="U4" s="404"/>
      <c r="V4" s="404"/>
      <c r="W4" s="291"/>
      <c r="X4" s="291"/>
      <c r="Y4" s="291"/>
      <c r="Z4" s="291"/>
      <c r="AA4" s="351" t="s">
        <v>780</v>
      </c>
      <c r="AB4" s="442">
        <f>AB3/1125*100</f>
        <v>4.2666666666666666</v>
      </c>
      <c r="AC4" s="442">
        <f t="shared" ref="AC4:BH4" si="0">AC3/1125*100</f>
        <v>0</v>
      </c>
      <c r="AD4" s="442">
        <f t="shared" si="0"/>
        <v>2.0444444444444447</v>
      </c>
      <c r="AE4" s="442">
        <f t="shared" si="0"/>
        <v>0</v>
      </c>
      <c r="AF4" s="442">
        <f t="shared" si="0"/>
        <v>7.1111111111111107</v>
      </c>
      <c r="AG4" s="442">
        <f t="shared" si="0"/>
        <v>0</v>
      </c>
      <c r="AH4" s="442">
        <f t="shared" si="0"/>
        <v>9.3333333333333339</v>
      </c>
      <c r="AI4" s="442">
        <f t="shared" si="0"/>
        <v>0</v>
      </c>
      <c r="AJ4" s="442">
        <f t="shared" si="0"/>
        <v>3.822222222222222</v>
      </c>
      <c r="AK4" s="442">
        <f t="shared" si="0"/>
        <v>0</v>
      </c>
      <c r="AL4" s="442">
        <f t="shared" si="0"/>
        <v>6.666666666666667</v>
      </c>
      <c r="AM4" s="442">
        <f t="shared" si="0"/>
        <v>0</v>
      </c>
      <c r="AN4" s="442">
        <f t="shared" si="0"/>
        <v>3.6444444444444448</v>
      </c>
      <c r="AO4" s="442">
        <f t="shared" si="0"/>
        <v>0</v>
      </c>
      <c r="AP4" s="442">
        <f t="shared" si="0"/>
        <v>8.9777777777777779</v>
      </c>
      <c r="AQ4" s="442">
        <f t="shared" si="0"/>
        <v>0</v>
      </c>
      <c r="AR4" s="442">
        <f t="shared" si="0"/>
        <v>0.71111111111111114</v>
      </c>
      <c r="AS4" s="442">
        <f t="shared" si="0"/>
        <v>0</v>
      </c>
      <c r="AT4" s="442">
        <f t="shared" si="0"/>
        <v>2.9333333333333331</v>
      </c>
      <c r="AU4" s="442">
        <f t="shared" si="0"/>
        <v>0</v>
      </c>
      <c r="AV4" s="442">
        <f t="shared" si="0"/>
        <v>4.7111111111111112</v>
      </c>
      <c r="AW4" s="442">
        <f t="shared" si="0"/>
        <v>0</v>
      </c>
      <c r="AX4" s="442">
        <f t="shared" si="0"/>
        <v>4.6222222222222218</v>
      </c>
      <c r="AY4" s="442">
        <f t="shared" si="0"/>
        <v>0</v>
      </c>
      <c r="AZ4" s="442">
        <f t="shared" si="0"/>
        <v>6.7555555555555546</v>
      </c>
      <c r="BA4" s="442">
        <f t="shared" si="0"/>
        <v>0</v>
      </c>
      <c r="BB4" s="442">
        <f t="shared" si="0"/>
        <v>7.2888888888888896</v>
      </c>
      <c r="BC4" s="442">
        <f t="shared" si="0"/>
        <v>0</v>
      </c>
      <c r="BD4" s="442">
        <f t="shared" si="0"/>
        <v>9.2444444444444436</v>
      </c>
      <c r="BE4" s="442">
        <f t="shared" si="0"/>
        <v>0</v>
      </c>
      <c r="BF4" s="442">
        <f t="shared" si="0"/>
        <v>13.066666666666665</v>
      </c>
      <c r="BG4" s="442">
        <f t="shared" si="0"/>
        <v>0</v>
      </c>
      <c r="BH4" s="442">
        <f t="shared" si="0"/>
        <v>4.8</v>
      </c>
      <c r="BI4" s="351"/>
      <c r="BJ4" s="351"/>
      <c r="BK4" s="351"/>
      <c r="BL4" s="351"/>
      <c r="BM4" s="337"/>
    </row>
    <row r="5" spans="1:160" s="106" customFormat="1" ht="21.75" hidden="1" customHeight="1" x14ac:dyDescent="0.25">
      <c r="A5" s="928" t="s">
        <v>418</v>
      </c>
      <c r="B5" s="928"/>
      <c r="C5" s="928"/>
      <c r="D5" s="929" t="s">
        <v>419</v>
      </c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29"/>
      <c r="Q5" s="929"/>
      <c r="R5" s="929"/>
      <c r="S5" s="404"/>
      <c r="T5" s="404"/>
      <c r="U5" s="404"/>
      <c r="V5" s="404"/>
      <c r="W5" s="291"/>
      <c r="X5" s="291"/>
      <c r="Y5" s="291"/>
      <c r="Z5" s="29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37"/>
    </row>
    <row r="6" spans="1:160" ht="16.5" customHeight="1" x14ac:dyDescent="0.25">
      <c r="A6" s="994"/>
      <c r="B6" s="995"/>
      <c r="C6" s="995"/>
      <c r="D6" s="995"/>
      <c r="E6" s="996"/>
      <c r="F6" s="451"/>
      <c r="G6" s="983" t="s">
        <v>22</v>
      </c>
      <c r="H6" s="984"/>
      <c r="I6" s="932" t="s">
        <v>400</v>
      </c>
      <c r="J6" s="933"/>
      <c r="K6" s="933"/>
      <c r="L6" s="933"/>
      <c r="M6" s="933"/>
      <c r="N6" s="933"/>
      <c r="O6" s="933"/>
      <c r="P6" s="933"/>
      <c r="Q6" s="933"/>
      <c r="R6" s="934"/>
      <c r="S6" s="986" t="s">
        <v>66</v>
      </c>
      <c r="T6" s="987"/>
      <c r="U6" s="987"/>
      <c r="V6" s="988"/>
      <c r="W6" s="977" t="s">
        <v>6</v>
      </c>
      <c r="X6" s="978"/>
      <c r="Y6" s="978"/>
      <c r="Z6" s="979"/>
      <c r="AA6" s="956" t="s">
        <v>432</v>
      </c>
      <c r="AB6" s="956"/>
      <c r="AC6" s="956" t="s">
        <v>433</v>
      </c>
      <c r="AD6" s="956"/>
      <c r="AE6" s="956" t="s">
        <v>434</v>
      </c>
      <c r="AF6" s="956"/>
      <c r="AG6" s="956" t="s">
        <v>435</v>
      </c>
      <c r="AH6" s="956"/>
      <c r="AI6" s="956" t="s">
        <v>436</v>
      </c>
      <c r="AJ6" s="956"/>
      <c r="AK6" s="956" t="s">
        <v>437</v>
      </c>
      <c r="AL6" s="956"/>
      <c r="AM6" s="956" t="s">
        <v>438</v>
      </c>
      <c r="AN6" s="956"/>
      <c r="AO6" s="956" t="s">
        <v>439</v>
      </c>
      <c r="AP6" s="956"/>
      <c r="AQ6" s="956" t="s">
        <v>440</v>
      </c>
      <c r="AR6" s="956"/>
      <c r="AS6" s="956" t="s">
        <v>441</v>
      </c>
      <c r="AT6" s="956"/>
      <c r="AU6" s="956" t="s">
        <v>442</v>
      </c>
      <c r="AV6" s="956"/>
      <c r="AW6" s="956" t="s">
        <v>443</v>
      </c>
      <c r="AX6" s="956"/>
      <c r="AY6" s="956" t="s">
        <v>444</v>
      </c>
      <c r="AZ6" s="956"/>
      <c r="BA6" s="956" t="s">
        <v>445</v>
      </c>
      <c r="BB6" s="956"/>
      <c r="BC6" s="956" t="s">
        <v>446</v>
      </c>
      <c r="BD6" s="956"/>
      <c r="BE6" s="956" t="s">
        <v>447</v>
      </c>
      <c r="BF6" s="956"/>
      <c r="BG6" s="956" t="s">
        <v>448</v>
      </c>
      <c r="BH6" s="956"/>
      <c r="BI6" s="956" t="s">
        <v>449</v>
      </c>
      <c r="BJ6" s="956"/>
      <c r="BK6" s="956" t="s">
        <v>18</v>
      </c>
      <c r="BL6" s="956"/>
      <c r="BM6" s="864" t="s">
        <v>496</v>
      </c>
    </row>
    <row r="7" spans="1:160" ht="15" customHeight="1" x14ac:dyDescent="0.25">
      <c r="A7" s="452" t="s">
        <v>14</v>
      </c>
      <c r="B7" s="452"/>
      <c r="C7" s="973" t="s">
        <v>62</v>
      </c>
      <c r="D7" s="973" t="s">
        <v>12</v>
      </c>
      <c r="E7" s="973" t="s">
        <v>15</v>
      </c>
      <c r="F7" s="971" t="s">
        <v>38</v>
      </c>
      <c r="G7" s="971" t="s">
        <v>48</v>
      </c>
      <c r="H7" s="992" t="s">
        <v>16</v>
      </c>
      <c r="I7" s="67" t="s">
        <v>455</v>
      </c>
      <c r="J7" s="67" t="s">
        <v>456</v>
      </c>
      <c r="K7" s="67" t="s">
        <v>457</v>
      </c>
      <c r="L7" s="67" t="s">
        <v>458</v>
      </c>
      <c r="M7" s="67" t="s">
        <v>459</v>
      </c>
      <c r="N7" s="67" t="s">
        <v>460</v>
      </c>
      <c r="O7" s="67" t="s">
        <v>461</v>
      </c>
      <c r="P7" s="67" t="s">
        <v>462</v>
      </c>
      <c r="Q7" s="67" t="s">
        <v>463</v>
      </c>
      <c r="R7" s="67" t="s">
        <v>464</v>
      </c>
      <c r="S7" s="989"/>
      <c r="T7" s="990"/>
      <c r="U7" s="990"/>
      <c r="V7" s="991"/>
      <c r="W7" s="980"/>
      <c r="X7" s="981"/>
      <c r="Y7" s="981"/>
      <c r="Z7" s="982"/>
      <c r="AA7" s="956"/>
      <c r="AB7" s="956"/>
      <c r="AC7" s="956" t="s">
        <v>49</v>
      </c>
      <c r="AD7" s="956"/>
      <c r="AE7" s="956" t="s">
        <v>50</v>
      </c>
      <c r="AF7" s="956"/>
      <c r="AG7" s="956" t="s">
        <v>51</v>
      </c>
      <c r="AH7" s="956"/>
      <c r="AI7" s="956" t="s">
        <v>52</v>
      </c>
      <c r="AJ7" s="956"/>
      <c r="AK7" s="956" t="s">
        <v>53</v>
      </c>
      <c r="AL7" s="956"/>
      <c r="AM7" s="956" t="s">
        <v>54</v>
      </c>
      <c r="AN7" s="956"/>
      <c r="AO7" s="956" t="s">
        <v>55</v>
      </c>
      <c r="AP7" s="956"/>
      <c r="AQ7" s="956" t="s">
        <v>56</v>
      </c>
      <c r="AR7" s="956"/>
      <c r="AS7" s="956" t="s">
        <v>57</v>
      </c>
      <c r="AT7" s="956"/>
      <c r="AU7" s="956" t="s">
        <v>58</v>
      </c>
      <c r="AV7" s="956"/>
      <c r="AW7" s="956" t="s">
        <v>59</v>
      </c>
      <c r="AX7" s="956"/>
      <c r="AY7" s="956" t="s">
        <v>60</v>
      </c>
      <c r="AZ7" s="956"/>
      <c r="BA7" s="956" t="s">
        <v>61</v>
      </c>
      <c r="BB7" s="956"/>
      <c r="BC7" s="956" t="s">
        <v>45</v>
      </c>
      <c r="BD7" s="956"/>
      <c r="BE7" s="956" t="s">
        <v>42</v>
      </c>
      <c r="BF7" s="956"/>
      <c r="BG7" s="956"/>
      <c r="BH7" s="956"/>
      <c r="BI7" s="956"/>
      <c r="BJ7" s="956"/>
      <c r="BK7" s="956"/>
      <c r="BL7" s="956"/>
      <c r="BM7" s="864"/>
      <c r="BO7" s="863" t="s">
        <v>494</v>
      </c>
      <c r="BP7" s="863"/>
      <c r="BQ7" s="863"/>
      <c r="BR7" s="863"/>
      <c r="BS7" s="863"/>
      <c r="BT7" s="863" t="s">
        <v>495</v>
      </c>
      <c r="BU7" s="863"/>
      <c r="BV7" s="863"/>
      <c r="BW7" s="864" t="s">
        <v>18</v>
      </c>
    </row>
    <row r="8" spans="1:160" ht="40.5" customHeight="1" x14ac:dyDescent="0.25">
      <c r="A8" s="453"/>
      <c r="B8" s="453"/>
      <c r="C8" s="976"/>
      <c r="D8" s="976"/>
      <c r="E8" s="976"/>
      <c r="F8" s="972"/>
      <c r="G8" s="972"/>
      <c r="H8" s="993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454" t="s">
        <v>7</v>
      </c>
      <c r="T8" s="454" t="s">
        <v>8</v>
      </c>
      <c r="U8" s="454" t="s">
        <v>9</v>
      </c>
      <c r="V8" s="454" t="s">
        <v>10</v>
      </c>
      <c r="W8" s="78" t="s">
        <v>7</v>
      </c>
      <c r="X8" s="78" t="s">
        <v>8</v>
      </c>
      <c r="Y8" s="78" t="s">
        <v>9</v>
      </c>
      <c r="Z8" s="78" t="s">
        <v>10</v>
      </c>
      <c r="AA8" s="353" t="s">
        <v>15</v>
      </c>
      <c r="AB8" s="355" t="s">
        <v>16</v>
      </c>
      <c r="AC8" s="355" t="s">
        <v>15</v>
      </c>
      <c r="AD8" s="355" t="s">
        <v>16</v>
      </c>
      <c r="AE8" s="355" t="s">
        <v>15</v>
      </c>
      <c r="AF8" s="355" t="s">
        <v>16</v>
      </c>
      <c r="AG8" s="355" t="s">
        <v>15</v>
      </c>
      <c r="AH8" s="355" t="s">
        <v>16</v>
      </c>
      <c r="AI8" s="355" t="s">
        <v>15</v>
      </c>
      <c r="AJ8" s="355" t="s">
        <v>16</v>
      </c>
      <c r="AK8" s="355" t="s">
        <v>15</v>
      </c>
      <c r="AL8" s="355" t="s">
        <v>16</v>
      </c>
      <c r="AM8" s="355" t="s">
        <v>15</v>
      </c>
      <c r="AN8" s="355" t="s">
        <v>16</v>
      </c>
      <c r="AO8" s="355" t="s">
        <v>15</v>
      </c>
      <c r="AP8" s="355" t="s">
        <v>16</v>
      </c>
      <c r="AQ8" s="355" t="s">
        <v>15</v>
      </c>
      <c r="AR8" s="355" t="s">
        <v>16</v>
      </c>
      <c r="AS8" s="355" t="s">
        <v>15</v>
      </c>
      <c r="AT8" s="355" t="s">
        <v>16</v>
      </c>
      <c r="AU8" s="355" t="s">
        <v>15</v>
      </c>
      <c r="AV8" s="355" t="s">
        <v>16</v>
      </c>
      <c r="AW8" s="355" t="s">
        <v>15</v>
      </c>
      <c r="AX8" s="355" t="s">
        <v>16</v>
      </c>
      <c r="AY8" s="355" t="s">
        <v>15</v>
      </c>
      <c r="AZ8" s="355" t="s">
        <v>16</v>
      </c>
      <c r="BA8" s="355" t="s">
        <v>15</v>
      </c>
      <c r="BB8" s="355" t="s">
        <v>16</v>
      </c>
      <c r="BC8" s="355" t="s">
        <v>15</v>
      </c>
      <c r="BD8" s="355" t="s">
        <v>16</v>
      </c>
      <c r="BE8" s="355" t="s">
        <v>15</v>
      </c>
      <c r="BF8" s="355" t="s">
        <v>16</v>
      </c>
      <c r="BG8" s="355" t="s">
        <v>15</v>
      </c>
      <c r="BH8" s="355" t="s">
        <v>16</v>
      </c>
      <c r="BI8" s="355" t="s">
        <v>41</v>
      </c>
      <c r="BJ8" s="355" t="s">
        <v>16</v>
      </c>
      <c r="BK8" s="355" t="s">
        <v>15</v>
      </c>
      <c r="BL8" s="355" t="s">
        <v>16</v>
      </c>
      <c r="BM8" s="864"/>
      <c r="BO8" s="118" t="s">
        <v>485</v>
      </c>
      <c r="BP8" s="357" t="s">
        <v>486</v>
      </c>
      <c r="BQ8" s="357" t="s">
        <v>487</v>
      </c>
      <c r="BR8" s="358" t="s">
        <v>488</v>
      </c>
      <c r="BS8" s="359" t="s">
        <v>489</v>
      </c>
      <c r="BT8" s="357" t="s">
        <v>490</v>
      </c>
      <c r="BU8" s="357" t="s">
        <v>491</v>
      </c>
      <c r="BV8" s="359" t="s">
        <v>492</v>
      </c>
      <c r="BW8" s="864"/>
    </row>
    <row r="9" spans="1:160" x14ac:dyDescent="0.25">
      <c r="A9" s="973" t="s">
        <v>201</v>
      </c>
      <c r="B9" s="348"/>
      <c r="C9" s="118">
        <v>31000</v>
      </c>
      <c r="D9" s="357" t="s">
        <v>419</v>
      </c>
      <c r="E9" s="357"/>
      <c r="F9" s="357"/>
      <c r="G9" s="357"/>
      <c r="H9" s="455"/>
      <c r="I9" s="455"/>
      <c r="J9" s="455"/>
      <c r="K9" s="455"/>
      <c r="L9" s="455"/>
      <c r="M9" s="455"/>
      <c r="N9" s="455"/>
      <c r="O9" s="455"/>
      <c r="P9" s="456"/>
      <c r="Q9" s="456"/>
      <c r="R9" s="456"/>
      <c r="S9" s="457"/>
      <c r="T9" s="457"/>
      <c r="U9" s="458"/>
      <c r="V9" s="458"/>
      <c r="W9" s="459"/>
      <c r="X9" s="459"/>
      <c r="Y9" s="459"/>
      <c r="Z9" s="459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60"/>
      <c r="BC9" s="460"/>
      <c r="BD9" s="460"/>
      <c r="BE9" s="460"/>
      <c r="BF9" s="460"/>
      <c r="BG9" s="460"/>
      <c r="BH9" s="460"/>
      <c r="BI9" s="460"/>
      <c r="BJ9" s="460"/>
      <c r="BK9" s="460"/>
      <c r="BL9" s="460"/>
      <c r="BM9" s="338"/>
      <c r="BO9" s="375"/>
      <c r="BP9" s="375"/>
      <c r="BQ9" s="375"/>
      <c r="BR9" s="375"/>
      <c r="BS9" s="375"/>
      <c r="BT9" s="375"/>
      <c r="BU9" s="375"/>
      <c r="BV9" s="375"/>
      <c r="BW9" s="373"/>
    </row>
    <row r="10" spans="1:160" ht="31.5" x14ac:dyDescent="0.25">
      <c r="A10" s="974"/>
      <c r="B10" s="349"/>
      <c r="C10" s="357">
        <v>31100</v>
      </c>
      <c r="D10" s="357" t="s">
        <v>202</v>
      </c>
      <c r="E10" s="357"/>
      <c r="F10" s="357"/>
      <c r="G10" s="357"/>
      <c r="H10" s="455"/>
      <c r="I10" s="455"/>
      <c r="J10" s="455"/>
      <c r="K10" s="455"/>
      <c r="L10" s="455"/>
      <c r="M10" s="455"/>
      <c r="N10" s="455"/>
      <c r="O10" s="455"/>
      <c r="P10" s="357"/>
      <c r="Q10" s="357"/>
      <c r="R10" s="357"/>
      <c r="S10" s="458"/>
      <c r="T10" s="458"/>
      <c r="U10" s="458"/>
      <c r="V10" s="458"/>
      <c r="W10" s="459"/>
      <c r="X10" s="459"/>
      <c r="Y10" s="459"/>
      <c r="Z10" s="459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338"/>
      <c r="BO10" s="375"/>
      <c r="BP10" s="375"/>
      <c r="BQ10" s="375"/>
      <c r="BR10" s="375"/>
      <c r="BS10" s="375"/>
      <c r="BT10" s="375"/>
      <c r="BU10" s="375"/>
      <c r="BV10" s="375"/>
      <c r="BW10" s="373"/>
    </row>
    <row r="11" spans="1:160" x14ac:dyDescent="0.25">
      <c r="A11" s="974"/>
      <c r="B11" s="349"/>
      <c r="C11" s="357"/>
      <c r="D11" s="205" t="s">
        <v>203</v>
      </c>
      <c r="E11" s="205" t="s">
        <v>173</v>
      </c>
      <c r="F11" s="378">
        <f>5*100000</f>
        <v>500000</v>
      </c>
      <c r="G11" s="205">
        <f>BK11</f>
        <v>0</v>
      </c>
      <c r="H11" s="455">
        <f>F11*G11</f>
        <v>0</v>
      </c>
      <c r="I11" s="455">
        <f>H11*0.005</f>
        <v>0</v>
      </c>
      <c r="J11" s="455">
        <f>H11*0.027</f>
        <v>0</v>
      </c>
      <c r="K11" s="455">
        <f>H11*0.092</f>
        <v>0</v>
      </c>
      <c r="L11" s="455">
        <f>H11*0</f>
        <v>0</v>
      </c>
      <c r="M11" s="455">
        <f>H11*0.585</f>
        <v>0</v>
      </c>
      <c r="N11" s="455">
        <f>H11*0</f>
        <v>0</v>
      </c>
      <c r="O11" s="455">
        <f>H11*0.169</f>
        <v>0</v>
      </c>
      <c r="P11" s="455">
        <f>H11*0</f>
        <v>0</v>
      </c>
      <c r="Q11" s="455">
        <f>H11*0.002</f>
        <v>0</v>
      </c>
      <c r="R11" s="455">
        <f>H11*0.12</f>
        <v>0</v>
      </c>
      <c r="S11" s="458"/>
      <c r="T11" s="458"/>
      <c r="U11" s="458"/>
      <c r="V11" s="458"/>
      <c r="W11" s="459">
        <f>S11*F11</f>
        <v>0</v>
      </c>
      <c r="X11" s="459">
        <f>T11*F11</f>
        <v>0</v>
      </c>
      <c r="Y11" s="459">
        <f>U11*F11</f>
        <v>0</v>
      </c>
      <c r="Z11" s="459">
        <f>V11*F11</f>
        <v>0</v>
      </c>
      <c r="AA11" s="47">
        <v>0</v>
      </c>
      <c r="AB11" s="133">
        <f>AA11*F11</f>
        <v>0</v>
      </c>
      <c r="AC11" s="47">
        <v>0</v>
      </c>
      <c r="AD11" s="133">
        <f>AC11*F11</f>
        <v>0</v>
      </c>
      <c r="AE11" s="47">
        <v>0</v>
      </c>
      <c r="AF11" s="133">
        <f>AE11*F11</f>
        <v>0</v>
      </c>
      <c r="AG11" s="47">
        <v>0</v>
      </c>
      <c r="AH11" s="133">
        <f>AG11*F11</f>
        <v>0</v>
      </c>
      <c r="AI11" s="47">
        <v>0</v>
      </c>
      <c r="AJ11" s="133">
        <f>AI11*F11</f>
        <v>0</v>
      </c>
      <c r="AK11" s="47">
        <v>0</v>
      </c>
      <c r="AL11" s="133">
        <f>AK11*F11</f>
        <v>0</v>
      </c>
      <c r="AM11" s="47">
        <v>0</v>
      </c>
      <c r="AN11" s="133">
        <f>AM11*F11</f>
        <v>0</v>
      </c>
      <c r="AO11" s="47">
        <v>0</v>
      </c>
      <c r="AP11" s="133">
        <f>AO11*F11</f>
        <v>0</v>
      </c>
      <c r="AQ11" s="47">
        <v>0</v>
      </c>
      <c r="AR11" s="133">
        <f>AQ11*F11</f>
        <v>0</v>
      </c>
      <c r="AS11" s="47">
        <v>0</v>
      </c>
      <c r="AT11" s="133">
        <f>AS11*F11</f>
        <v>0</v>
      </c>
      <c r="AU11" s="47">
        <v>0</v>
      </c>
      <c r="AV11" s="133">
        <f>AU11*F11</f>
        <v>0</v>
      </c>
      <c r="AW11" s="47">
        <v>0</v>
      </c>
      <c r="AX11" s="133">
        <f>AW11*F11</f>
        <v>0</v>
      </c>
      <c r="AY11" s="47">
        <v>0</v>
      </c>
      <c r="AZ11" s="133">
        <f>AY11*F11</f>
        <v>0</v>
      </c>
      <c r="BA11" s="47">
        <v>0</v>
      </c>
      <c r="BB11" s="133">
        <f>BA11*F11</f>
        <v>0</v>
      </c>
      <c r="BC11" s="47">
        <v>0</v>
      </c>
      <c r="BD11" s="133">
        <f>BC11*F11</f>
        <v>0</v>
      </c>
      <c r="BE11" s="47">
        <v>0</v>
      </c>
      <c r="BF11" s="133">
        <f>BE11*F11</f>
        <v>0</v>
      </c>
      <c r="BG11" s="47">
        <v>0</v>
      </c>
      <c r="BH11" s="133">
        <f>BG11*F11</f>
        <v>0</v>
      </c>
      <c r="BI11" s="47">
        <v>0</v>
      </c>
      <c r="BJ11" s="133">
        <f>BI11*F11</f>
        <v>0</v>
      </c>
      <c r="BK11" s="47">
        <f>AA11+AC11+AE11+AG11+AI11+AK11+AM11+AO11+AQ11+AS11+AU11+AW11+AY11+BA11+BC11+BE11+BG11+BI11</f>
        <v>0</v>
      </c>
      <c r="BL11" s="85">
        <f>AB11+AD11+AF11+AH11+AJ11+AL11+AN11+AP11+AR11+AT11+AV11+AX11+AZ11+BB11+BD11+BF11+BH11+BJ11</f>
        <v>0</v>
      </c>
      <c r="BM11" s="330" t="s">
        <v>467</v>
      </c>
      <c r="BO11" s="375"/>
      <c r="BP11" s="375"/>
      <c r="BQ11" s="375"/>
      <c r="BR11" s="375"/>
      <c r="BS11" s="375">
        <f>BO11+BP11+BQ11+BR11</f>
        <v>0</v>
      </c>
      <c r="BT11" s="375"/>
      <c r="BU11" s="375"/>
      <c r="BV11" s="375">
        <f>BT11+BU11</f>
        <v>0</v>
      </c>
      <c r="BW11" s="377">
        <f>BS11+BV11</f>
        <v>0</v>
      </c>
    </row>
    <row r="12" spans="1:160" s="100" customFormat="1" x14ac:dyDescent="0.25">
      <c r="A12" s="974"/>
      <c r="B12" s="349"/>
      <c r="C12" s="135"/>
      <c r="D12" s="205" t="s">
        <v>204</v>
      </c>
      <c r="E12" s="205" t="s">
        <v>173</v>
      </c>
      <c r="F12" s="378">
        <f>0*100000</f>
        <v>0</v>
      </c>
      <c r="G12" s="205">
        <f>BK12</f>
        <v>0</v>
      </c>
      <c r="H12" s="455">
        <f>F12*G12</f>
        <v>0</v>
      </c>
      <c r="I12" s="455">
        <f>H12*0.005</f>
        <v>0</v>
      </c>
      <c r="J12" s="455">
        <f>H12*0.027</f>
        <v>0</v>
      </c>
      <c r="K12" s="455">
        <f>H12*0.092</f>
        <v>0</v>
      </c>
      <c r="L12" s="455">
        <f>H12*0</f>
        <v>0</v>
      </c>
      <c r="M12" s="455">
        <f>H12*0.585</f>
        <v>0</v>
      </c>
      <c r="N12" s="455">
        <f>H12*0</f>
        <v>0</v>
      </c>
      <c r="O12" s="455">
        <f>H12*0.169</f>
        <v>0</v>
      </c>
      <c r="P12" s="455">
        <f>H12*0</f>
        <v>0</v>
      </c>
      <c r="Q12" s="455">
        <f>H12*0.002</f>
        <v>0</v>
      </c>
      <c r="R12" s="455">
        <f>H12*0.12</f>
        <v>0</v>
      </c>
      <c r="S12" s="142"/>
      <c r="T12" s="142"/>
      <c r="U12" s="142"/>
      <c r="V12" s="142"/>
      <c r="W12" s="459">
        <f>S12*F12</f>
        <v>0</v>
      </c>
      <c r="X12" s="459">
        <f>T12*F12</f>
        <v>0</v>
      </c>
      <c r="Y12" s="459">
        <f>U12*F12</f>
        <v>0</v>
      </c>
      <c r="Z12" s="459">
        <f>V12*F12</f>
        <v>0</v>
      </c>
      <c r="AA12" s="47">
        <v>0</v>
      </c>
      <c r="AB12" s="133">
        <f>AA12*F12</f>
        <v>0</v>
      </c>
      <c r="AC12" s="135">
        <v>0</v>
      </c>
      <c r="AD12" s="133">
        <f t="shared" ref="AD12:AD51" si="1">AC12*F12</f>
        <v>0</v>
      </c>
      <c r="AE12" s="135">
        <v>0</v>
      </c>
      <c r="AF12" s="133">
        <f t="shared" ref="AF12:AF51" si="2">AE12*F12</f>
        <v>0</v>
      </c>
      <c r="AG12" s="135">
        <v>0</v>
      </c>
      <c r="AH12" s="133">
        <f t="shared" ref="AH12:AH51" si="3">AG12*F12</f>
        <v>0</v>
      </c>
      <c r="AI12" s="135">
        <v>0</v>
      </c>
      <c r="AJ12" s="133">
        <f t="shared" ref="AJ12:AJ51" si="4">AI12*F12</f>
        <v>0</v>
      </c>
      <c r="AK12" s="135">
        <v>0</v>
      </c>
      <c r="AL12" s="133">
        <f t="shared" ref="AL12:AL51" si="5">AK12*F12</f>
        <v>0</v>
      </c>
      <c r="AM12" s="135">
        <v>0</v>
      </c>
      <c r="AN12" s="133">
        <f t="shared" ref="AN12:AN51" si="6">AM12*F12</f>
        <v>0</v>
      </c>
      <c r="AO12" s="135">
        <v>0</v>
      </c>
      <c r="AP12" s="133">
        <f t="shared" ref="AP12:AP51" si="7">AO12*F12</f>
        <v>0</v>
      </c>
      <c r="AQ12" s="135">
        <v>0</v>
      </c>
      <c r="AR12" s="133">
        <f t="shared" ref="AR12:AR51" si="8">AQ12*F12</f>
        <v>0</v>
      </c>
      <c r="AS12" s="135">
        <v>0</v>
      </c>
      <c r="AT12" s="133">
        <f t="shared" ref="AT12:AT51" si="9">AS12*F12</f>
        <v>0</v>
      </c>
      <c r="AU12" s="135">
        <v>0</v>
      </c>
      <c r="AV12" s="133">
        <f t="shared" ref="AV12:AV51" si="10">AU12*F12</f>
        <v>0</v>
      </c>
      <c r="AW12" s="135">
        <v>0</v>
      </c>
      <c r="AX12" s="133">
        <f t="shared" ref="AX12:AX51" si="11">AW12*F12</f>
        <v>0</v>
      </c>
      <c r="AY12" s="135">
        <v>0</v>
      </c>
      <c r="AZ12" s="133">
        <f t="shared" ref="AZ12:AZ51" si="12">AY12*F12</f>
        <v>0</v>
      </c>
      <c r="BA12" s="135">
        <v>0</v>
      </c>
      <c r="BB12" s="133">
        <f t="shared" ref="BB12:BB51" si="13">BA12*F12</f>
        <v>0</v>
      </c>
      <c r="BC12" s="135">
        <v>0</v>
      </c>
      <c r="BD12" s="133">
        <f t="shared" ref="BD12:BD51" si="14">BC12*F12</f>
        <v>0</v>
      </c>
      <c r="BE12" s="135">
        <v>0</v>
      </c>
      <c r="BF12" s="133">
        <f t="shared" ref="BF12:BF51" si="15">BE12*F12</f>
        <v>0</v>
      </c>
      <c r="BG12" s="135">
        <v>0</v>
      </c>
      <c r="BH12" s="133">
        <f t="shared" ref="BH12:BH51" si="16">BG12*F12</f>
        <v>0</v>
      </c>
      <c r="BI12" s="135">
        <v>0</v>
      </c>
      <c r="BJ12" s="133">
        <f t="shared" ref="BJ12:BJ51" si="17">BI12*F12</f>
        <v>0</v>
      </c>
      <c r="BK12" s="47">
        <f>AA12+AC12+AE12+AG12+AI12+AK12+AM12+AO12+AQ12+AS12+AU12+AW12+AY12+BA12+BC12+BE12+BG12+BI12</f>
        <v>0</v>
      </c>
      <c r="BL12" s="85">
        <f>AB12+AD12+AF12+AH12+AJ12+AL12+AN12+AP12+AR12+AT12+AV12+AX12+AZ12+BB12+BD12+BF12+BH12+BJ12</f>
        <v>0</v>
      </c>
      <c r="BM12" s="330" t="s">
        <v>467</v>
      </c>
      <c r="BN12" s="106"/>
      <c r="BO12" s="375"/>
      <c r="BP12" s="375"/>
      <c r="BQ12" s="375"/>
      <c r="BR12" s="375"/>
      <c r="BS12" s="375">
        <f t="shared" ref="BS12:BS19" si="18">BO12+BP12+BQ12+BR12</f>
        <v>0</v>
      </c>
      <c r="BT12" s="375"/>
      <c r="BU12" s="375"/>
      <c r="BV12" s="375">
        <f t="shared" ref="BV12:BV19" si="19">BT12+BU12</f>
        <v>0</v>
      </c>
      <c r="BW12" s="377">
        <f t="shared" ref="BW12:BW53" si="20">BS12+BV12</f>
        <v>0</v>
      </c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</row>
    <row r="13" spans="1:160" s="100" customFormat="1" x14ac:dyDescent="0.25">
      <c r="A13" s="974"/>
      <c r="B13" s="349"/>
      <c r="C13" s="461"/>
      <c r="D13" s="461"/>
      <c r="E13" s="461"/>
      <c r="F13" s="461"/>
      <c r="G13" s="461">
        <f>SUM(G11:G12)</f>
        <v>0</v>
      </c>
      <c r="H13" s="139">
        <f>SUM(H11:H12)</f>
        <v>0</v>
      </c>
      <c r="I13" s="139">
        <f t="shared" ref="I13:R13" si="21">SUM(I11:I12)</f>
        <v>0</v>
      </c>
      <c r="J13" s="139">
        <f t="shared" si="21"/>
        <v>0</v>
      </c>
      <c r="K13" s="139">
        <f t="shared" si="21"/>
        <v>0</v>
      </c>
      <c r="L13" s="139">
        <f t="shared" si="21"/>
        <v>0</v>
      </c>
      <c r="M13" s="139">
        <f t="shared" si="21"/>
        <v>0</v>
      </c>
      <c r="N13" s="139">
        <f t="shared" si="21"/>
        <v>0</v>
      </c>
      <c r="O13" s="139">
        <f t="shared" si="21"/>
        <v>0</v>
      </c>
      <c r="P13" s="139">
        <f t="shared" si="21"/>
        <v>0</v>
      </c>
      <c r="Q13" s="139">
        <f t="shared" si="21"/>
        <v>0</v>
      </c>
      <c r="R13" s="139">
        <f t="shared" si="21"/>
        <v>0</v>
      </c>
      <c r="S13" s="461">
        <f t="shared" ref="S13:Z13" si="22">SUM(S11:S12)</f>
        <v>0</v>
      </c>
      <c r="T13" s="462">
        <f t="shared" si="22"/>
        <v>0</v>
      </c>
      <c r="U13" s="461">
        <f t="shared" si="22"/>
        <v>0</v>
      </c>
      <c r="V13" s="461">
        <f t="shared" si="22"/>
        <v>0</v>
      </c>
      <c r="W13" s="139">
        <f t="shared" si="22"/>
        <v>0</v>
      </c>
      <c r="X13" s="139">
        <f t="shared" si="22"/>
        <v>0</v>
      </c>
      <c r="Y13" s="139">
        <f t="shared" si="22"/>
        <v>0</v>
      </c>
      <c r="Z13" s="139">
        <f t="shared" si="22"/>
        <v>0</v>
      </c>
      <c r="AA13" s="461">
        <f>SUM(AA11:AA12)</f>
        <v>0</v>
      </c>
      <c r="AB13" s="461">
        <f t="shared" ref="AB13:BL13" si="23">SUM(AB11:AB12)</f>
        <v>0</v>
      </c>
      <c r="AC13" s="461">
        <f t="shared" si="23"/>
        <v>0</v>
      </c>
      <c r="AD13" s="461">
        <f t="shared" si="23"/>
        <v>0</v>
      </c>
      <c r="AE13" s="461">
        <f t="shared" si="23"/>
        <v>0</v>
      </c>
      <c r="AF13" s="461">
        <f t="shared" si="23"/>
        <v>0</v>
      </c>
      <c r="AG13" s="461">
        <f t="shared" si="23"/>
        <v>0</v>
      </c>
      <c r="AH13" s="461">
        <f t="shared" si="23"/>
        <v>0</v>
      </c>
      <c r="AI13" s="461">
        <f t="shared" si="23"/>
        <v>0</v>
      </c>
      <c r="AJ13" s="461">
        <f t="shared" si="23"/>
        <v>0</v>
      </c>
      <c r="AK13" s="461">
        <f t="shared" si="23"/>
        <v>0</v>
      </c>
      <c r="AL13" s="461">
        <f t="shared" si="23"/>
        <v>0</v>
      </c>
      <c r="AM13" s="461">
        <f t="shared" si="23"/>
        <v>0</v>
      </c>
      <c r="AN13" s="461">
        <f t="shared" si="23"/>
        <v>0</v>
      </c>
      <c r="AO13" s="461">
        <f t="shared" si="23"/>
        <v>0</v>
      </c>
      <c r="AP13" s="461">
        <f t="shared" si="23"/>
        <v>0</v>
      </c>
      <c r="AQ13" s="461">
        <f t="shared" si="23"/>
        <v>0</v>
      </c>
      <c r="AR13" s="461">
        <f t="shared" si="23"/>
        <v>0</v>
      </c>
      <c r="AS13" s="461">
        <f t="shared" si="23"/>
        <v>0</v>
      </c>
      <c r="AT13" s="461">
        <f t="shared" si="23"/>
        <v>0</v>
      </c>
      <c r="AU13" s="461">
        <f t="shared" si="23"/>
        <v>0</v>
      </c>
      <c r="AV13" s="461">
        <f t="shared" si="23"/>
        <v>0</v>
      </c>
      <c r="AW13" s="461">
        <f t="shared" si="23"/>
        <v>0</v>
      </c>
      <c r="AX13" s="461">
        <f t="shared" si="23"/>
        <v>0</v>
      </c>
      <c r="AY13" s="461">
        <f t="shared" si="23"/>
        <v>0</v>
      </c>
      <c r="AZ13" s="461">
        <f t="shared" si="23"/>
        <v>0</v>
      </c>
      <c r="BA13" s="461">
        <f t="shared" si="23"/>
        <v>0</v>
      </c>
      <c r="BB13" s="461">
        <f t="shared" si="23"/>
        <v>0</v>
      </c>
      <c r="BC13" s="461">
        <f t="shared" si="23"/>
        <v>0</v>
      </c>
      <c r="BD13" s="461">
        <f t="shared" si="23"/>
        <v>0</v>
      </c>
      <c r="BE13" s="461">
        <f t="shared" si="23"/>
        <v>0</v>
      </c>
      <c r="BF13" s="461">
        <f t="shared" si="23"/>
        <v>0</v>
      </c>
      <c r="BG13" s="461">
        <f t="shared" si="23"/>
        <v>0</v>
      </c>
      <c r="BH13" s="461">
        <f t="shared" si="23"/>
        <v>0</v>
      </c>
      <c r="BI13" s="461">
        <f t="shared" si="23"/>
        <v>0</v>
      </c>
      <c r="BJ13" s="461">
        <f t="shared" si="23"/>
        <v>0</v>
      </c>
      <c r="BK13" s="461">
        <f t="shared" si="23"/>
        <v>0</v>
      </c>
      <c r="BL13" s="461">
        <f t="shared" si="23"/>
        <v>0</v>
      </c>
      <c r="BM13" s="338"/>
      <c r="BN13" s="106"/>
      <c r="BO13" s="463"/>
      <c r="BP13" s="464"/>
      <c r="BQ13" s="464"/>
      <c r="BR13" s="464"/>
      <c r="BS13" s="464">
        <f t="shared" si="18"/>
        <v>0</v>
      </c>
      <c r="BT13" s="464"/>
      <c r="BU13" s="464"/>
      <c r="BV13" s="464">
        <f t="shared" si="19"/>
        <v>0</v>
      </c>
      <c r="BW13" s="465">
        <f t="shared" si="20"/>
        <v>0</v>
      </c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</row>
    <row r="14" spans="1:160" s="100" customFormat="1" x14ac:dyDescent="0.25">
      <c r="A14" s="974"/>
      <c r="B14" s="349"/>
      <c r="C14" s="357">
        <v>31200</v>
      </c>
      <c r="D14" s="357" t="s">
        <v>205</v>
      </c>
      <c r="E14" s="135"/>
      <c r="F14" s="135"/>
      <c r="G14" s="134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42"/>
      <c r="T14" s="142"/>
      <c r="U14" s="142"/>
      <c r="V14" s="142"/>
      <c r="W14" s="133"/>
      <c r="X14" s="133"/>
      <c r="Y14" s="133"/>
      <c r="Z14" s="133"/>
      <c r="AA14" s="135"/>
      <c r="AB14" s="133">
        <f t="shared" ref="AB14:AB51" si="24">AA14*F14</f>
        <v>0</v>
      </c>
      <c r="AC14" s="135"/>
      <c r="AD14" s="133">
        <f t="shared" si="1"/>
        <v>0</v>
      </c>
      <c r="AE14" s="135"/>
      <c r="AF14" s="133">
        <f t="shared" si="2"/>
        <v>0</v>
      </c>
      <c r="AG14" s="135"/>
      <c r="AH14" s="133">
        <f t="shared" si="3"/>
        <v>0</v>
      </c>
      <c r="AI14" s="135"/>
      <c r="AJ14" s="133">
        <f t="shared" si="4"/>
        <v>0</v>
      </c>
      <c r="AK14" s="135"/>
      <c r="AL14" s="133">
        <f t="shared" si="5"/>
        <v>0</v>
      </c>
      <c r="AM14" s="135"/>
      <c r="AN14" s="133">
        <f t="shared" si="6"/>
        <v>0</v>
      </c>
      <c r="AO14" s="135"/>
      <c r="AP14" s="133">
        <f t="shared" si="7"/>
        <v>0</v>
      </c>
      <c r="AQ14" s="135"/>
      <c r="AR14" s="133">
        <f t="shared" si="8"/>
        <v>0</v>
      </c>
      <c r="AS14" s="135"/>
      <c r="AT14" s="133">
        <f t="shared" si="9"/>
        <v>0</v>
      </c>
      <c r="AU14" s="135"/>
      <c r="AV14" s="133">
        <f t="shared" si="10"/>
        <v>0</v>
      </c>
      <c r="AW14" s="135"/>
      <c r="AX14" s="133">
        <f t="shared" si="11"/>
        <v>0</v>
      </c>
      <c r="AY14" s="135"/>
      <c r="AZ14" s="133">
        <f t="shared" si="12"/>
        <v>0</v>
      </c>
      <c r="BA14" s="135"/>
      <c r="BB14" s="133">
        <f t="shared" si="13"/>
        <v>0</v>
      </c>
      <c r="BC14" s="135"/>
      <c r="BD14" s="133">
        <f t="shared" si="14"/>
        <v>0</v>
      </c>
      <c r="BE14" s="135"/>
      <c r="BF14" s="133">
        <f t="shared" si="15"/>
        <v>0</v>
      </c>
      <c r="BG14" s="135"/>
      <c r="BH14" s="133">
        <f t="shared" si="16"/>
        <v>0</v>
      </c>
      <c r="BI14" s="135"/>
      <c r="BJ14" s="133">
        <f t="shared" si="17"/>
        <v>0</v>
      </c>
      <c r="BK14" s="135"/>
      <c r="BL14" s="133"/>
      <c r="BM14" s="338"/>
      <c r="BN14" s="106"/>
      <c r="BO14" s="375"/>
      <c r="BP14" s="375"/>
      <c r="BQ14" s="375"/>
      <c r="BR14" s="375"/>
      <c r="BS14" s="375">
        <f t="shared" si="18"/>
        <v>0</v>
      </c>
      <c r="BT14" s="375"/>
      <c r="BU14" s="375"/>
      <c r="BV14" s="375">
        <f t="shared" si="19"/>
        <v>0</v>
      </c>
      <c r="BW14" s="377">
        <f t="shared" si="20"/>
        <v>0</v>
      </c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</row>
    <row r="15" spans="1:160" s="100" customFormat="1" ht="31.5" x14ac:dyDescent="0.25">
      <c r="A15" s="974"/>
      <c r="B15" s="349"/>
      <c r="C15" s="205">
        <v>31210</v>
      </c>
      <c r="D15" s="205" t="s">
        <v>841</v>
      </c>
      <c r="E15" s="205" t="s">
        <v>208</v>
      </c>
      <c r="F15" s="378">
        <v>650000</v>
      </c>
      <c r="G15" s="205">
        <f>BK15</f>
        <v>102</v>
      </c>
      <c r="H15" s="455">
        <f>F15*G15</f>
        <v>66300000</v>
      </c>
      <c r="I15" s="455">
        <f>H15*0</f>
        <v>0</v>
      </c>
      <c r="J15" s="455">
        <f>H15*0</f>
        <v>0</v>
      </c>
      <c r="K15" s="455">
        <f>H15*0</f>
        <v>0</v>
      </c>
      <c r="L15" s="455">
        <f>H15*0</f>
        <v>0</v>
      </c>
      <c r="M15" s="455">
        <f>H15*1</f>
        <v>66300000</v>
      </c>
      <c r="N15" s="455">
        <f>H15*0</f>
        <v>0</v>
      </c>
      <c r="O15" s="455">
        <f>H15*0</f>
        <v>0</v>
      </c>
      <c r="P15" s="455">
        <f>H15*0</f>
        <v>0</v>
      </c>
      <c r="Q15" s="455">
        <f>H15*0</f>
        <v>0</v>
      </c>
      <c r="R15" s="455">
        <f>H15*0</f>
        <v>0</v>
      </c>
      <c r="S15" s="142">
        <v>2</v>
      </c>
      <c r="T15" s="142">
        <v>15</v>
      </c>
      <c r="U15" s="142">
        <v>50</v>
      </c>
      <c r="V15" s="142">
        <v>35</v>
      </c>
      <c r="W15" s="455">
        <f>S15*F15</f>
        <v>1300000</v>
      </c>
      <c r="X15" s="455">
        <f>T15*F15</f>
        <v>9750000</v>
      </c>
      <c r="Y15" s="455">
        <f>U15*F15</f>
        <v>32500000</v>
      </c>
      <c r="Z15" s="455">
        <f>V15*F15</f>
        <v>22750000</v>
      </c>
      <c r="AA15" s="135">
        <v>9</v>
      </c>
      <c r="AB15" s="133">
        <f t="shared" si="24"/>
        <v>5850000</v>
      </c>
      <c r="AC15" s="135">
        <v>5</v>
      </c>
      <c r="AD15" s="133">
        <f t="shared" si="1"/>
        <v>3250000</v>
      </c>
      <c r="AE15" s="135">
        <v>9</v>
      </c>
      <c r="AF15" s="133">
        <f t="shared" si="2"/>
        <v>5850000</v>
      </c>
      <c r="AG15" s="135">
        <v>6</v>
      </c>
      <c r="AH15" s="133">
        <f t="shared" si="3"/>
        <v>3900000</v>
      </c>
      <c r="AI15" s="135">
        <v>3</v>
      </c>
      <c r="AJ15" s="133">
        <f t="shared" si="4"/>
        <v>1950000</v>
      </c>
      <c r="AK15" s="135">
        <v>5</v>
      </c>
      <c r="AL15" s="133">
        <f t="shared" si="5"/>
        <v>3250000</v>
      </c>
      <c r="AM15" s="135">
        <v>5</v>
      </c>
      <c r="AN15" s="133">
        <f t="shared" si="6"/>
        <v>3250000</v>
      </c>
      <c r="AO15" s="135">
        <v>4</v>
      </c>
      <c r="AP15" s="133">
        <f t="shared" si="7"/>
        <v>2600000</v>
      </c>
      <c r="AQ15" s="135">
        <v>5</v>
      </c>
      <c r="AR15" s="133">
        <f t="shared" si="8"/>
        <v>3250000</v>
      </c>
      <c r="AS15" s="135">
        <v>8</v>
      </c>
      <c r="AT15" s="133">
        <f t="shared" si="9"/>
        <v>5200000</v>
      </c>
      <c r="AU15" s="135">
        <v>6</v>
      </c>
      <c r="AV15" s="133">
        <f t="shared" si="10"/>
        <v>3900000</v>
      </c>
      <c r="AW15" s="135">
        <v>5</v>
      </c>
      <c r="AX15" s="133">
        <f t="shared" si="11"/>
        <v>3250000</v>
      </c>
      <c r="AY15" s="135">
        <v>5</v>
      </c>
      <c r="AZ15" s="133">
        <f t="shared" si="12"/>
        <v>3250000</v>
      </c>
      <c r="BA15" s="135">
        <v>3</v>
      </c>
      <c r="BB15" s="133">
        <f t="shared" si="13"/>
        <v>1950000</v>
      </c>
      <c r="BC15" s="135">
        <v>10</v>
      </c>
      <c r="BD15" s="133">
        <f t="shared" si="14"/>
        <v>6500000</v>
      </c>
      <c r="BE15" s="135">
        <v>2</v>
      </c>
      <c r="BF15" s="133">
        <f t="shared" si="15"/>
        <v>1300000</v>
      </c>
      <c r="BG15" s="135">
        <v>12</v>
      </c>
      <c r="BH15" s="133">
        <f t="shared" si="16"/>
        <v>7800000</v>
      </c>
      <c r="BI15" s="135">
        <v>0</v>
      </c>
      <c r="BJ15" s="133">
        <f t="shared" si="17"/>
        <v>0</v>
      </c>
      <c r="BK15" s="47">
        <f t="shared" ref="BK15:BL19" si="25">AA15+AC15+AE15+AG15+AI15+AK15+AM15+AO15+AQ15+AS15+AU15+AW15+AY15+BA15+BC15+BE15+BG15+BI15</f>
        <v>102</v>
      </c>
      <c r="BL15" s="85">
        <f t="shared" si="25"/>
        <v>66300000</v>
      </c>
      <c r="BM15" s="330" t="s">
        <v>828</v>
      </c>
      <c r="BN15" s="106"/>
      <c r="BO15" s="375">
        <f>H15</f>
        <v>66300000</v>
      </c>
      <c r="BP15" s="375"/>
      <c r="BQ15" s="375"/>
      <c r="BR15" s="375"/>
      <c r="BS15" s="375">
        <f t="shared" si="18"/>
        <v>66300000</v>
      </c>
      <c r="BT15" s="375"/>
      <c r="BU15" s="375"/>
      <c r="BV15" s="375">
        <f t="shared" si="19"/>
        <v>0</v>
      </c>
      <c r="BW15" s="377">
        <f t="shared" si="20"/>
        <v>66300000</v>
      </c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</row>
    <row r="16" spans="1:160" s="100" customFormat="1" x14ac:dyDescent="0.25">
      <c r="A16" s="974"/>
      <c r="B16" s="349"/>
      <c r="C16" s="205">
        <v>31220</v>
      </c>
      <c r="D16" s="205" t="s">
        <v>637</v>
      </c>
      <c r="E16" s="205" t="s">
        <v>208</v>
      </c>
      <c r="F16" s="378">
        <f>1*135000</f>
        <v>135000</v>
      </c>
      <c r="G16" s="205">
        <f>BK16</f>
        <v>0</v>
      </c>
      <c r="H16" s="455">
        <f>F16*G16</f>
        <v>0</v>
      </c>
      <c r="I16" s="455">
        <f>H16*0</f>
        <v>0</v>
      </c>
      <c r="J16" s="455">
        <f>H16*0</f>
        <v>0</v>
      </c>
      <c r="K16" s="455">
        <f>H16*0</f>
        <v>0</v>
      </c>
      <c r="L16" s="455">
        <f>H16*0</f>
        <v>0</v>
      </c>
      <c r="M16" s="455">
        <f>H16*0.9</f>
        <v>0</v>
      </c>
      <c r="N16" s="455">
        <f>H16*0</f>
        <v>0</v>
      </c>
      <c r="O16" s="455">
        <f>H16*0</f>
        <v>0</v>
      </c>
      <c r="P16" s="455">
        <f>H16*0</f>
        <v>0</v>
      </c>
      <c r="Q16" s="455">
        <f>H16*0</f>
        <v>0</v>
      </c>
      <c r="R16" s="455">
        <f>H16*0.1</f>
        <v>0</v>
      </c>
      <c r="S16" s="142"/>
      <c r="T16" s="142">
        <f>G16*0.2</f>
        <v>0</v>
      </c>
      <c r="U16" s="142">
        <f>G16*0.6</f>
        <v>0</v>
      </c>
      <c r="V16" s="142">
        <f>G16*0.2</f>
        <v>0</v>
      </c>
      <c r="W16" s="455">
        <f>S16*F16</f>
        <v>0</v>
      </c>
      <c r="X16" s="455">
        <f>T16*F16</f>
        <v>0</v>
      </c>
      <c r="Y16" s="455">
        <f>U16*F16</f>
        <v>0</v>
      </c>
      <c r="Z16" s="455">
        <f>V16*F16</f>
        <v>0</v>
      </c>
      <c r="AA16" s="135">
        <v>0</v>
      </c>
      <c r="AB16" s="133">
        <f t="shared" si="24"/>
        <v>0</v>
      </c>
      <c r="AC16" s="135">
        <v>0</v>
      </c>
      <c r="AD16" s="133">
        <f t="shared" si="1"/>
        <v>0</v>
      </c>
      <c r="AE16" s="135">
        <v>0</v>
      </c>
      <c r="AF16" s="133">
        <f t="shared" si="2"/>
        <v>0</v>
      </c>
      <c r="AG16" s="135">
        <v>0</v>
      </c>
      <c r="AH16" s="133">
        <f t="shared" si="3"/>
        <v>0</v>
      </c>
      <c r="AI16" s="135">
        <v>0</v>
      </c>
      <c r="AJ16" s="133">
        <f t="shared" si="4"/>
        <v>0</v>
      </c>
      <c r="AK16" s="135">
        <v>0</v>
      </c>
      <c r="AL16" s="133">
        <f t="shared" si="5"/>
        <v>0</v>
      </c>
      <c r="AM16" s="135">
        <v>0</v>
      </c>
      <c r="AN16" s="133">
        <f t="shared" si="6"/>
        <v>0</v>
      </c>
      <c r="AO16" s="135">
        <v>0</v>
      </c>
      <c r="AP16" s="133">
        <f t="shared" si="7"/>
        <v>0</v>
      </c>
      <c r="AQ16" s="135">
        <v>0</v>
      </c>
      <c r="AR16" s="133">
        <f t="shared" si="8"/>
        <v>0</v>
      </c>
      <c r="AS16" s="135">
        <v>0</v>
      </c>
      <c r="AT16" s="133">
        <f t="shared" si="9"/>
        <v>0</v>
      </c>
      <c r="AU16" s="135">
        <v>0</v>
      </c>
      <c r="AV16" s="133">
        <f t="shared" si="10"/>
        <v>0</v>
      </c>
      <c r="AW16" s="135">
        <v>0</v>
      </c>
      <c r="AX16" s="133">
        <f t="shared" si="11"/>
        <v>0</v>
      </c>
      <c r="AY16" s="135">
        <v>0</v>
      </c>
      <c r="AZ16" s="133">
        <f t="shared" si="12"/>
        <v>0</v>
      </c>
      <c r="BA16" s="135">
        <v>0</v>
      </c>
      <c r="BB16" s="133">
        <f t="shared" si="13"/>
        <v>0</v>
      </c>
      <c r="BC16" s="135">
        <v>0</v>
      </c>
      <c r="BD16" s="133">
        <f t="shared" si="14"/>
        <v>0</v>
      </c>
      <c r="BE16" s="135">
        <v>0</v>
      </c>
      <c r="BF16" s="133">
        <f t="shared" si="15"/>
        <v>0</v>
      </c>
      <c r="BG16" s="135">
        <v>0</v>
      </c>
      <c r="BH16" s="133">
        <f t="shared" si="16"/>
        <v>0</v>
      </c>
      <c r="BI16" s="135">
        <v>0</v>
      </c>
      <c r="BJ16" s="133">
        <f t="shared" si="17"/>
        <v>0</v>
      </c>
      <c r="BK16" s="47">
        <f t="shared" si="25"/>
        <v>0</v>
      </c>
      <c r="BL16" s="85">
        <f t="shared" si="25"/>
        <v>0</v>
      </c>
      <c r="BM16" s="330" t="s">
        <v>829</v>
      </c>
      <c r="BN16" s="106"/>
      <c r="BO16" s="375">
        <f>H16</f>
        <v>0</v>
      </c>
      <c r="BP16" s="375"/>
      <c r="BQ16" s="375"/>
      <c r="BR16" s="375"/>
      <c r="BS16" s="375">
        <f t="shared" si="18"/>
        <v>0</v>
      </c>
      <c r="BT16" s="375"/>
      <c r="BU16" s="375"/>
      <c r="BV16" s="375">
        <f t="shared" si="19"/>
        <v>0</v>
      </c>
      <c r="BW16" s="377">
        <f t="shared" si="20"/>
        <v>0</v>
      </c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</row>
    <row r="17" spans="1:160" s="100" customFormat="1" ht="31.5" x14ac:dyDescent="0.25">
      <c r="A17" s="974"/>
      <c r="B17" s="349"/>
      <c r="C17" s="205">
        <v>31230</v>
      </c>
      <c r="D17" s="205" t="s">
        <v>206</v>
      </c>
      <c r="E17" s="205" t="s">
        <v>757</v>
      </c>
      <c r="F17" s="378"/>
      <c r="G17" s="205">
        <f>BK17</f>
        <v>2718</v>
      </c>
      <c r="H17" s="455">
        <f>F17*G17</f>
        <v>0</v>
      </c>
      <c r="I17" s="455">
        <f>H17*0</f>
        <v>0</v>
      </c>
      <c r="J17" s="455">
        <f>H17*0</f>
        <v>0</v>
      </c>
      <c r="K17" s="455">
        <f>H17*0</f>
        <v>0</v>
      </c>
      <c r="L17" s="455">
        <f>H17*0</f>
        <v>0</v>
      </c>
      <c r="M17" s="455">
        <f>H17*0.1</f>
        <v>0</v>
      </c>
      <c r="N17" s="455">
        <f>H17*0</f>
        <v>0</v>
      </c>
      <c r="O17" s="455">
        <f>H17*0</f>
        <v>0</v>
      </c>
      <c r="P17" s="455">
        <f>H17*0</f>
        <v>0</v>
      </c>
      <c r="Q17" s="455">
        <f>H17*0</f>
        <v>0</v>
      </c>
      <c r="R17" s="455">
        <f>H17*0.9</f>
        <v>0</v>
      </c>
      <c r="S17" s="142">
        <f>G17*0.15</f>
        <v>407.7</v>
      </c>
      <c r="T17" s="142">
        <f>G17*0.1</f>
        <v>271.8</v>
      </c>
      <c r="U17" s="142">
        <f>G17*0.6</f>
        <v>1630.8</v>
      </c>
      <c r="V17" s="142">
        <f>G17*0.15</f>
        <v>407.7</v>
      </c>
      <c r="W17" s="455">
        <f>S17*F17</f>
        <v>0</v>
      </c>
      <c r="X17" s="455">
        <f>T17*F17</f>
        <v>0</v>
      </c>
      <c r="Y17" s="455">
        <f>U17*F17</f>
        <v>0</v>
      </c>
      <c r="Z17" s="455">
        <f>V17*F17</f>
        <v>0</v>
      </c>
      <c r="AA17" s="135">
        <v>560</v>
      </c>
      <c r="AB17" s="133">
        <f t="shared" si="24"/>
        <v>0</v>
      </c>
      <c r="AC17" s="135">
        <v>150</v>
      </c>
      <c r="AD17" s="133">
        <f t="shared" si="1"/>
        <v>0</v>
      </c>
      <c r="AE17" s="135">
        <v>100</v>
      </c>
      <c r="AF17" s="133">
        <f t="shared" si="2"/>
        <v>0</v>
      </c>
      <c r="AG17" s="135">
        <v>0</v>
      </c>
      <c r="AH17" s="133">
        <f t="shared" si="3"/>
        <v>0</v>
      </c>
      <c r="AI17" s="135">
        <v>400</v>
      </c>
      <c r="AJ17" s="133">
        <f t="shared" si="4"/>
        <v>0</v>
      </c>
      <c r="AK17" s="135">
        <v>50</v>
      </c>
      <c r="AL17" s="133">
        <f t="shared" si="5"/>
        <v>0</v>
      </c>
      <c r="AM17" s="135">
        <v>0</v>
      </c>
      <c r="AN17" s="133">
        <f t="shared" si="6"/>
        <v>0</v>
      </c>
      <c r="AO17" s="135">
        <v>0</v>
      </c>
      <c r="AP17" s="133">
        <f t="shared" si="7"/>
        <v>0</v>
      </c>
      <c r="AQ17" s="135">
        <v>200</v>
      </c>
      <c r="AR17" s="133">
        <f t="shared" si="8"/>
        <v>0</v>
      </c>
      <c r="AS17" s="135">
        <v>0</v>
      </c>
      <c r="AT17" s="133">
        <f t="shared" si="9"/>
        <v>0</v>
      </c>
      <c r="AU17" s="135">
        <v>0</v>
      </c>
      <c r="AV17" s="133">
        <f t="shared" si="10"/>
        <v>0</v>
      </c>
      <c r="AW17" s="135">
        <v>10</v>
      </c>
      <c r="AX17" s="133">
        <f t="shared" si="11"/>
        <v>0</v>
      </c>
      <c r="AY17" s="135">
        <v>10</v>
      </c>
      <c r="AZ17" s="133">
        <f t="shared" si="12"/>
        <v>0</v>
      </c>
      <c r="BA17" s="135">
        <v>1238</v>
      </c>
      <c r="BB17" s="133">
        <f t="shared" si="13"/>
        <v>0</v>
      </c>
      <c r="BC17" s="135">
        <v>0</v>
      </c>
      <c r="BD17" s="133">
        <f t="shared" si="14"/>
        <v>0</v>
      </c>
      <c r="BE17" s="135">
        <v>0</v>
      </c>
      <c r="BF17" s="133">
        <f t="shared" si="15"/>
        <v>0</v>
      </c>
      <c r="BG17" s="135">
        <v>0</v>
      </c>
      <c r="BH17" s="133">
        <f t="shared" si="16"/>
        <v>0</v>
      </c>
      <c r="BI17" s="135">
        <v>0</v>
      </c>
      <c r="BJ17" s="133">
        <f t="shared" si="17"/>
        <v>0</v>
      </c>
      <c r="BK17" s="47">
        <f t="shared" si="25"/>
        <v>2718</v>
      </c>
      <c r="BL17" s="85">
        <f t="shared" si="25"/>
        <v>0</v>
      </c>
      <c r="BM17" s="330" t="s">
        <v>829</v>
      </c>
      <c r="BN17" s="106"/>
      <c r="BO17" s="375">
        <f>H17</f>
        <v>0</v>
      </c>
      <c r="BP17" s="375"/>
      <c r="BQ17" s="375"/>
      <c r="BR17" s="375"/>
      <c r="BS17" s="375">
        <f t="shared" si="18"/>
        <v>0</v>
      </c>
      <c r="BT17" s="375"/>
      <c r="BU17" s="375"/>
      <c r="BV17" s="375">
        <f t="shared" si="19"/>
        <v>0</v>
      </c>
      <c r="BW17" s="377">
        <f t="shared" si="20"/>
        <v>0</v>
      </c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</row>
    <row r="18" spans="1:160" s="100" customFormat="1" x14ac:dyDescent="0.25">
      <c r="A18" s="974"/>
      <c r="B18" s="349"/>
      <c r="C18" s="205"/>
      <c r="D18" s="205" t="s">
        <v>688</v>
      </c>
      <c r="E18" s="205" t="s">
        <v>208</v>
      </c>
      <c r="F18" s="378">
        <v>150000</v>
      </c>
      <c r="G18" s="205">
        <f>BK18</f>
        <v>0</v>
      </c>
      <c r="H18" s="455">
        <f>F18*G18</f>
        <v>0</v>
      </c>
      <c r="I18" s="455">
        <f>H18*0.2</f>
        <v>0</v>
      </c>
      <c r="J18" s="455">
        <f>H18*0.8</f>
        <v>0</v>
      </c>
      <c r="K18" s="455"/>
      <c r="L18" s="455"/>
      <c r="M18" s="455"/>
      <c r="N18" s="455"/>
      <c r="O18" s="455"/>
      <c r="P18" s="455"/>
      <c r="Q18" s="455"/>
      <c r="R18" s="455"/>
      <c r="S18" s="142">
        <v>0</v>
      </c>
      <c r="T18" s="142">
        <v>0</v>
      </c>
      <c r="U18" s="142">
        <v>0</v>
      </c>
      <c r="V18" s="142">
        <v>0</v>
      </c>
      <c r="W18" s="455">
        <f>S18*F18</f>
        <v>0</v>
      </c>
      <c r="X18" s="455">
        <f>T18*F18</f>
        <v>0</v>
      </c>
      <c r="Y18" s="455">
        <f>U18*F18</f>
        <v>0</v>
      </c>
      <c r="Z18" s="455">
        <f>V18*F18</f>
        <v>0</v>
      </c>
      <c r="AA18" s="135">
        <v>0</v>
      </c>
      <c r="AB18" s="133">
        <f t="shared" si="24"/>
        <v>0</v>
      </c>
      <c r="AC18" s="135">
        <v>0</v>
      </c>
      <c r="AD18" s="133">
        <f t="shared" si="1"/>
        <v>0</v>
      </c>
      <c r="AE18" s="135"/>
      <c r="AF18" s="133">
        <f t="shared" si="2"/>
        <v>0</v>
      </c>
      <c r="AG18" s="135"/>
      <c r="AH18" s="133">
        <f t="shared" si="3"/>
        <v>0</v>
      </c>
      <c r="AI18" s="135"/>
      <c r="AJ18" s="133">
        <f t="shared" si="4"/>
        <v>0</v>
      </c>
      <c r="AK18" s="135"/>
      <c r="AL18" s="133">
        <f t="shared" si="5"/>
        <v>0</v>
      </c>
      <c r="AM18" s="135"/>
      <c r="AN18" s="133">
        <f t="shared" si="6"/>
        <v>0</v>
      </c>
      <c r="AO18" s="135">
        <v>0</v>
      </c>
      <c r="AP18" s="133">
        <f t="shared" si="7"/>
        <v>0</v>
      </c>
      <c r="AQ18" s="135"/>
      <c r="AR18" s="133">
        <f t="shared" si="8"/>
        <v>0</v>
      </c>
      <c r="AS18" s="135">
        <v>0</v>
      </c>
      <c r="AT18" s="133">
        <f t="shared" si="9"/>
        <v>0</v>
      </c>
      <c r="AU18" s="135"/>
      <c r="AV18" s="133">
        <f t="shared" si="10"/>
        <v>0</v>
      </c>
      <c r="AW18" s="135">
        <v>0</v>
      </c>
      <c r="AX18" s="133">
        <f t="shared" si="11"/>
        <v>0</v>
      </c>
      <c r="AY18" s="135"/>
      <c r="AZ18" s="133">
        <f t="shared" si="12"/>
        <v>0</v>
      </c>
      <c r="BA18" s="135">
        <v>0</v>
      </c>
      <c r="BB18" s="133">
        <f t="shared" si="13"/>
        <v>0</v>
      </c>
      <c r="BC18" s="135">
        <v>0</v>
      </c>
      <c r="BD18" s="133">
        <f t="shared" si="14"/>
        <v>0</v>
      </c>
      <c r="BE18" s="135"/>
      <c r="BF18" s="133">
        <f t="shared" si="15"/>
        <v>0</v>
      </c>
      <c r="BG18" s="135"/>
      <c r="BH18" s="133">
        <f t="shared" si="16"/>
        <v>0</v>
      </c>
      <c r="BI18" s="135"/>
      <c r="BJ18" s="133">
        <f t="shared" si="17"/>
        <v>0</v>
      </c>
      <c r="BK18" s="47">
        <f t="shared" si="25"/>
        <v>0</v>
      </c>
      <c r="BL18" s="85">
        <f t="shared" si="25"/>
        <v>0</v>
      </c>
      <c r="BM18" s="330" t="s">
        <v>473</v>
      </c>
      <c r="BN18" s="106"/>
      <c r="BO18" s="375">
        <f>H18</f>
        <v>0</v>
      </c>
      <c r="BP18" s="375"/>
      <c r="BQ18" s="375"/>
      <c r="BR18" s="375"/>
      <c r="BS18" s="375">
        <f t="shared" si="18"/>
        <v>0</v>
      </c>
      <c r="BT18" s="375"/>
      <c r="BU18" s="375"/>
      <c r="BV18" s="375"/>
      <c r="BW18" s="377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</row>
    <row r="19" spans="1:160" s="100" customFormat="1" x14ac:dyDescent="0.25">
      <c r="A19" s="974"/>
      <c r="B19" s="349"/>
      <c r="C19" s="205">
        <v>31240</v>
      </c>
      <c r="D19" s="205" t="s">
        <v>207</v>
      </c>
      <c r="E19" s="205" t="s">
        <v>72</v>
      </c>
      <c r="F19" s="378">
        <f>4*100000</f>
        <v>400000</v>
      </c>
      <c r="G19" s="205">
        <f>BK19</f>
        <v>27</v>
      </c>
      <c r="H19" s="455">
        <f>F19*G19</f>
        <v>10800000</v>
      </c>
      <c r="I19" s="455">
        <f>H19*0.2</f>
        <v>2160000</v>
      </c>
      <c r="J19" s="455">
        <f>H19*0.8</f>
        <v>8640000</v>
      </c>
      <c r="K19" s="455">
        <f>H19*0</f>
        <v>0</v>
      </c>
      <c r="L19" s="455">
        <f>H19*0</f>
        <v>0</v>
      </c>
      <c r="M19" s="455">
        <f>H19*0</f>
        <v>0</v>
      </c>
      <c r="N19" s="455">
        <f>H19*0</f>
        <v>0</v>
      </c>
      <c r="O19" s="455">
        <f>H19*0</f>
        <v>0</v>
      </c>
      <c r="P19" s="455">
        <f>H19*0</f>
        <v>0</v>
      </c>
      <c r="Q19" s="455">
        <f>H19*0</f>
        <v>0</v>
      </c>
      <c r="R19" s="455">
        <f>H19*0</f>
        <v>0</v>
      </c>
      <c r="S19" s="142">
        <v>0</v>
      </c>
      <c r="T19" s="142">
        <v>0</v>
      </c>
      <c r="U19" s="142">
        <v>5</v>
      </c>
      <c r="V19" s="142">
        <v>22</v>
      </c>
      <c r="W19" s="455">
        <f>S19*F19</f>
        <v>0</v>
      </c>
      <c r="X19" s="455">
        <f>T19*F19</f>
        <v>0</v>
      </c>
      <c r="Y19" s="455">
        <f>U19*F19</f>
        <v>2000000</v>
      </c>
      <c r="Z19" s="455">
        <f>V19*F19</f>
        <v>8800000</v>
      </c>
      <c r="AA19" s="135">
        <v>1</v>
      </c>
      <c r="AB19" s="133">
        <f t="shared" si="24"/>
        <v>400000</v>
      </c>
      <c r="AC19" s="135">
        <v>8</v>
      </c>
      <c r="AD19" s="133">
        <f t="shared" si="1"/>
        <v>3200000</v>
      </c>
      <c r="AE19" s="135">
        <v>2</v>
      </c>
      <c r="AF19" s="692">
        <f>AE19*F19</f>
        <v>800000</v>
      </c>
      <c r="AG19" s="135">
        <v>2</v>
      </c>
      <c r="AH19" s="133">
        <f t="shared" si="3"/>
        <v>800000</v>
      </c>
      <c r="AI19" s="135">
        <v>2</v>
      </c>
      <c r="AJ19" s="133">
        <f t="shared" si="4"/>
        <v>800000</v>
      </c>
      <c r="AK19" s="135">
        <v>0</v>
      </c>
      <c r="AL19" s="133">
        <f t="shared" si="5"/>
        <v>0</v>
      </c>
      <c r="AM19" s="135">
        <v>3</v>
      </c>
      <c r="AN19" s="133">
        <f t="shared" si="6"/>
        <v>1200000</v>
      </c>
      <c r="AO19" s="135">
        <v>1</v>
      </c>
      <c r="AP19" s="133">
        <f t="shared" si="7"/>
        <v>400000</v>
      </c>
      <c r="AQ19" s="135">
        <v>0</v>
      </c>
      <c r="AR19" s="133">
        <f t="shared" si="8"/>
        <v>0</v>
      </c>
      <c r="AS19" s="135">
        <v>2</v>
      </c>
      <c r="AT19" s="133">
        <f t="shared" si="9"/>
        <v>800000</v>
      </c>
      <c r="AU19" s="135">
        <v>0</v>
      </c>
      <c r="AV19" s="133">
        <f t="shared" si="10"/>
        <v>0</v>
      </c>
      <c r="AW19" s="135">
        <v>1</v>
      </c>
      <c r="AX19" s="133">
        <f t="shared" si="11"/>
        <v>400000</v>
      </c>
      <c r="AY19" s="135">
        <v>0</v>
      </c>
      <c r="AZ19" s="133">
        <f t="shared" si="12"/>
        <v>0</v>
      </c>
      <c r="BA19" s="135">
        <v>1</v>
      </c>
      <c r="BB19" s="133">
        <f t="shared" si="13"/>
        <v>400000</v>
      </c>
      <c r="BC19" s="135">
        <v>1</v>
      </c>
      <c r="BD19" s="133">
        <f t="shared" si="14"/>
        <v>400000</v>
      </c>
      <c r="BE19" s="135">
        <v>2</v>
      </c>
      <c r="BF19" s="133">
        <f t="shared" si="15"/>
        <v>800000</v>
      </c>
      <c r="BG19" s="135">
        <v>1</v>
      </c>
      <c r="BH19" s="133">
        <f t="shared" si="16"/>
        <v>400000</v>
      </c>
      <c r="BI19" s="135">
        <v>0</v>
      </c>
      <c r="BJ19" s="133">
        <f t="shared" si="17"/>
        <v>0</v>
      </c>
      <c r="BK19" s="47">
        <f t="shared" si="25"/>
        <v>27</v>
      </c>
      <c r="BL19" s="85">
        <f t="shared" si="25"/>
        <v>10800000</v>
      </c>
      <c r="BM19" s="330" t="s">
        <v>473</v>
      </c>
      <c r="BN19" s="106"/>
      <c r="BO19" s="375">
        <f>H19</f>
        <v>10800000</v>
      </c>
      <c r="BP19" s="375"/>
      <c r="BQ19" s="375"/>
      <c r="BR19" s="375"/>
      <c r="BS19" s="375">
        <f t="shared" si="18"/>
        <v>10800000</v>
      </c>
      <c r="BT19" s="375"/>
      <c r="BU19" s="375"/>
      <c r="BV19" s="375">
        <f t="shared" si="19"/>
        <v>0</v>
      </c>
      <c r="BW19" s="377">
        <f t="shared" si="20"/>
        <v>10800000</v>
      </c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</row>
    <row r="20" spans="1:160" s="466" customFormat="1" x14ac:dyDescent="0.25">
      <c r="A20" s="974"/>
      <c r="B20" s="349"/>
      <c r="C20" s="137"/>
      <c r="D20" s="136"/>
      <c r="E20" s="137"/>
      <c r="F20" s="137"/>
      <c r="G20" s="138">
        <f>SUM(G15:G19)</f>
        <v>2847</v>
      </c>
      <c r="H20" s="139">
        <f>SUM(H15:H19)</f>
        <v>77100000</v>
      </c>
      <c r="I20" s="139">
        <f t="shared" ref="I20:R20" si="26">SUM(I15:I19)</f>
        <v>2160000</v>
      </c>
      <c r="J20" s="139">
        <f t="shared" si="26"/>
        <v>8640000</v>
      </c>
      <c r="K20" s="139">
        <f t="shared" si="26"/>
        <v>0</v>
      </c>
      <c r="L20" s="139">
        <f t="shared" si="26"/>
        <v>0</v>
      </c>
      <c r="M20" s="139">
        <f t="shared" si="26"/>
        <v>66300000</v>
      </c>
      <c r="N20" s="139">
        <f t="shared" si="26"/>
        <v>0</v>
      </c>
      <c r="O20" s="139">
        <f t="shared" si="26"/>
        <v>0</v>
      </c>
      <c r="P20" s="139">
        <f t="shared" si="26"/>
        <v>0</v>
      </c>
      <c r="Q20" s="139">
        <f t="shared" si="26"/>
        <v>0</v>
      </c>
      <c r="R20" s="139">
        <f t="shared" si="26"/>
        <v>0</v>
      </c>
      <c r="S20" s="138">
        <f>SUM(S15:S19)</f>
        <v>409.7</v>
      </c>
      <c r="T20" s="138">
        <f t="shared" ref="T20:Z20" si="27">SUM(T15:T19)</f>
        <v>286.8</v>
      </c>
      <c r="U20" s="138">
        <f t="shared" si="27"/>
        <v>1685.8</v>
      </c>
      <c r="V20" s="138">
        <f t="shared" si="27"/>
        <v>464.7</v>
      </c>
      <c r="W20" s="138">
        <f t="shared" si="27"/>
        <v>1300000</v>
      </c>
      <c r="X20" s="138">
        <f t="shared" si="27"/>
        <v>9750000</v>
      </c>
      <c r="Y20" s="138">
        <f t="shared" si="27"/>
        <v>34500000</v>
      </c>
      <c r="Z20" s="138">
        <f t="shared" si="27"/>
        <v>31550000</v>
      </c>
      <c r="AA20" s="201">
        <f>SUM(AA15:AA19)</f>
        <v>570</v>
      </c>
      <c r="AB20" s="201">
        <f t="shared" ref="AB20:BL20" si="28">SUM(AB15:AB19)</f>
        <v>6250000</v>
      </c>
      <c r="AC20" s="201">
        <f t="shared" si="28"/>
        <v>163</v>
      </c>
      <c r="AD20" s="201">
        <f t="shared" si="28"/>
        <v>6450000</v>
      </c>
      <c r="AE20" s="201">
        <f t="shared" si="28"/>
        <v>111</v>
      </c>
      <c r="AF20" s="201">
        <f t="shared" si="28"/>
        <v>6650000</v>
      </c>
      <c r="AG20" s="201">
        <f t="shared" si="28"/>
        <v>8</v>
      </c>
      <c r="AH20" s="201">
        <f t="shared" si="28"/>
        <v>4700000</v>
      </c>
      <c r="AI20" s="201">
        <f t="shared" si="28"/>
        <v>405</v>
      </c>
      <c r="AJ20" s="201">
        <f t="shared" si="28"/>
        <v>2750000</v>
      </c>
      <c r="AK20" s="201">
        <f t="shared" si="28"/>
        <v>55</v>
      </c>
      <c r="AL20" s="201">
        <f t="shared" si="28"/>
        <v>3250000</v>
      </c>
      <c r="AM20" s="201">
        <f t="shared" si="28"/>
        <v>8</v>
      </c>
      <c r="AN20" s="201">
        <f t="shared" si="28"/>
        <v>4450000</v>
      </c>
      <c r="AO20" s="201">
        <f t="shared" si="28"/>
        <v>5</v>
      </c>
      <c r="AP20" s="201">
        <f t="shared" si="28"/>
        <v>3000000</v>
      </c>
      <c r="AQ20" s="201">
        <f t="shared" si="28"/>
        <v>205</v>
      </c>
      <c r="AR20" s="201">
        <f t="shared" si="28"/>
        <v>3250000</v>
      </c>
      <c r="AS20" s="201">
        <f t="shared" si="28"/>
        <v>10</v>
      </c>
      <c r="AT20" s="201">
        <f t="shared" si="28"/>
        <v>6000000</v>
      </c>
      <c r="AU20" s="201">
        <f t="shared" si="28"/>
        <v>6</v>
      </c>
      <c r="AV20" s="201">
        <f t="shared" si="28"/>
        <v>3900000</v>
      </c>
      <c r="AW20" s="201">
        <f t="shared" si="28"/>
        <v>16</v>
      </c>
      <c r="AX20" s="201">
        <f t="shared" si="28"/>
        <v>3650000</v>
      </c>
      <c r="AY20" s="201">
        <f t="shared" si="28"/>
        <v>15</v>
      </c>
      <c r="AZ20" s="201">
        <f t="shared" si="28"/>
        <v>3250000</v>
      </c>
      <c r="BA20" s="201">
        <f t="shared" si="28"/>
        <v>1242</v>
      </c>
      <c r="BB20" s="201">
        <f t="shared" si="28"/>
        <v>2350000</v>
      </c>
      <c r="BC20" s="201">
        <f t="shared" si="28"/>
        <v>11</v>
      </c>
      <c r="BD20" s="201">
        <f t="shared" si="28"/>
        <v>6900000</v>
      </c>
      <c r="BE20" s="201">
        <f t="shared" si="28"/>
        <v>4</v>
      </c>
      <c r="BF20" s="201">
        <f t="shared" si="28"/>
        <v>2100000</v>
      </c>
      <c r="BG20" s="201">
        <f t="shared" si="28"/>
        <v>13</v>
      </c>
      <c r="BH20" s="201">
        <f t="shared" si="28"/>
        <v>8200000</v>
      </c>
      <c r="BI20" s="201">
        <f t="shared" si="28"/>
        <v>0</v>
      </c>
      <c r="BJ20" s="201">
        <f t="shared" si="28"/>
        <v>0</v>
      </c>
      <c r="BK20" s="201">
        <f t="shared" si="28"/>
        <v>2847</v>
      </c>
      <c r="BL20" s="201">
        <f t="shared" si="28"/>
        <v>77100000</v>
      </c>
      <c r="BM20" s="338"/>
      <c r="BN20" s="106"/>
      <c r="BO20" s="75">
        <f t="shared" ref="BO20:BV20" si="29">SUM(BO15:BO19)</f>
        <v>77100000</v>
      </c>
      <c r="BP20" s="75">
        <f t="shared" si="29"/>
        <v>0</v>
      </c>
      <c r="BQ20" s="75">
        <f t="shared" si="29"/>
        <v>0</v>
      </c>
      <c r="BR20" s="75">
        <f t="shared" si="29"/>
        <v>0</v>
      </c>
      <c r="BS20" s="75">
        <f t="shared" si="29"/>
        <v>77100000</v>
      </c>
      <c r="BT20" s="75">
        <f t="shared" si="29"/>
        <v>0</v>
      </c>
      <c r="BU20" s="75">
        <f t="shared" si="29"/>
        <v>0</v>
      </c>
      <c r="BV20" s="75">
        <f t="shared" si="29"/>
        <v>0</v>
      </c>
      <c r="BW20" s="465">
        <f t="shared" si="20"/>
        <v>77100000</v>
      </c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</row>
    <row r="21" spans="1:160" x14ac:dyDescent="0.25">
      <c r="A21" s="974"/>
      <c r="B21" s="349"/>
      <c r="C21" s="357">
        <v>31300</v>
      </c>
      <c r="D21" s="357" t="s">
        <v>209</v>
      </c>
      <c r="E21" s="205"/>
      <c r="F21" s="378"/>
      <c r="G21" s="20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185"/>
      <c r="T21" s="142">
        <f>G21*0.2</f>
        <v>0</v>
      </c>
      <c r="U21" s="142">
        <f>G21*0.6</f>
        <v>0</v>
      </c>
      <c r="V21" s="142">
        <f>G21*0.2</f>
        <v>0</v>
      </c>
      <c r="W21" s="85"/>
      <c r="X21" s="133">
        <f>H21*0.2</f>
        <v>0</v>
      </c>
      <c r="Y21" s="133">
        <f>H21*0.6</f>
        <v>0</v>
      </c>
      <c r="Z21" s="133">
        <f>H21*0.2</f>
        <v>0</v>
      </c>
      <c r="AA21" s="47"/>
      <c r="AB21" s="133">
        <f t="shared" si="24"/>
        <v>0</v>
      </c>
      <c r="AC21" s="47"/>
      <c r="AD21" s="133">
        <f t="shared" si="1"/>
        <v>0</v>
      </c>
      <c r="AE21" s="47"/>
      <c r="AF21" s="133">
        <f t="shared" si="2"/>
        <v>0</v>
      </c>
      <c r="AG21" s="47"/>
      <c r="AH21" s="133">
        <f t="shared" si="3"/>
        <v>0</v>
      </c>
      <c r="AI21" s="47"/>
      <c r="AJ21" s="133">
        <f t="shared" si="4"/>
        <v>0</v>
      </c>
      <c r="AK21" s="47"/>
      <c r="AL21" s="133">
        <f t="shared" si="5"/>
        <v>0</v>
      </c>
      <c r="AM21" s="47"/>
      <c r="AN21" s="133">
        <f t="shared" si="6"/>
        <v>0</v>
      </c>
      <c r="AO21" s="47"/>
      <c r="AP21" s="133">
        <f t="shared" si="7"/>
        <v>0</v>
      </c>
      <c r="AQ21" s="47"/>
      <c r="AR21" s="133">
        <f t="shared" si="8"/>
        <v>0</v>
      </c>
      <c r="AS21" s="47"/>
      <c r="AT21" s="133">
        <f t="shared" si="9"/>
        <v>0</v>
      </c>
      <c r="AU21" s="47"/>
      <c r="AV21" s="133">
        <f t="shared" si="10"/>
        <v>0</v>
      </c>
      <c r="AW21" s="47"/>
      <c r="AX21" s="133">
        <f t="shared" si="11"/>
        <v>0</v>
      </c>
      <c r="AY21" s="47"/>
      <c r="AZ21" s="133">
        <f t="shared" si="12"/>
        <v>0</v>
      </c>
      <c r="BA21" s="47"/>
      <c r="BB21" s="133">
        <f t="shared" si="13"/>
        <v>0</v>
      </c>
      <c r="BC21" s="47"/>
      <c r="BD21" s="133">
        <f t="shared" si="14"/>
        <v>0</v>
      </c>
      <c r="BE21" s="47"/>
      <c r="BF21" s="133">
        <f t="shared" si="15"/>
        <v>0</v>
      </c>
      <c r="BG21" s="47"/>
      <c r="BH21" s="133">
        <f t="shared" si="16"/>
        <v>0</v>
      </c>
      <c r="BI21" s="47"/>
      <c r="BJ21" s="133">
        <f t="shared" si="17"/>
        <v>0</v>
      </c>
      <c r="BK21" s="47"/>
      <c r="BL21" s="85"/>
      <c r="BM21" s="338"/>
      <c r="BO21" s="375"/>
      <c r="BP21" s="375"/>
      <c r="BQ21" s="375"/>
      <c r="BR21" s="375"/>
      <c r="BS21" s="375"/>
      <c r="BT21" s="375"/>
      <c r="BU21" s="375"/>
      <c r="BV21" s="375"/>
      <c r="BW21" s="377">
        <f t="shared" si="20"/>
        <v>0</v>
      </c>
    </row>
    <row r="22" spans="1:160" x14ac:dyDescent="0.25">
      <c r="A22" s="974"/>
      <c r="B22" s="349"/>
      <c r="C22" s="205">
        <v>31310</v>
      </c>
      <c r="D22" s="205" t="s">
        <v>210</v>
      </c>
      <c r="E22" s="205" t="s">
        <v>208</v>
      </c>
      <c r="F22" s="378">
        <f>1*100000</f>
        <v>100000</v>
      </c>
      <c r="G22" s="205">
        <f>BK22</f>
        <v>0</v>
      </c>
      <c r="H22" s="455">
        <f>F22*G22</f>
        <v>0</v>
      </c>
      <c r="I22" s="455">
        <f>H22*0</f>
        <v>0</v>
      </c>
      <c r="J22" s="455">
        <f>H22*0</f>
        <v>0</v>
      </c>
      <c r="K22" s="455">
        <f>H22*0</f>
        <v>0</v>
      </c>
      <c r="L22" s="455">
        <f>H22*0</f>
        <v>0</v>
      </c>
      <c r="M22" s="455">
        <f>J22*0</f>
        <v>0</v>
      </c>
      <c r="N22" s="455">
        <f>H22*0</f>
        <v>0</v>
      </c>
      <c r="O22" s="455">
        <f>H22*0.9</f>
        <v>0</v>
      </c>
      <c r="P22" s="455">
        <f>H22*0</f>
        <v>0</v>
      </c>
      <c r="Q22" s="455">
        <f>H22*0</f>
        <v>0</v>
      </c>
      <c r="R22" s="455">
        <f>H22*0.1</f>
        <v>0</v>
      </c>
      <c r="S22" s="185"/>
      <c r="T22" s="142">
        <f>G22*0.2</f>
        <v>0</v>
      </c>
      <c r="U22" s="142">
        <f>G22*0.6</f>
        <v>0</v>
      </c>
      <c r="V22" s="142">
        <f>G22*0.2</f>
        <v>0</v>
      </c>
      <c r="W22" s="455">
        <f>S22*F22</f>
        <v>0</v>
      </c>
      <c r="X22" s="455">
        <f>T22*F22</f>
        <v>0</v>
      </c>
      <c r="Y22" s="455">
        <f>U22*F22</f>
        <v>0</v>
      </c>
      <c r="Z22" s="455">
        <f>V22*F22</f>
        <v>0</v>
      </c>
      <c r="AA22" s="47">
        <v>0</v>
      </c>
      <c r="AB22" s="133">
        <f t="shared" si="24"/>
        <v>0</v>
      </c>
      <c r="AC22" s="47">
        <v>0</v>
      </c>
      <c r="AD22" s="133">
        <f t="shared" si="1"/>
        <v>0</v>
      </c>
      <c r="AE22" s="47">
        <v>0</v>
      </c>
      <c r="AF22" s="133">
        <f t="shared" si="2"/>
        <v>0</v>
      </c>
      <c r="AG22" s="47">
        <v>0</v>
      </c>
      <c r="AH22" s="133">
        <f t="shared" si="3"/>
        <v>0</v>
      </c>
      <c r="AI22" s="47">
        <v>0</v>
      </c>
      <c r="AJ22" s="133">
        <f t="shared" si="4"/>
        <v>0</v>
      </c>
      <c r="AK22" s="47">
        <v>0</v>
      </c>
      <c r="AL22" s="133">
        <f t="shared" si="5"/>
        <v>0</v>
      </c>
      <c r="AM22" s="47">
        <v>0</v>
      </c>
      <c r="AN22" s="133">
        <f t="shared" si="6"/>
        <v>0</v>
      </c>
      <c r="AO22" s="47">
        <v>0</v>
      </c>
      <c r="AP22" s="133">
        <f t="shared" si="7"/>
        <v>0</v>
      </c>
      <c r="AQ22" s="47">
        <v>0</v>
      </c>
      <c r="AR22" s="133">
        <f t="shared" si="8"/>
        <v>0</v>
      </c>
      <c r="AS22" s="47">
        <v>0</v>
      </c>
      <c r="AT22" s="133">
        <f t="shared" si="9"/>
        <v>0</v>
      </c>
      <c r="AU22" s="47">
        <v>0</v>
      </c>
      <c r="AV22" s="133">
        <f t="shared" si="10"/>
        <v>0</v>
      </c>
      <c r="AW22" s="47">
        <v>0</v>
      </c>
      <c r="AX22" s="133">
        <f t="shared" si="11"/>
        <v>0</v>
      </c>
      <c r="AY22" s="47">
        <v>0</v>
      </c>
      <c r="AZ22" s="133">
        <f t="shared" si="12"/>
        <v>0</v>
      </c>
      <c r="BA22" s="47">
        <v>0</v>
      </c>
      <c r="BB22" s="133">
        <f t="shared" si="13"/>
        <v>0</v>
      </c>
      <c r="BC22" s="47">
        <v>0</v>
      </c>
      <c r="BD22" s="133">
        <f t="shared" si="14"/>
        <v>0</v>
      </c>
      <c r="BE22" s="47">
        <v>0</v>
      </c>
      <c r="BF22" s="133">
        <f t="shared" si="15"/>
        <v>0</v>
      </c>
      <c r="BG22" s="47">
        <v>0</v>
      </c>
      <c r="BH22" s="133">
        <f t="shared" si="16"/>
        <v>0</v>
      </c>
      <c r="BI22" s="47">
        <v>0</v>
      </c>
      <c r="BJ22" s="133">
        <f t="shared" si="17"/>
        <v>0</v>
      </c>
      <c r="BK22" s="47">
        <f t="shared" ref="BK22:BL24" si="30">AA22+AC22+AE22+AG22+AI22+AK22+AM22+AO22+AQ22+AS22+AU22+AW22+AY22+BA22+BC22+BE22+BG22+BI22</f>
        <v>0</v>
      </c>
      <c r="BL22" s="85">
        <f t="shared" si="30"/>
        <v>0</v>
      </c>
      <c r="BM22" s="330" t="s">
        <v>830</v>
      </c>
      <c r="BO22" s="375">
        <f>H22</f>
        <v>0</v>
      </c>
      <c r="BP22" s="375"/>
      <c r="BQ22" s="375"/>
      <c r="BR22" s="375"/>
      <c r="BS22" s="375">
        <f>BO22+BP22+BQ22+BR22</f>
        <v>0</v>
      </c>
      <c r="BT22" s="375"/>
      <c r="BU22" s="375"/>
      <c r="BV22" s="375">
        <f>BT22+BU22</f>
        <v>0</v>
      </c>
      <c r="BW22" s="377">
        <f t="shared" si="20"/>
        <v>0</v>
      </c>
    </row>
    <row r="23" spans="1:160" ht="31.5" x14ac:dyDescent="0.25">
      <c r="A23" s="974"/>
      <c r="B23" s="349"/>
      <c r="C23" s="205"/>
      <c r="D23" s="205" t="s">
        <v>211</v>
      </c>
      <c r="E23" s="205" t="s">
        <v>208</v>
      </c>
      <c r="F23" s="378">
        <f>0.4*100000</f>
        <v>40000</v>
      </c>
      <c r="G23" s="205">
        <f>BK23</f>
        <v>0</v>
      </c>
      <c r="H23" s="455">
        <f>F23*G23</f>
        <v>0</v>
      </c>
      <c r="I23" s="455">
        <f>H23*0</f>
        <v>0</v>
      </c>
      <c r="J23" s="455">
        <f>H23*0</f>
        <v>0</v>
      </c>
      <c r="K23" s="455">
        <f>H23*0</f>
        <v>0</v>
      </c>
      <c r="L23" s="455">
        <f>H23*0</f>
        <v>0</v>
      </c>
      <c r="M23" s="455">
        <f>J23*0</f>
        <v>0</v>
      </c>
      <c r="N23" s="455">
        <f>H23*0</f>
        <v>0</v>
      </c>
      <c r="O23" s="455">
        <f>H23*0.9</f>
        <v>0</v>
      </c>
      <c r="P23" s="455">
        <f>H23*0</f>
        <v>0</v>
      </c>
      <c r="Q23" s="455">
        <f>H23*0</f>
        <v>0</v>
      </c>
      <c r="R23" s="455">
        <f>H23*0.1</f>
        <v>0</v>
      </c>
      <c r="S23" s="185"/>
      <c r="T23" s="142">
        <f>G23*0.2</f>
        <v>0</v>
      </c>
      <c r="U23" s="142">
        <f>G23*0.6</f>
        <v>0</v>
      </c>
      <c r="V23" s="142">
        <f>G23*0.2</f>
        <v>0</v>
      </c>
      <c r="W23" s="455">
        <f>S23*F23</f>
        <v>0</v>
      </c>
      <c r="X23" s="455">
        <f>T23*F23</f>
        <v>0</v>
      </c>
      <c r="Y23" s="455">
        <f>U23*F23</f>
        <v>0</v>
      </c>
      <c r="Z23" s="455">
        <f>V23*F23</f>
        <v>0</v>
      </c>
      <c r="AA23" s="47">
        <v>0</v>
      </c>
      <c r="AB23" s="133">
        <f t="shared" si="24"/>
        <v>0</v>
      </c>
      <c r="AC23" s="47">
        <v>0</v>
      </c>
      <c r="AD23" s="133">
        <f t="shared" si="1"/>
        <v>0</v>
      </c>
      <c r="AE23" s="47">
        <v>0</v>
      </c>
      <c r="AF23" s="133">
        <f t="shared" si="2"/>
        <v>0</v>
      </c>
      <c r="AG23" s="47">
        <v>0</v>
      </c>
      <c r="AH23" s="133">
        <f t="shared" si="3"/>
        <v>0</v>
      </c>
      <c r="AI23" s="47">
        <v>0</v>
      </c>
      <c r="AJ23" s="133">
        <f t="shared" si="4"/>
        <v>0</v>
      </c>
      <c r="AK23" s="47">
        <v>0</v>
      </c>
      <c r="AL23" s="133">
        <f t="shared" si="5"/>
        <v>0</v>
      </c>
      <c r="AM23" s="47">
        <v>0</v>
      </c>
      <c r="AN23" s="133">
        <f t="shared" si="6"/>
        <v>0</v>
      </c>
      <c r="AO23" s="47">
        <v>0</v>
      </c>
      <c r="AP23" s="133">
        <f t="shared" si="7"/>
        <v>0</v>
      </c>
      <c r="AQ23" s="47">
        <v>0</v>
      </c>
      <c r="AR23" s="133">
        <f t="shared" si="8"/>
        <v>0</v>
      </c>
      <c r="AS23" s="47">
        <v>0</v>
      </c>
      <c r="AT23" s="133">
        <f t="shared" si="9"/>
        <v>0</v>
      </c>
      <c r="AU23" s="47">
        <v>0</v>
      </c>
      <c r="AV23" s="133">
        <f t="shared" si="10"/>
        <v>0</v>
      </c>
      <c r="AW23" s="47">
        <v>0</v>
      </c>
      <c r="AX23" s="133">
        <f t="shared" si="11"/>
        <v>0</v>
      </c>
      <c r="AY23" s="47">
        <v>0</v>
      </c>
      <c r="AZ23" s="133">
        <f t="shared" si="12"/>
        <v>0</v>
      </c>
      <c r="BA23" s="47">
        <v>0</v>
      </c>
      <c r="BB23" s="133">
        <f t="shared" si="13"/>
        <v>0</v>
      </c>
      <c r="BC23" s="47">
        <v>0</v>
      </c>
      <c r="BD23" s="133">
        <f t="shared" si="14"/>
        <v>0</v>
      </c>
      <c r="BE23" s="467">
        <v>0</v>
      </c>
      <c r="BF23" s="133">
        <f t="shared" si="15"/>
        <v>0</v>
      </c>
      <c r="BG23" s="47">
        <v>0</v>
      </c>
      <c r="BH23" s="133">
        <f t="shared" si="16"/>
        <v>0</v>
      </c>
      <c r="BI23" s="47">
        <v>0</v>
      </c>
      <c r="BJ23" s="133">
        <f t="shared" si="17"/>
        <v>0</v>
      </c>
      <c r="BK23" s="47">
        <f t="shared" si="30"/>
        <v>0</v>
      </c>
      <c r="BL23" s="85">
        <f t="shared" si="30"/>
        <v>0</v>
      </c>
      <c r="BM23" s="330" t="s">
        <v>830</v>
      </c>
      <c r="BO23" s="375">
        <f>H23</f>
        <v>0</v>
      </c>
      <c r="BP23" s="375"/>
      <c r="BQ23" s="375"/>
      <c r="BR23" s="375"/>
      <c r="BS23" s="375">
        <f>BO23+BP23+BQ23+BR23</f>
        <v>0</v>
      </c>
      <c r="BT23" s="375"/>
      <c r="BU23" s="375"/>
      <c r="BV23" s="375">
        <f>BT23+BU23</f>
        <v>0</v>
      </c>
      <c r="BW23" s="377">
        <f t="shared" si="20"/>
        <v>0</v>
      </c>
    </row>
    <row r="24" spans="1:160" s="100" customFormat="1" x14ac:dyDescent="0.25">
      <c r="A24" s="974"/>
      <c r="B24" s="349"/>
      <c r="C24" s="140">
        <v>31320</v>
      </c>
      <c r="D24" s="140" t="s">
        <v>212</v>
      </c>
      <c r="E24" s="140" t="s">
        <v>213</v>
      </c>
      <c r="F24" s="141">
        <v>4000000</v>
      </c>
      <c r="G24" s="205">
        <f>BK24</f>
        <v>19</v>
      </c>
      <c r="H24" s="455">
        <f>F24*G24</f>
        <v>76000000</v>
      </c>
      <c r="I24" s="455">
        <f>H24*0.1</f>
        <v>7600000</v>
      </c>
      <c r="J24" s="455">
        <f>H24*0</f>
        <v>0</v>
      </c>
      <c r="K24" s="455">
        <f>H24*0</f>
        <v>0</v>
      </c>
      <c r="L24" s="455">
        <f>H24*0</f>
        <v>0</v>
      </c>
      <c r="M24" s="455">
        <f>H24*0.9</f>
        <v>68400000</v>
      </c>
      <c r="N24" s="455">
        <f>H24*0</f>
        <v>0</v>
      </c>
      <c r="O24" s="455">
        <f>H24*0</f>
        <v>0</v>
      </c>
      <c r="P24" s="455">
        <f>H24*0</f>
        <v>0</v>
      </c>
      <c r="Q24" s="455">
        <f>H24*0</f>
        <v>0</v>
      </c>
      <c r="R24" s="455">
        <f>H24*0</f>
        <v>0</v>
      </c>
      <c r="S24" s="142">
        <v>4</v>
      </c>
      <c r="T24" s="142">
        <v>0</v>
      </c>
      <c r="U24" s="142">
        <v>11</v>
      </c>
      <c r="V24" s="142">
        <v>4</v>
      </c>
      <c r="W24" s="455">
        <f>S24*F24</f>
        <v>16000000</v>
      </c>
      <c r="X24" s="455">
        <f>T24*F24</f>
        <v>0</v>
      </c>
      <c r="Y24" s="455">
        <f>U24*F24</f>
        <v>44000000</v>
      </c>
      <c r="Z24" s="455">
        <f>V24*F24</f>
        <v>16000000</v>
      </c>
      <c r="AA24" s="135">
        <v>2</v>
      </c>
      <c r="AB24" s="133">
        <f t="shared" si="24"/>
        <v>8000000</v>
      </c>
      <c r="AC24" s="135">
        <v>1</v>
      </c>
      <c r="AD24" s="133">
        <f t="shared" si="1"/>
        <v>4000000</v>
      </c>
      <c r="AE24" s="135">
        <v>1.5</v>
      </c>
      <c r="AF24" s="133">
        <f t="shared" si="2"/>
        <v>6000000</v>
      </c>
      <c r="AG24" s="135">
        <v>1.5</v>
      </c>
      <c r="AH24" s="133">
        <f t="shared" si="3"/>
        <v>6000000</v>
      </c>
      <c r="AI24" s="135">
        <v>1</v>
      </c>
      <c r="AJ24" s="133">
        <f t="shared" si="4"/>
        <v>4000000</v>
      </c>
      <c r="AK24" s="135">
        <v>1.5</v>
      </c>
      <c r="AL24" s="133">
        <f t="shared" si="5"/>
        <v>6000000</v>
      </c>
      <c r="AM24" s="135">
        <v>1</v>
      </c>
      <c r="AN24" s="133">
        <f t="shared" si="6"/>
        <v>4000000</v>
      </c>
      <c r="AO24" s="135">
        <v>1</v>
      </c>
      <c r="AP24" s="133">
        <f t="shared" si="7"/>
        <v>4000000</v>
      </c>
      <c r="AQ24" s="135">
        <v>0.5</v>
      </c>
      <c r="AR24" s="133">
        <f t="shared" si="8"/>
        <v>2000000</v>
      </c>
      <c r="AS24" s="135">
        <v>1</v>
      </c>
      <c r="AT24" s="133">
        <f t="shared" si="9"/>
        <v>4000000</v>
      </c>
      <c r="AU24" s="135">
        <v>1</v>
      </c>
      <c r="AV24" s="133">
        <f t="shared" si="10"/>
        <v>4000000</v>
      </c>
      <c r="AW24" s="135">
        <v>1</v>
      </c>
      <c r="AX24" s="133">
        <f t="shared" si="11"/>
        <v>4000000</v>
      </c>
      <c r="AY24" s="135">
        <v>1</v>
      </c>
      <c r="AZ24" s="133">
        <f t="shared" si="12"/>
        <v>4000000</v>
      </c>
      <c r="BA24" s="135">
        <v>1</v>
      </c>
      <c r="BB24" s="133">
        <f t="shared" si="13"/>
        <v>4000000</v>
      </c>
      <c r="BC24" s="135">
        <v>1</v>
      </c>
      <c r="BD24" s="133">
        <f t="shared" si="14"/>
        <v>4000000</v>
      </c>
      <c r="BE24" s="135">
        <v>1</v>
      </c>
      <c r="BF24" s="133">
        <f t="shared" si="15"/>
        <v>4000000</v>
      </c>
      <c r="BG24" s="135">
        <v>1</v>
      </c>
      <c r="BH24" s="133">
        <f t="shared" si="16"/>
        <v>4000000</v>
      </c>
      <c r="BI24" s="135">
        <v>0</v>
      </c>
      <c r="BJ24" s="133">
        <f t="shared" si="17"/>
        <v>0</v>
      </c>
      <c r="BK24" s="47">
        <f t="shared" si="30"/>
        <v>19</v>
      </c>
      <c r="BL24" s="133">
        <f t="shared" si="30"/>
        <v>76000000</v>
      </c>
      <c r="BM24" s="330" t="s">
        <v>474</v>
      </c>
      <c r="BN24" s="106"/>
      <c r="BO24" s="375">
        <f>H24</f>
        <v>76000000</v>
      </c>
      <c r="BP24" s="112"/>
      <c r="BQ24" s="112"/>
      <c r="BR24" s="112"/>
      <c r="BS24" s="375">
        <f>BO24+BP24+BQ24+BR24</f>
        <v>76000000</v>
      </c>
      <c r="BT24" s="112"/>
      <c r="BU24" s="112"/>
      <c r="BV24" s="375">
        <f>BT24+BU24</f>
        <v>0</v>
      </c>
      <c r="BW24" s="377">
        <f t="shared" si="20"/>
        <v>76000000</v>
      </c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</row>
    <row r="25" spans="1:160" s="471" customFormat="1" x14ac:dyDescent="0.25">
      <c r="A25" s="974"/>
      <c r="B25" s="349"/>
      <c r="C25" s="137"/>
      <c r="D25" s="137"/>
      <c r="E25" s="137"/>
      <c r="F25" s="137"/>
      <c r="G25" s="137">
        <f>SUM(G22:G24)</f>
        <v>19</v>
      </c>
      <c r="H25" s="139">
        <f>SUM(H22:H24)</f>
        <v>76000000</v>
      </c>
      <c r="I25" s="139">
        <f t="shared" ref="I25:R25" si="31">SUM(I22:I24)</f>
        <v>7600000</v>
      </c>
      <c r="J25" s="139">
        <f t="shared" si="31"/>
        <v>0</v>
      </c>
      <c r="K25" s="139">
        <f t="shared" si="31"/>
        <v>0</v>
      </c>
      <c r="L25" s="139">
        <f t="shared" si="31"/>
        <v>0</v>
      </c>
      <c r="M25" s="139">
        <f t="shared" si="31"/>
        <v>68400000</v>
      </c>
      <c r="N25" s="139">
        <f t="shared" si="31"/>
        <v>0</v>
      </c>
      <c r="O25" s="139">
        <f t="shared" si="31"/>
        <v>0</v>
      </c>
      <c r="P25" s="139">
        <f t="shared" si="31"/>
        <v>0</v>
      </c>
      <c r="Q25" s="139">
        <f t="shared" si="31"/>
        <v>0</v>
      </c>
      <c r="R25" s="139">
        <f t="shared" si="31"/>
        <v>0</v>
      </c>
      <c r="S25" s="137">
        <f>SUM(S22:S24)</f>
        <v>4</v>
      </c>
      <c r="T25" s="468">
        <f>G25*0.2</f>
        <v>3.8000000000000003</v>
      </c>
      <c r="U25" s="468">
        <f>G25*0.6</f>
        <v>11.4</v>
      </c>
      <c r="V25" s="468">
        <f>G25*0.2</f>
        <v>3.8000000000000003</v>
      </c>
      <c r="W25" s="139">
        <f>SUM(W22:W24)</f>
        <v>16000000</v>
      </c>
      <c r="X25" s="139">
        <f>SUM(X22:X24)</f>
        <v>0</v>
      </c>
      <c r="Y25" s="139">
        <f>SUM(Y22:Y24)</f>
        <v>44000000</v>
      </c>
      <c r="Z25" s="139">
        <f>SUM(Z22:Z24)</f>
        <v>16000000</v>
      </c>
      <c r="AA25" s="242">
        <f>SUM(AA22:AA24)</f>
        <v>2</v>
      </c>
      <c r="AB25" s="242">
        <f t="shared" ref="AB25:BL25" si="32">SUM(AB22:AB24)</f>
        <v>8000000</v>
      </c>
      <c r="AC25" s="242">
        <f t="shared" si="32"/>
        <v>1</v>
      </c>
      <c r="AD25" s="242">
        <f t="shared" si="32"/>
        <v>4000000</v>
      </c>
      <c r="AE25" s="242">
        <f t="shared" si="32"/>
        <v>1.5</v>
      </c>
      <c r="AF25" s="242">
        <f t="shared" si="32"/>
        <v>6000000</v>
      </c>
      <c r="AG25" s="242">
        <f t="shared" si="32"/>
        <v>1.5</v>
      </c>
      <c r="AH25" s="242">
        <f t="shared" si="32"/>
        <v>6000000</v>
      </c>
      <c r="AI25" s="242">
        <f t="shared" si="32"/>
        <v>1</v>
      </c>
      <c r="AJ25" s="242">
        <f t="shared" si="32"/>
        <v>4000000</v>
      </c>
      <c r="AK25" s="242">
        <f t="shared" si="32"/>
        <v>1.5</v>
      </c>
      <c r="AL25" s="242">
        <f t="shared" si="32"/>
        <v>6000000</v>
      </c>
      <c r="AM25" s="242">
        <f t="shared" si="32"/>
        <v>1</v>
      </c>
      <c r="AN25" s="242">
        <f t="shared" si="32"/>
        <v>4000000</v>
      </c>
      <c r="AO25" s="242">
        <f t="shared" si="32"/>
        <v>1</v>
      </c>
      <c r="AP25" s="242">
        <f t="shared" si="32"/>
        <v>4000000</v>
      </c>
      <c r="AQ25" s="242">
        <f t="shared" si="32"/>
        <v>0.5</v>
      </c>
      <c r="AR25" s="242">
        <f t="shared" si="32"/>
        <v>2000000</v>
      </c>
      <c r="AS25" s="242">
        <f t="shared" si="32"/>
        <v>1</v>
      </c>
      <c r="AT25" s="242">
        <f t="shared" si="32"/>
        <v>4000000</v>
      </c>
      <c r="AU25" s="242">
        <f t="shared" si="32"/>
        <v>1</v>
      </c>
      <c r="AV25" s="242">
        <f t="shared" si="32"/>
        <v>4000000</v>
      </c>
      <c r="AW25" s="242">
        <f t="shared" si="32"/>
        <v>1</v>
      </c>
      <c r="AX25" s="242">
        <f t="shared" si="32"/>
        <v>4000000</v>
      </c>
      <c r="AY25" s="242">
        <f t="shared" si="32"/>
        <v>1</v>
      </c>
      <c r="AZ25" s="242">
        <f t="shared" si="32"/>
        <v>4000000</v>
      </c>
      <c r="BA25" s="242">
        <f t="shared" si="32"/>
        <v>1</v>
      </c>
      <c r="BB25" s="242">
        <f t="shared" si="32"/>
        <v>4000000</v>
      </c>
      <c r="BC25" s="242">
        <f t="shared" si="32"/>
        <v>1</v>
      </c>
      <c r="BD25" s="242">
        <f t="shared" si="32"/>
        <v>4000000</v>
      </c>
      <c r="BE25" s="242">
        <f t="shared" si="32"/>
        <v>1</v>
      </c>
      <c r="BF25" s="242">
        <f t="shared" si="32"/>
        <v>4000000</v>
      </c>
      <c r="BG25" s="242">
        <f t="shared" si="32"/>
        <v>1</v>
      </c>
      <c r="BH25" s="242">
        <f t="shared" si="32"/>
        <v>4000000</v>
      </c>
      <c r="BI25" s="242">
        <f t="shared" si="32"/>
        <v>0</v>
      </c>
      <c r="BJ25" s="242">
        <f t="shared" si="32"/>
        <v>0</v>
      </c>
      <c r="BK25" s="242">
        <f t="shared" si="32"/>
        <v>19</v>
      </c>
      <c r="BL25" s="242">
        <f t="shared" si="32"/>
        <v>76000000</v>
      </c>
      <c r="BM25" s="46"/>
      <c r="BN25" s="269"/>
      <c r="BO25" s="469">
        <f t="shared" ref="BO25:BV25" si="33">SUM(BO22:BO24)</f>
        <v>76000000</v>
      </c>
      <c r="BP25" s="469">
        <f t="shared" si="33"/>
        <v>0</v>
      </c>
      <c r="BQ25" s="469">
        <f t="shared" si="33"/>
        <v>0</v>
      </c>
      <c r="BR25" s="469">
        <f t="shared" si="33"/>
        <v>0</v>
      </c>
      <c r="BS25" s="469">
        <f t="shared" si="33"/>
        <v>76000000</v>
      </c>
      <c r="BT25" s="469">
        <f t="shared" si="33"/>
        <v>0</v>
      </c>
      <c r="BU25" s="469">
        <f t="shared" si="33"/>
        <v>0</v>
      </c>
      <c r="BV25" s="469">
        <f t="shared" si="33"/>
        <v>0</v>
      </c>
      <c r="BW25" s="470">
        <f t="shared" si="20"/>
        <v>76000000</v>
      </c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69"/>
      <c r="EI25" s="269"/>
      <c r="EJ25" s="269"/>
      <c r="EK25" s="269"/>
      <c r="EL25" s="269"/>
      <c r="EM25" s="269"/>
      <c r="EN25" s="269"/>
      <c r="EO25" s="269"/>
      <c r="EP25" s="269"/>
      <c r="EQ25" s="269"/>
      <c r="ER25" s="269"/>
      <c r="ES25" s="269"/>
      <c r="ET25" s="269"/>
      <c r="EU25" s="269"/>
      <c r="EV25" s="269"/>
      <c r="EW25" s="269"/>
      <c r="EX25" s="269"/>
      <c r="EY25" s="269"/>
      <c r="EZ25" s="269"/>
      <c r="FA25" s="269"/>
      <c r="FB25" s="269"/>
      <c r="FC25" s="269"/>
      <c r="FD25" s="269"/>
    </row>
    <row r="26" spans="1:160" x14ac:dyDescent="0.25">
      <c r="A26" s="974"/>
      <c r="B26" s="349"/>
      <c r="C26" s="357">
        <v>31400</v>
      </c>
      <c r="D26" s="357" t="s">
        <v>717</v>
      </c>
      <c r="E26" s="205"/>
      <c r="F26" s="378"/>
      <c r="G26" s="20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185"/>
      <c r="T26" s="142">
        <f>G26*0.2</f>
        <v>0</v>
      </c>
      <c r="U26" s="142">
        <f>G26*0.6</f>
        <v>0</v>
      </c>
      <c r="V26" s="142">
        <f>G26*0.2</f>
        <v>0</v>
      </c>
      <c r="W26" s="85"/>
      <c r="X26" s="133">
        <f>H26*0.2</f>
        <v>0</v>
      </c>
      <c r="Y26" s="133">
        <f>H26*0.6</f>
        <v>0</v>
      </c>
      <c r="Z26" s="133">
        <f>H26*0.2</f>
        <v>0</v>
      </c>
      <c r="AA26" s="47"/>
      <c r="AB26" s="133">
        <f t="shared" si="24"/>
        <v>0</v>
      </c>
      <c r="AC26" s="47"/>
      <c r="AD26" s="133">
        <f t="shared" si="1"/>
        <v>0</v>
      </c>
      <c r="AE26" s="47"/>
      <c r="AF26" s="133">
        <f t="shared" si="2"/>
        <v>0</v>
      </c>
      <c r="AG26" s="47"/>
      <c r="AH26" s="133">
        <f t="shared" si="3"/>
        <v>0</v>
      </c>
      <c r="AI26" s="47"/>
      <c r="AJ26" s="133">
        <f t="shared" si="4"/>
        <v>0</v>
      </c>
      <c r="AK26" s="47"/>
      <c r="AL26" s="133">
        <f t="shared" si="5"/>
        <v>0</v>
      </c>
      <c r="AM26" s="47"/>
      <c r="AN26" s="133">
        <f t="shared" si="6"/>
        <v>0</v>
      </c>
      <c r="AO26" s="47"/>
      <c r="AP26" s="133">
        <f t="shared" si="7"/>
        <v>0</v>
      </c>
      <c r="AQ26" s="47"/>
      <c r="AR26" s="133">
        <f t="shared" si="8"/>
        <v>0</v>
      </c>
      <c r="AS26" s="47"/>
      <c r="AT26" s="133">
        <f t="shared" si="9"/>
        <v>0</v>
      </c>
      <c r="AU26" s="47"/>
      <c r="AV26" s="133">
        <f t="shared" si="10"/>
        <v>0</v>
      </c>
      <c r="AW26" s="47"/>
      <c r="AX26" s="133">
        <f t="shared" si="11"/>
        <v>0</v>
      </c>
      <c r="AY26" s="47"/>
      <c r="AZ26" s="133">
        <f t="shared" si="12"/>
        <v>0</v>
      </c>
      <c r="BA26" s="47"/>
      <c r="BB26" s="133">
        <f t="shared" si="13"/>
        <v>0</v>
      </c>
      <c r="BC26" s="47"/>
      <c r="BD26" s="133">
        <f t="shared" si="14"/>
        <v>0</v>
      </c>
      <c r="BE26" s="47"/>
      <c r="BF26" s="133">
        <f t="shared" si="15"/>
        <v>0</v>
      </c>
      <c r="BG26" s="47"/>
      <c r="BH26" s="133">
        <f t="shared" si="16"/>
        <v>0</v>
      </c>
      <c r="BI26" s="47"/>
      <c r="BJ26" s="133">
        <f t="shared" si="17"/>
        <v>0</v>
      </c>
      <c r="BK26" s="47"/>
      <c r="BL26" s="85"/>
      <c r="BM26" s="338"/>
      <c r="BO26" s="375"/>
      <c r="BP26" s="375"/>
      <c r="BQ26" s="375"/>
      <c r="BR26" s="375"/>
      <c r="BS26" s="375"/>
      <c r="BT26" s="375"/>
      <c r="BU26" s="375"/>
      <c r="BV26" s="375"/>
      <c r="BW26" s="377">
        <f t="shared" si="20"/>
        <v>0</v>
      </c>
    </row>
    <row r="27" spans="1:160" x14ac:dyDescent="0.25">
      <c r="A27" s="974"/>
      <c r="B27" s="349"/>
      <c r="C27" s="47"/>
      <c r="D27" s="205" t="s">
        <v>810</v>
      </c>
      <c r="E27" s="205" t="s">
        <v>213</v>
      </c>
      <c r="F27" s="378">
        <v>1000000</v>
      </c>
      <c r="G27" s="205">
        <f t="shared" ref="G27:G36" si="34">BK27</f>
        <v>15</v>
      </c>
      <c r="H27" s="455">
        <f t="shared" ref="H27:H36" si="35">F27*G27</f>
        <v>15000000</v>
      </c>
      <c r="I27" s="455">
        <f>H27*0</f>
        <v>0</v>
      </c>
      <c r="J27" s="455">
        <f>H27*0</f>
        <v>0</v>
      </c>
      <c r="K27" s="455">
        <f>H27*1</f>
        <v>15000000</v>
      </c>
      <c r="L27" s="455">
        <f>H27*0</f>
        <v>0</v>
      </c>
      <c r="M27" s="455">
        <f>H27*0</f>
        <v>0</v>
      </c>
      <c r="N27" s="455">
        <f>H27*0</f>
        <v>0</v>
      </c>
      <c r="O27" s="455">
        <f>H27*0</f>
        <v>0</v>
      </c>
      <c r="P27" s="455">
        <f>H27*0</f>
        <v>0</v>
      </c>
      <c r="Q27" s="455">
        <f>H27*0</f>
        <v>0</v>
      </c>
      <c r="R27" s="455">
        <f>H27*0</f>
        <v>0</v>
      </c>
      <c r="S27" s="185">
        <v>3</v>
      </c>
      <c r="T27" s="142">
        <v>0</v>
      </c>
      <c r="U27" s="142">
        <v>9</v>
      </c>
      <c r="V27" s="142">
        <v>3</v>
      </c>
      <c r="W27" s="455">
        <f>S27*F27</f>
        <v>3000000</v>
      </c>
      <c r="X27" s="455">
        <f>T27*F27</f>
        <v>0</v>
      </c>
      <c r="Y27" s="455">
        <f>U27*F27</f>
        <v>9000000</v>
      </c>
      <c r="Z27" s="455">
        <f>V27*F27</f>
        <v>3000000</v>
      </c>
      <c r="AA27" s="47">
        <v>1.2</v>
      </c>
      <c r="AB27" s="133">
        <f t="shared" si="24"/>
        <v>1200000</v>
      </c>
      <c r="AC27" s="47">
        <v>0.5</v>
      </c>
      <c r="AD27" s="133">
        <f t="shared" si="1"/>
        <v>500000</v>
      </c>
      <c r="AE27" s="47">
        <v>1</v>
      </c>
      <c r="AF27" s="133">
        <f t="shared" si="2"/>
        <v>1000000</v>
      </c>
      <c r="AG27" s="47">
        <v>1</v>
      </c>
      <c r="AH27" s="133">
        <f t="shared" si="3"/>
        <v>1000000</v>
      </c>
      <c r="AI27" s="47">
        <v>1.3</v>
      </c>
      <c r="AJ27" s="133">
        <f t="shared" si="4"/>
        <v>1300000</v>
      </c>
      <c r="AK27" s="47">
        <v>1</v>
      </c>
      <c r="AL27" s="133">
        <f t="shared" si="5"/>
        <v>1000000</v>
      </c>
      <c r="AM27" s="47">
        <v>0.5</v>
      </c>
      <c r="AN27" s="133">
        <f t="shared" si="6"/>
        <v>500000</v>
      </c>
      <c r="AO27" s="47">
        <v>0.5</v>
      </c>
      <c r="AP27" s="133">
        <f t="shared" si="7"/>
        <v>500000</v>
      </c>
      <c r="AQ27" s="47">
        <v>0.5</v>
      </c>
      <c r="AR27" s="133">
        <f t="shared" si="8"/>
        <v>500000</v>
      </c>
      <c r="AS27" s="47">
        <v>1</v>
      </c>
      <c r="AT27" s="133">
        <f t="shared" si="9"/>
        <v>1000000</v>
      </c>
      <c r="AU27" s="47">
        <v>1</v>
      </c>
      <c r="AV27" s="133">
        <f t="shared" si="10"/>
        <v>1000000</v>
      </c>
      <c r="AW27" s="47">
        <v>1</v>
      </c>
      <c r="AX27" s="133">
        <f t="shared" si="11"/>
        <v>1000000</v>
      </c>
      <c r="AY27" s="47">
        <v>1</v>
      </c>
      <c r="AZ27" s="133">
        <f t="shared" si="12"/>
        <v>1000000</v>
      </c>
      <c r="BA27" s="47">
        <v>1</v>
      </c>
      <c r="BB27" s="133">
        <f t="shared" si="13"/>
        <v>1000000</v>
      </c>
      <c r="BC27" s="47">
        <v>1.5</v>
      </c>
      <c r="BD27" s="133">
        <f t="shared" si="14"/>
        <v>1500000</v>
      </c>
      <c r="BE27" s="47">
        <v>0.5</v>
      </c>
      <c r="BF27" s="133">
        <f t="shared" si="15"/>
        <v>500000</v>
      </c>
      <c r="BG27" s="47">
        <v>0.5</v>
      </c>
      <c r="BH27" s="133">
        <f t="shared" si="16"/>
        <v>500000</v>
      </c>
      <c r="BI27" s="47">
        <v>0</v>
      </c>
      <c r="BJ27" s="133">
        <f t="shared" si="17"/>
        <v>0</v>
      </c>
      <c r="BK27" s="47">
        <f t="shared" ref="BK27:BL36" si="36">AA27+AC27+AE27+AG27+AI27+AK27+AM27+AO27+AQ27+AS27+AU27+AW27+AY27+BA27+BC27+BE27+BG27+BI27</f>
        <v>15</v>
      </c>
      <c r="BL27" s="85">
        <f t="shared" si="36"/>
        <v>15000000</v>
      </c>
      <c r="BM27" s="330" t="s">
        <v>811</v>
      </c>
      <c r="BO27" s="375">
        <f>H27</f>
        <v>15000000</v>
      </c>
      <c r="BP27" s="375"/>
      <c r="BQ27" s="375"/>
      <c r="BR27" s="375"/>
      <c r="BS27" s="375">
        <f>BO27+BP27+BQ27+BR27</f>
        <v>15000000</v>
      </c>
      <c r="BT27" s="375"/>
      <c r="BU27" s="375"/>
      <c r="BV27" s="375">
        <f>BT27+BU27</f>
        <v>0</v>
      </c>
      <c r="BW27" s="377">
        <f t="shared" si="20"/>
        <v>15000000</v>
      </c>
    </row>
    <row r="28" spans="1:160" x14ac:dyDescent="0.25">
      <c r="A28" s="974"/>
      <c r="B28" s="349"/>
      <c r="C28" s="472"/>
      <c r="D28" s="205" t="s">
        <v>214</v>
      </c>
      <c r="E28" s="205" t="s">
        <v>213</v>
      </c>
      <c r="F28" s="378">
        <v>700000</v>
      </c>
      <c r="G28" s="205">
        <f t="shared" si="34"/>
        <v>17</v>
      </c>
      <c r="H28" s="455">
        <f t="shared" si="35"/>
        <v>11900000</v>
      </c>
      <c r="I28" s="455">
        <f>H28*0.1</f>
        <v>1190000</v>
      </c>
      <c r="J28" s="455">
        <f>H28*0</f>
        <v>0</v>
      </c>
      <c r="K28" s="455">
        <f>H28*0</f>
        <v>0</v>
      </c>
      <c r="L28" s="455">
        <f>H28*0</f>
        <v>0</v>
      </c>
      <c r="M28" s="455">
        <f>H28*0.9</f>
        <v>10710000</v>
      </c>
      <c r="N28" s="455">
        <f>H28*0</f>
        <v>0</v>
      </c>
      <c r="O28" s="455">
        <f>H28*0</f>
        <v>0</v>
      </c>
      <c r="P28" s="455">
        <f>H28*0</f>
        <v>0</v>
      </c>
      <c r="Q28" s="455">
        <f>H28*0</f>
        <v>0</v>
      </c>
      <c r="R28" s="455">
        <f>H28*0</f>
        <v>0</v>
      </c>
      <c r="S28" s="185">
        <v>3</v>
      </c>
      <c r="T28" s="142">
        <v>0</v>
      </c>
      <c r="U28" s="142">
        <v>10</v>
      </c>
      <c r="V28" s="142">
        <v>4</v>
      </c>
      <c r="W28" s="455">
        <f t="shared" ref="W28:W36" si="37">S28*F28</f>
        <v>2100000</v>
      </c>
      <c r="X28" s="455">
        <f t="shared" ref="X28:X36" si="38">T28*F28</f>
        <v>0</v>
      </c>
      <c r="Y28" s="455">
        <f t="shared" ref="Y28:Y36" si="39">U28*F28</f>
        <v>7000000</v>
      </c>
      <c r="Z28" s="455">
        <f t="shared" ref="Z28:Z36" si="40">V28*F28</f>
        <v>2800000</v>
      </c>
      <c r="AA28" s="47">
        <v>1</v>
      </c>
      <c r="AB28" s="133">
        <f t="shared" si="24"/>
        <v>700000</v>
      </c>
      <c r="AC28" s="47">
        <v>1</v>
      </c>
      <c r="AD28" s="133">
        <f t="shared" si="1"/>
        <v>700000</v>
      </c>
      <c r="AE28" s="47">
        <v>1</v>
      </c>
      <c r="AF28" s="133">
        <f t="shared" si="2"/>
        <v>700000</v>
      </c>
      <c r="AG28" s="47">
        <v>1</v>
      </c>
      <c r="AH28" s="133">
        <f t="shared" si="3"/>
        <v>700000</v>
      </c>
      <c r="AI28" s="47">
        <v>1</v>
      </c>
      <c r="AJ28" s="133">
        <f t="shared" si="4"/>
        <v>700000</v>
      </c>
      <c r="AK28" s="47">
        <v>1</v>
      </c>
      <c r="AL28" s="133">
        <f t="shared" si="5"/>
        <v>700000</v>
      </c>
      <c r="AM28" s="47">
        <v>0</v>
      </c>
      <c r="AN28" s="133">
        <f t="shared" si="6"/>
        <v>0</v>
      </c>
      <c r="AO28" s="47">
        <v>0</v>
      </c>
      <c r="AP28" s="133">
        <f t="shared" si="7"/>
        <v>0</v>
      </c>
      <c r="AQ28" s="47">
        <v>0</v>
      </c>
      <c r="AR28" s="133">
        <f t="shared" si="8"/>
        <v>0</v>
      </c>
      <c r="AS28" s="47">
        <v>1</v>
      </c>
      <c r="AT28" s="133">
        <f t="shared" si="9"/>
        <v>700000</v>
      </c>
      <c r="AU28" s="47">
        <v>1</v>
      </c>
      <c r="AV28" s="133">
        <f t="shared" si="10"/>
        <v>700000</v>
      </c>
      <c r="AW28" s="47">
        <v>1</v>
      </c>
      <c r="AX28" s="133">
        <f t="shared" si="11"/>
        <v>700000</v>
      </c>
      <c r="AY28" s="47">
        <v>1</v>
      </c>
      <c r="AZ28" s="133">
        <f t="shared" si="12"/>
        <v>700000</v>
      </c>
      <c r="BA28" s="47">
        <v>1</v>
      </c>
      <c r="BB28" s="133">
        <f t="shared" si="13"/>
        <v>700000</v>
      </c>
      <c r="BC28" s="47">
        <v>3</v>
      </c>
      <c r="BD28" s="133">
        <f t="shared" si="14"/>
        <v>2100000</v>
      </c>
      <c r="BE28" s="47">
        <v>0</v>
      </c>
      <c r="BF28" s="133">
        <f t="shared" si="15"/>
        <v>0</v>
      </c>
      <c r="BG28" s="47">
        <v>3</v>
      </c>
      <c r="BH28" s="133">
        <f t="shared" si="16"/>
        <v>2100000</v>
      </c>
      <c r="BI28" s="47">
        <v>0</v>
      </c>
      <c r="BJ28" s="133">
        <f t="shared" si="17"/>
        <v>0</v>
      </c>
      <c r="BK28" s="47">
        <f t="shared" si="36"/>
        <v>17</v>
      </c>
      <c r="BL28" s="85">
        <f t="shared" si="36"/>
        <v>11900000</v>
      </c>
      <c r="BM28" s="330" t="s">
        <v>474</v>
      </c>
      <c r="BO28" s="375">
        <f>H28</f>
        <v>11900000</v>
      </c>
      <c r="BP28" s="375"/>
      <c r="BQ28" s="375"/>
      <c r="BR28" s="375"/>
      <c r="BS28" s="375">
        <f t="shared" ref="BS28:BS36" si="41">BO28+BP28+BQ28+BR28</f>
        <v>11900000</v>
      </c>
      <c r="BT28" s="375"/>
      <c r="BU28" s="375"/>
      <c r="BV28" s="375">
        <f t="shared" ref="BV28:BV36" si="42">BT28+BU28</f>
        <v>0</v>
      </c>
      <c r="BW28" s="377">
        <f t="shared" si="20"/>
        <v>11900000</v>
      </c>
    </row>
    <row r="29" spans="1:160" x14ac:dyDescent="0.25">
      <c r="A29" s="974"/>
      <c r="B29" s="349"/>
      <c r="C29" s="472"/>
      <c r="D29" s="205" t="s">
        <v>215</v>
      </c>
      <c r="E29" s="205" t="s">
        <v>213</v>
      </c>
      <c r="F29" s="378">
        <f>10*100000</f>
        <v>1000000</v>
      </c>
      <c r="G29" s="205">
        <f t="shared" si="34"/>
        <v>0</v>
      </c>
      <c r="H29" s="455">
        <f t="shared" si="35"/>
        <v>0</v>
      </c>
      <c r="I29" s="455">
        <f>H29*0</f>
        <v>0</v>
      </c>
      <c r="J29" s="455">
        <f>H29*0</f>
        <v>0</v>
      </c>
      <c r="K29" s="455">
        <f>H29*0</f>
        <v>0</v>
      </c>
      <c r="L29" s="455">
        <f>H29*0</f>
        <v>0</v>
      </c>
      <c r="M29" s="455">
        <f>H29*0.9</f>
        <v>0</v>
      </c>
      <c r="N29" s="455">
        <f>H29*0</f>
        <v>0</v>
      </c>
      <c r="O29" s="455">
        <f>H29*0</f>
        <v>0</v>
      </c>
      <c r="P29" s="455">
        <f>H29*0</f>
        <v>0</v>
      </c>
      <c r="Q29" s="455">
        <f>H29*0</f>
        <v>0</v>
      </c>
      <c r="R29" s="455">
        <f>H29*0.1</f>
        <v>0</v>
      </c>
      <c r="S29" s="185"/>
      <c r="T29" s="142">
        <f>G29*0.2</f>
        <v>0</v>
      </c>
      <c r="U29" s="142">
        <f>G29*0.6</f>
        <v>0</v>
      </c>
      <c r="V29" s="142">
        <f>G29*0.2</f>
        <v>0</v>
      </c>
      <c r="W29" s="455">
        <f t="shared" si="37"/>
        <v>0</v>
      </c>
      <c r="X29" s="455">
        <f t="shared" si="38"/>
        <v>0</v>
      </c>
      <c r="Y29" s="455">
        <f t="shared" si="39"/>
        <v>0</v>
      </c>
      <c r="Z29" s="455">
        <f t="shared" si="40"/>
        <v>0</v>
      </c>
      <c r="AA29" s="47">
        <v>0</v>
      </c>
      <c r="AB29" s="133">
        <f t="shared" si="24"/>
        <v>0</v>
      </c>
      <c r="AC29" s="47">
        <v>0</v>
      </c>
      <c r="AD29" s="133">
        <f t="shared" si="1"/>
        <v>0</v>
      </c>
      <c r="AE29" s="47">
        <v>0</v>
      </c>
      <c r="AF29" s="133">
        <f t="shared" si="2"/>
        <v>0</v>
      </c>
      <c r="AG29" s="47">
        <v>0</v>
      </c>
      <c r="AH29" s="133">
        <f t="shared" si="3"/>
        <v>0</v>
      </c>
      <c r="AI29" s="47">
        <v>0</v>
      </c>
      <c r="AJ29" s="133">
        <f t="shared" si="4"/>
        <v>0</v>
      </c>
      <c r="AK29" s="47">
        <v>0</v>
      </c>
      <c r="AL29" s="133">
        <f t="shared" si="5"/>
        <v>0</v>
      </c>
      <c r="AM29" s="47">
        <v>0</v>
      </c>
      <c r="AN29" s="133">
        <f t="shared" si="6"/>
        <v>0</v>
      </c>
      <c r="AO29" s="47">
        <v>0</v>
      </c>
      <c r="AP29" s="133">
        <f t="shared" si="7"/>
        <v>0</v>
      </c>
      <c r="AQ29" s="47">
        <v>0</v>
      </c>
      <c r="AR29" s="133">
        <f t="shared" si="8"/>
        <v>0</v>
      </c>
      <c r="AS29" s="47">
        <v>0</v>
      </c>
      <c r="AT29" s="133">
        <f t="shared" si="9"/>
        <v>0</v>
      </c>
      <c r="AU29" s="47">
        <v>0</v>
      </c>
      <c r="AV29" s="133">
        <f t="shared" si="10"/>
        <v>0</v>
      </c>
      <c r="AW29" s="47">
        <v>0</v>
      </c>
      <c r="AX29" s="133">
        <f t="shared" si="11"/>
        <v>0</v>
      </c>
      <c r="AY29" s="47">
        <v>0</v>
      </c>
      <c r="AZ29" s="133">
        <f t="shared" si="12"/>
        <v>0</v>
      </c>
      <c r="BA29" s="47">
        <v>0</v>
      </c>
      <c r="BB29" s="133">
        <f t="shared" si="13"/>
        <v>0</v>
      </c>
      <c r="BC29" s="47">
        <v>0</v>
      </c>
      <c r="BD29" s="133">
        <f t="shared" si="14"/>
        <v>0</v>
      </c>
      <c r="BE29" s="47">
        <v>0</v>
      </c>
      <c r="BF29" s="133">
        <f t="shared" si="15"/>
        <v>0</v>
      </c>
      <c r="BG29" s="47">
        <v>0</v>
      </c>
      <c r="BH29" s="133">
        <f t="shared" si="16"/>
        <v>0</v>
      </c>
      <c r="BI29" s="47">
        <v>0</v>
      </c>
      <c r="BJ29" s="133">
        <f t="shared" si="17"/>
        <v>0</v>
      </c>
      <c r="BK29" s="47">
        <f t="shared" si="36"/>
        <v>0</v>
      </c>
      <c r="BL29" s="85">
        <f t="shared" si="36"/>
        <v>0</v>
      </c>
      <c r="BM29" s="330" t="s">
        <v>474</v>
      </c>
      <c r="BO29" s="375">
        <f t="shared" ref="BO29:BO36" si="43">H29</f>
        <v>0</v>
      </c>
      <c r="BP29" s="375"/>
      <c r="BQ29" s="375">
        <f>H29</f>
        <v>0</v>
      </c>
      <c r="BR29" s="375"/>
      <c r="BS29" s="375">
        <f t="shared" si="41"/>
        <v>0</v>
      </c>
      <c r="BT29" s="375"/>
      <c r="BU29" s="375"/>
      <c r="BV29" s="375">
        <f t="shared" si="42"/>
        <v>0</v>
      </c>
      <c r="BW29" s="377">
        <f t="shared" si="20"/>
        <v>0</v>
      </c>
    </row>
    <row r="30" spans="1:160" s="471" customFormat="1" ht="31.5" x14ac:dyDescent="0.25">
      <c r="A30" s="974"/>
      <c r="B30" s="349"/>
      <c r="C30" s="460"/>
      <c r="D30" s="205" t="s">
        <v>216</v>
      </c>
      <c r="E30" s="205" t="s">
        <v>755</v>
      </c>
      <c r="F30" s="378">
        <v>40000</v>
      </c>
      <c r="G30" s="205">
        <f t="shared" si="34"/>
        <v>89</v>
      </c>
      <c r="H30" s="455">
        <f t="shared" si="35"/>
        <v>3560000</v>
      </c>
      <c r="I30" s="455">
        <f>H30*0.1</f>
        <v>356000</v>
      </c>
      <c r="J30" s="455">
        <f>H30*0</f>
        <v>0</v>
      </c>
      <c r="K30" s="455">
        <f>H30*0</f>
        <v>0</v>
      </c>
      <c r="L30" s="455">
        <f>H30*0</f>
        <v>0</v>
      </c>
      <c r="M30" s="455">
        <f>H30*0.9</f>
        <v>3204000</v>
      </c>
      <c r="N30" s="455">
        <f>H30*0</f>
        <v>0</v>
      </c>
      <c r="O30" s="455">
        <f>H30*0</f>
        <v>0</v>
      </c>
      <c r="P30" s="455">
        <f>H30*0</f>
        <v>0</v>
      </c>
      <c r="Q30" s="455">
        <f>H30*0</f>
        <v>0</v>
      </c>
      <c r="R30" s="455">
        <f>H30*0</f>
        <v>0</v>
      </c>
      <c r="S30" s="143">
        <f>G30*0.1</f>
        <v>8.9</v>
      </c>
      <c r="T30" s="185">
        <f>G30*0.1</f>
        <v>8.9</v>
      </c>
      <c r="U30" s="185">
        <f>G30*0.25</f>
        <v>22.25</v>
      </c>
      <c r="V30" s="185">
        <f>G30*0.55</f>
        <v>48.95</v>
      </c>
      <c r="W30" s="455">
        <f t="shared" si="37"/>
        <v>356000</v>
      </c>
      <c r="X30" s="455">
        <f t="shared" si="38"/>
        <v>356000</v>
      </c>
      <c r="Y30" s="455">
        <f t="shared" si="39"/>
        <v>890000</v>
      </c>
      <c r="Z30" s="455">
        <f t="shared" si="40"/>
        <v>1958000</v>
      </c>
      <c r="AA30" s="47">
        <v>10</v>
      </c>
      <c r="AB30" s="85">
        <f t="shared" si="24"/>
        <v>400000</v>
      </c>
      <c r="AC30" s="47">
        <v>3</v>
      </c>
      <c r="AD30" s="85">
        <f t="shared" si="1"/>
        <v>120000</v>
      </c>
      <c r="AE30" s="47">
        <v>4</v>
      </c>
      <c r="AF30" s="85">
        <f t="shared" si="2"/>
        <v>160000</v>
      </c>
      <c r="AG30" s="47">
        <v>3</v>
      </c>
      <c r="AH30" s="85">
        <f t="shared" si="3"/>
        <v>120000</v>
      </c>
      <c r="AI30" s="47">
        <v>2</v>
      </c>
      <c r="AJ30" s="85">
        <f t="shared" si="4"/>
        <v>80000</v>
      </c>
      <c r="AK30" s="47">
        <v>5</v>
      </c>
      <c r="AL30" s="85">
        <f t="shared" si="5"/>
        <v>200000</v>
      </c>
      <c r="AM30" s="47">
        <v>4</v>
      </c>
      <c r="AN30" s="85">
        <f t="shared" si="6"/>
        <v>160000</v>
      </c>
      <c r="AO30" s="624">
        <v>10</v>
      </c>
      <c r="AP30" s="85">
        <f t="shared" si="7"/>
        <v>400000</v>
      </c>
      <c r="AQ30" s="47">
        <v>5</v>
      </c>
      <c r="AR30" s="85">
        <f t="shared" si="8"/>
        <v>200000</v>
      </c>
      <c r="AS30" s="47">
        <v>5</v>
      </c>
      <c r="AT30" s="85">
        <f t="shared" si="9"/>
        <v>200000</v>
      </c>
      <c r="AU30" s="47">
        <v>10</v>
      </c>
      <c r="AV30" s="85">
        <f t="shared" si="10"/>
        <v>400000</v>
      </c>
      <c r="AW30" s="47">
        <v>5</v>
      </c>
      <c r="AX30" s="85">
        <f t="shared" si="11"/>
        <v>200000</v>
      </c>
      <c r="AY30" s="47">
        <v>3</v>
      </c>
      <c r="AZ30" s="85">
        <f t="shared" si="12"/>
        <v>120000</v>
      </c>
      <c r="BA30" s="47">
        <v>5</v>
      </c>
      <c r="BB30" s="85">
        <f t="shared" si="13"/>
        <v>200000</v>
      </c>
      <c r="BC30" s="47">
        <v>0</v>
      </c>
      <c r="BD30" s="85">
        <f t="shared" si="14"/>
        <v>0</v>
      </c>
      <c r="BE30" s="47">
        <v>10</v>
      </c>
      <c r="BF30" s="85">
        <f t="shared" si="15"/>
        <v>400000</v>
      </c>
      <c r="BG30" s="47">
        <v>5</v>
      </c>
      <c r="BH30" s="85">
        <f t="shared" si="16"/>
        <v>200000</v>
      </c>
      <c r="BI30" s="47">
        <v>0</v>
      </c>
      <c r="BJ30" s="85">
        <f t="shared" si="17"/>
        <v>0</v>
      </c>
      <c r="BK30" s="47">
        <f t="shared" si="36"/>
        <v>89</v>
      </c>
      <c r="BL30" s="85">
        <f t="shared" si="36"/>
        <v>3560000</v>
      </c>
      <c r="BM30" s="330" t="s">
        <v>474</v>
      </c>
      <c r="BN30" s="106"/>
      <c r="BO30" s="375">
        <f t="shared" si="43"/>
        <v>3560000</v>
      </c>
      <c r="BP30" s="375"/>
      <c r="BQ30" s="375"/>
      <c r="BR30" s="375"/>
      <c r="BS30" s="375">
        <f t="shared" si="41"/>
        <v>3560000</v>
      </c>
      <c r="BT30" s="375"/>
      <c r="BU30" s="375"/>
      <c r="BV30" s="375">
        <f t="shared" si="42"/>
        <v>0</v>
      </c>
      <c r="BW30" s="377">
        <f t="shared" si="20"/>
        <v>3560000</v>
      </c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</row>
    <row r="31" spans="1:160" s="471" customFormat="1" x14ac:dyDescent="0.25">
      <c r="A31" s="975"/>
      <c r="B31" s="473"/>
      <c r="C31" s="460"/>
      <c r="D31" s="761" t="s">
        <v>678</v>
      </c>
      <c r="E31" s="205" t="s">
        <v>689</v>
      </c>
      <c r="F31" s="378">
        <v>300000</v>
      </c>
      <c r="G31" s="205">
        <f t="shared" si="34"/>
        <v>10</v>
      </c>
      <c r="H31" s="455">
        <f t="shared" si="35"/>
        <v>3000000</v>
      </c>
      <c r="I31" s="455"/>
      <c r="J31" s="455"/>
      <c r="K31" s="455"/>
      <c r="L31" s="455"/>
      <c r="M31" s="455"/>
      <c r="N31" s="455">
        <f>H31</f>
        <v>3000000</v>
      </c>
      <c r="O31" s="455"/>
      <c r="P31" s="455"/>
      <c r="Q31" s="455"/>
      <c r="R31" s="455"/>
      <c r="S31" s="143">
        <f t="shared" ref="S31:S36" si="44">G31*0.1</f>
        <v>1</v>
      </c>
      <c r="T31" s="185">
        <f t="shared" ref="T31:T36" si="45">G31*0.1</f>
        <v>1</v>
      </c>
      <c r="U31" s="185">
        <f t="shared" ref="U31:U36" si="46">G31*0.25</f>
        <v>2.5</v>
      </c>
      <c r="V31" s="185">
        <f t="shared" ref="V31:V36" si="47">G31*0.55</f>
        <v>5.5</v>
      </c>
      <c r="W31" s="455">
        <f t="shared" si="37"/>
        <v>300000</v>
      </c>
      <c r="X31" s="455">
        <f t="shared" si="38"/>
        <v>300000</v>
      </c>
      <c r="Y31" s="455">
        <f t="shared" si="39"/>
        <v>750000</v>
      </c>
      <c r="Z31" s="455">
        <f t="shared" si="40"/>
        <v>1650000</v>
      </c>
      <c r="AA31" s="47"/>
      <c r="AB31" s="133">
        <f t="shared" si="24"/>
        <v>0</v>
      </c>
      <c r="AC31" s="47"/>
      <c r="AD31" s="133">
        <f t="shared" si="1"/>
        <v>0</v>
      </c>
      <c r="AE31" s="47"/>
      <c r="AF31" s="133">
        <f t="shared" si="2"/>
        <v>0</v>
      </c>
      <c r="AG31" s="47">
        <v>0</v>
      </c>
      <c r="AH31" s="133">
        <f t="shared" si="3"/>
        <v>0</v>
      </c>
      <c r="AI31" s="47">
        <v>1</v>
      </c>
      <c r="AJ31" s="133">
        <f t="shared" si="4"/>
        <v>300000</v>
      </c>
      <c r="AK31" s="47">
        <v>1</v>
      </c>
      <c r="AL31" s="133">
        <f t="shared" si="5"/>
        <v>300000</v>
      </c>
      <c r="AM31" s="47"/>
      <c r="AN31" s="133">
        <f t="shared" si="6"/>
        <v>0</v>
      </c>
      <c r="AO31" s="47"/>
      <c r="AP31" s="133">
        <f t="shared" si="7"/>
        <v>0</v>
      </c>
      <c r="AQ31" s="467">
        <v>1</v>
      </c>
      <c r="AR31" s="133">
        <f t="shared" si="8"/>
        <v>300000</v>
      </c>
      <c r="AS31" s="47">
        <v>2</v>
      </c>
      <c r="AT31" s="133">
        <f t="shared" si="9"/>
        <v>600000</v>
      </c>
      <c r="AU31" s="47">
        <v>1</v>
      </c>
      <c r="AV31" s="133">
        <f t="shared" si="10"/>
        <v>300000</v>
      </c>
      <c r="AW31" s="47">
        <v>1</v>
      </c>
      <c r="AX31" s="133">
        <f t="shared" si="11"/>
        <v>300000</v>
      </c>
      <c r="AY31" s="47">
        <v>1</v>
      </c>
      <c r="AZ31" s="133">
        <f t="shared" si="12"/>
        <v>300000</v>
      </c>
      <c r="BA31" s="47"/>
      <c r="BB31" s="133">
        <f t="shared" si="13"/>
        <v>0</v>
      </c>
      <c r="BC31" s="47">
        <v>1</v>
      </c>
      <c r="BD31" s="133">
        <f t="shared" si="14"/>
        <v>300000</v>
      </c>
      <c r="BE31" s="47">
        <v>1</v>
      </c>
      <c r="BF31" s="133">
        <f t="shared" si="15"/>
        <v>300000</v>
      </c>
      <c r="BG31" s="47"/>
      <c r="BH31" s="133">
        <f t="shared" si="16"/>
        <v>0</v>
      </c>
      <c r="BI31" s="47"/>
      <c r="BJ31" s="133">
        <f t="shared" si="17"/>
        <v>0</v>
      </c>
      <c r="BK31" s="47">
        <f t="shared" si="36"/>
        <v>10</v>
      </c>
      <c r="BL31" s="85">
        <f t="shared" si="36"/>
        <v>3000000</v>
      </c>
      <c r="BM31" s="781" t="s">
        <v>726</v>
      </c>
      <c r="BN31" s="106"/>
      <c r="BO31" s="375">
        <f t="shared" si="43"/>
        <v>3000000</v>
      </c>
      <c r="BP31" s="375"/>
      <c r="BQ31" s="375"/>
      <c r="BR31" s="375"/>
      <c r="BS31" s="375">
        <f t="shared" si="41"/>
        <v>3000000</v>
      </c>
      <c r="BT31" s="375"/>
      <c r="BU31" s="375"/>
      <c r="BV31" s="375">
        <f t="shared" si="42"/>
        <v>0</v>
      </c>
      <c r="BW31" s="377">
        <f t="shared" si="20"/>
        <v>3000000</v>
      </c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</row>
    <row r="32" spans="1:160" s="471" customFormat="1" x14ac:dyDescent="0.25">
      <c r="A32" s="975"/>
      <c r="B32" s="473"/>
      <c r="C32" s="460"/>
      <c r="D32" s="205" t="s">
        <v>808</v>
      </c>
      <c r="E32" s="205" t="s">
        <v>604</v>
      </c>
      <c r="F32" s="378">
        <v>500000</v>
      </c>
      <c r="G32" s="205">
        <f t="shared" si="34"/>
        <v>100</v>
      </c>
      <c r="H32" s="455">
        <f t="shared" si="35"/>
        <v>50000000</v>
      </c>
      <c r="I32" s="455"/>
      <c r="J32" s="455"/>
      <c r="K32" s="455">
        <f>H32*0.3</f>
        <v>15000000</v>
      </c>
      <c r="L32" s="455">
        <f>H32*0.4</f>
        <v>20000000</v>
      </c>
      <c r="M32" s="455">
        <f>H32*0.3</f>
        <v>15000000</v>
      </c>
      <c r="N32" s="455"/>
      <c r="O32" s="455"/>
      <c r="P32" s="455"/>
      <c r="Q32" s="455"/>
      <c r="R32" s="455">
        <f>H32*0</f>
        <v>0</v>
      </c>
      <c r="S32" s="143">
        <f t="shared" si="44"/>
        <v>10</v>
      </c>
      <c r="T32" s="185">
        <f t="shared" si="45"/>
        <v>10</v>
      </c>
      <c r="U32" s="185">
        <f t="shared" si="46"/>
        <v>25</v>
      </c>
      <c r="V32" s="185">
        <f t="shared" si="47"/>
        <v>55.000000000000007</v>
      </c>
      <c r="W32" s="455">
        <f t="shared" si="37"/>
        <v>5000000</v>
      </c>
      <c r="X32" s="455">
        <f t="shared" si="38"/>
        <v>5000000</v>
      </c>
      <c r="Y32" s="455">
        <f t="shared" si="39"/>
        <v>12500000</v>
      </c>
      <c r="Z32" s="455">
        <f t="shared" si="40"/>
        <v>27500000.000000004</v>
      </c>
      <c r="AA32" s="47">
        <v>8</v>
      </c>
      <c r="AB32" s="133">
        <f t="shared" si="24"/>
        <v>4000000</v>
      </c>
      <c r="AC32" s="47">
        <v>3</v>
      </c>
      <c r="AD32" s="133">
        <f t="shared" si="1"/>
        <v>1500000</v>
      </c>
      <c r="AE32" s="47">
        <v>8</v>
      </c>
      <c r="AF32" s="133">
        <f t="shared" si="2"/>
        <v>4000000</v>
      </c>
      <c r="AG32" s="47">
        <v>8</v>
      </c>
      <c r="AH32" s="133">
        <f t="shared" si="3"/>
        <v>4000000</v>
      </c>
      <c r="AI32" s="47">
        <v>3</v>
      </c>
      <c r="AJ32" s="133">
        <f t="shared" si="4"/>
        <v>1500000</v>
      </c>
      <c r="AK32" s="47">
        <v>7</v>
      </c>
      <c r="AL32" s="133">
        <f t="shared" si="5"/>
        <v>3500000</v>
      </c>
      <c r="AM32" s="47">
        <v>4</v>
      </c>
      <c r="AN32" s="133">
        <f t="shared" si="6"/>
        <v>2000000</v>
      </c>
      <c r="AO32" s="47">
        <v>5</v>
      </c>
      <c r="AP32" s="133">
        <f t="shared" si="7"/>
        <v>2500000</v>
      </c>
      <c r="AQ32" s="47">
        <v>6</v>
      </c>
      <c r="AR32" s="133">
        <f t="shared" si="8"/>
        <v>3000000</v>
      </c>
      <c r="AS32" s="47">
        <v>6</v>
      </c>
      <c r="AT32" s="133">
        <f t="shared" si="9"/>
        <v>3000000</v>
      </c>
      <c r="AU32" s="47">
        <v>7</v>
      </c>
      <c r="AV32" s="133">
        <f t="shared" si="10"/>
        <v>3500000</v>
      </c>
      <c r="AW32" s="47">
        <v>5</v>
      </c>
      <c r="AX32" s="133">
        <f t="shared" si="11"/>
        <v>2500000</v>
      </c>
      <c r="AY32" s="47">
        <v>5</v>
      </c>
      <c r="AZ32" s="133">
        <f t="shared" si="12"/>
        <v>2500000</v>
      </c>
      <c r="BA32" s="47">
        <v>6</v>
      </c>
      <c r="BB32" s="133">
        <f t="shared" si="13"/>
        <v>3000000</v>
      </c>
      <c r="BC32" s="47">
        <v>5</v>
      </c>
      <c r="BD32" s="133">
        <f t="shared" si="14"/>
        <v>2500000</v>
      </c>
      <c r="BE32" s="47">
        <v>4</v>
      </c>
      <c r="BF32" s="133">
        <f t="shared" si="15"/>
        <v>2000000</v>
      </c>
      <c r="BG32" s="47">
        <v>10</v>
      </c>
      <c r="BH32" s="133">
        <f t="shared" si="16"/>
        <v>5000000</v>
      </c>
      <c r="BI32" s="47"/>
      <c r="BJ32" s="133">
        <f t="shared" si="17"/>
        <v>0</v>
      </c>
      <c r="BK32" s="47">
        <f t="shared" si="36"/>
        <v>100</v>
      </c>
      <c r="BL32" s="85">
        <f t="shared" si="36"/>
        <v>50000000</v>
      </c>
      <c r="BM32" s="338" t="s">
        <v>831</v>
      </c>
      <c r="BN32" s="106"/>
      <c r="BO32" s="375">
        <f t="shared" si="43"/>
        <v>50000000</v>
      </c>
      <c r="BP32" s="375"/>
      <c r="BQ32" s="375"/>
      <c r="BR32" s="375"/>
      <c r="BS32" s="375">
        <f t="shared" si="41"/>
        <v>50000000</v>
      </c>
      <c r="BT32" s="375"/>
      <c r="BU32" s="375"/>
      <c r="BV32" s="375">
        <f t="shared" si="42"/>
        <v>0</v>
      </c>
      <c r="BW32" s="377">
        <f t="shared" si="20"/>
        <v>50000000</v>
      </c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</row>
    <row r="33" spans="1:160" s="471" customFormat="1" x14ac:dyDescent="0.25">
      <c r="A33" s="975"/>
      <c r="B33" s="473"/>
      <c r="C33" s="460"/>
      <c r="D33" s="205" t="s">
        <v>690</v>
      </c>
      <c r="E33" s="205" t="s">
        <v>689</v>
      </c>
      <c r="F33" s="378">
        <v>140000</v>
      </c>
      <c r="G33" s="205">
        <f t="shared" si="34"/>
        <v>19</v>
      </c>
      <c r="H33" s="455">
        <f t="shared" si="35"/>
        <v>2660000</v>
      </c>
      <c r="I33" s="455">
        <f>H33*0.1</f>
        <v>266000</v>
      </c>
      <c r="J33" s="455"/>
      <c r="K33" s="455"/>
      <c r="L33" s="455"/>
      <c r="M33" s="455">
        <f>H33*0.9</f>
        <v>2394000</v>
      </c>
      <c r="N33" s="455"/>
      <c r="O33" s="455"/>
      <c r="P33" s="455"/>
      <c r="Q33" s="455"/>
      <c r="R33" s="455">
        <f>H33*0</f>
        <v>0</v>
      </c>
      <c r="S33" s="143">
        <f t="shared" si="44"/>
        <v>1.9000000000000001</v>
      </c>
      <c r="T33" s="185">
        <f t="shared" si="45"/>
        <v>1.9000000000000001</v>
      </c>
      <c r="U33" s="185">
        <f t="shared" si="46"/>
        <v>4.75</v>
      </c>
      <c r="V33" s="185">
        <f t="shared" si="47"/>
        <v>10.450000000000001</v>
      </c>
      <c r="W33" s="455">
        <f t="shared" si="37"/>
        <v>266000</v>
      </c>
      <c r="X33" s="455">
        <f t="shared" si="38"/>
        <v>266000</v>
      </c>
      <c r="Y33" s="455">
        <f t="shared" si="39"/>
        <v>665000</v>
      </c>
      <c r="Z33" s="455">
        <f t="shared" si="40"/>
        <v>1463000.0000000002</v>
      </c>
      <c r="AA33" s="47"/>
      <c r="AB33" s="133">
        <f t="shared" si="24"/>
        <v>0</v>
      </c>
      <c r="AC33" s="47">
        <v>2</v>
      </c>
      <c r="AD33" s="133">
        <f t="shared" si="1"/>
        <v>280000</v>
      </c>
      <c r="AE33" s="47">
        <v>2</v>
      </c>
      <c r="AF33" s="133">
        <f t="shared" si="2"/>
        <v>280000</v>
      </c>
      <c r="AG33" s="47">
        <v>5</v>
      </c>
      <c r="AH33" s="133">
        <f t="shared" si="3"/>
        <v>700000</v>
      </c>
      <c r="AI33" s="47"/>
      <c r="AJ33" s="133">
        <f t="shared" si="4"/>
        <v>0</v>
      </c>
      <c r="AK33" s="47"/>
      <c r="AL33" s="133">
        <f t="shared" si="5"/>
        <v>0</v>
      </c>
      <c r="AM33" s="47"/>
      <c r="AN33" s="133">
        <f t="shared" si="6"/>
        <v>0</v>
      </c>
      <c r="AO33" s="47"/>
      <c r="AP33" s="133">
        <f t="shared" si="7"/>
        <v>0</v>
      </c>
      <c r="AQ33" s="47">
        <v>1</v>
      </c>
      <c r="AR33" s="133">
        <f t="shared" si="8"/>
        <v>140000</v>
      </c>
      <c r="AS33" s="47">
        <v>2</v>
      </c>
      <c r="AT33" s="133">
        <f t="shared" si="9"/>
        <v>280000</v>
      </c>
      <c r="AU33" s="47"/>
      <c r="AV33" s="133">
        <f t="shared" si="10"/>
        <v>0</v>
      </c>
      <c r="AW33" s="47"/>
      <c r="AX33" s="133">
        <f t="shared" si="11"/>
        <v>0</v>
      </c>
      <c r="AY33" s="47">
        <v>2</v>
      </c>
      <c r="AZ33" s="133">
        <f t="shared" si="12"/>
        <v>280000</v>
      </c>
      <c r="BA33" s="47"/>
      <c r="BB33" s="133">
        <f t="shared" si="13"/>
        <v>0</v>
      </c>
      <c r="BC33" s="47">
        <v>3</v>
      </c>
      <c r="BD33" s="133">
        <f t="shared" si="14"/>
        <v>420000</v>
      </c>
      <c r="BE33" s="47">
        <v>2</v>
      </c>
      <c r="BF33" s="133">
        <f t="shared" si="15"/>
        <v>280000</v>
      </c>
      <c r="BG33" s="47"/>
      <c r="BH33" s="133">
        <f t="shared" si="16"/>
        <v>0</v>
      </c>
      <c r="BI33" s="47"/>
      <c r="BJ33" s="133">
        <f t="shared" si="17"/>
        <v>0</v>
      </c>
      <c r="BK33" s="47">
        <f t="shared" si="36"/>
        <v>19</v>
      </c>
      <c r="BL33" s="85">
        <f t="shared" si="36"/>
        <v>2660000</v>
      </c>
      <c r="BM33" s="330" t="s">
        <v>474</v>
      </c>
      <c r="BN33" s="106"/>
      <c r="BO33" s="375">
        <f t="shared" si="43"/>
        <v>2660000</v>
      </c>
      <c r="BP33" s="375"/>
      <c r="BQ33" s="375"/>
      <c r="BR33" s="375"/>
      <c r="BS33" s="375">
        <f t="shared" si="41"/>
        <v>2660000</v>
      </c>
      <c r="BT33" s="375"/>
      <c r="BU33" s="375"/>
      <c r="BV33" s="375">
        <f t="shared" si="42"/>
        <v>0</v>
      </c>
      <c r="BW33" s="377">
        <f t="shared" si="20"/>
        <v>2660000</v>
      </c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</row>
    <row r="34" spans="1:160" s="471" customFormat="1" ht="31.5" x14ac:dyDescent="0.25">
      <c r="A34" s="975"/>
      <c r="B34" s="473"/>
      <c r="C34" s="460"/>
      <c r="D34" s="205" t="s">
        <v>691</v>
      </c>
      <c r="E34" s="205" t="s">
        <v>689</v>
      </c>
      <c r="F34" s="378">
        <v>30000</v>
      </c>
      <c r="G34" s="205">
        <f t="shared" si="34"/>
        <v>24</v>
      </c>
      <c r="H34" s="455">
        <f t="shared" si="35"/>
        <v>720000</v>
      </c>
      <c r="I34" s="455"/>
      <c r="J34" s="455"/>
      <c r="K34" s="455"/>
      <c r="L34" s="455"/>
      <c r="M34" s="455"/>
      <c r="N34" s="455">
        <f>H34*1</f>
        <v>720000</v>
      </c>
      <c r="O34" s="455"/>
      <c r="P34" s="455"/>
      <c r="Q34" s="455"/>
      <c r="R34" s="455"/>
      <c r="S34" s="143">
        <f t="shared" si="44"/>
        <v>2.4000000000000004</v>
      </c>
      <c r="T34" s="185">
        <f t="shared" si="45"/>
        <v>2.4000000000000004</v>
      </c>
      <c r="U34" s="185">
        <f t="shared" si="46"/>
        <v>6</v>
      </c>
      <c r="V34" s="185">
        <f t="shared" si="47"/>
        <v>13.200000000000001</v>
      </c>
      <c r="W34" s="455">
        <f t="shared" si="37"/>
        <v>72000.000000000015</v>
      </c>
      <c r="X34" s="455">
        <f t="shared" si="38"/>
        <v>72000.000000000015</v>
      </c>
      <c r="Y34" s="455">
        <f t="shared" si="39"/>
        <v>180000</v>
      </c>
      <c r="Z34" s="455">
        <f t="shared" si="40"/>
        <v>396000.00000000006</v>
      </c>
      <c r="AA34" s="47">
        <v>2</v>
      </c>
      <c r="AB34" s="133">
        <f t="shared" si="24"/>
        <v>60000</v>
      </c>
      <c r="AC34" s="47">
        <v>1</v>
      </c>
      <c r="AD34" s="133">
        <f t="shared" si="1"/>
        <v>30000</v>
      </c>
      <c r="AE34" s="47"/>
      <c r="AF34" s="133">
        <f t="shared" si="2"/>
        <v>0</v>
      </c>
      <c r="AG34" s="47">
        <v>5</v>
      </c>
      <c r="AH34" s="133">
        <f t="shared" si="3"/>
        <v>150000</v>
      </c>
      <c r="AI34" s="47"/>
      <c r="AJ34" s="133">
        <f t="shared" si="4"/>
        <v>0</v>
      </c>
      <c r="AK34" s="47">
        <v>1</v>
      </c>
      <c r="AL34" s="133">
        <f t="shared" si="5"/>
        <v>30000</v>
      </c>
      <c r="AM34" s="47"/>
      <c r="AN34" s="133">
        <f t="shared" si="6"/>
        <v>0</v>
      </c>
      <c r="AO34" s="47">
        <v>2</v>
      </c>
      <c r="AP34" s="133">
        <f t="shared" si="7"/>
        <v>60000</v>
      </c>
      <c r="AQ34" s="47">
        <v>0</v>
      </c>
      <c r="AR34" s="133">
        <f t="shared" si="8"/>
        <v>0</v>
      </c>
      <c r="AS34" s="47">
        <v>1</v>
      </c>
      <c r="AT34" s="133">
        <f t="shared" si="9"/>
        <v>30000</v>
      </c>
      <c r="AU34" s="624">
        <v>5</v>
      </c>
      <c r="AV34" s="133">
        <f t="shared" si="10"/>
        <v>150000</v>
      </c>
      <c r="AW34" s="47"/>
      <c r="AX34" s="133">
        <f t="shared" si="11"/>
        <v>0</v>
      </c>
      <c r="AY34" s="47"/>
      <c r="AZ34" s="133">
        <f t="shared" si="12"/>
        <v>0</v>
      </c>
      <c r="BA34" s="47">
        <v>2</v>
      </c>
      <c r="BB34" s="133">
        <f t="shared" si="13"/>
        <v>60000</v>
      </c>
      <c r="BC34" s="47">
        <v>5</v>
      </c>
      <c r="BD34" s="133">
        <f t="shared" si="14"/>
        <v>150000</v>
      </c>
      <c r="BE34" s="47"/>
      <c r="BF34" s="133">
        <f t="shared" si="15"/>
        <v>0</v>
      </c>
      <c r="BG34" s="47"/>
      <c r="BH34" s="133">
        <f t="shared" si="16"/>
        <v>0</v>
      </c>
      <c r="BI34" s="47"/>
      <c r="BJ34" s="133">
        <f t="shared" si="17"/>
        <v>0</v>
      </c>
      <c r="BK34" s="47">
        <f t="shared" si="36"/>
        <v>24</v>
      </c>
      <c r="BL34" s="85">
        <f t="shared" si="36"/>
        <v>720000</v>
      </c>
      <c r="BM34" s="330" t="s">
        <v>726</v>
      </c>
      <c r="BN34" s="106"/>
      <c r="BO34" s="375">
        <f t="shared" si="43"/>
        <v>720000</v>
      </c>
      <c r="BP34" s="375"/>
      <c r="BQ34" s="375"/>
      <c r="BR34" s="375"/>
      <c r="BS34" s="375">
        <f t="shared" si="41"/>
        <v>720000</v>
      </c>
      <c r="BT34" s="375"/>
      <c r="BU34" s="375"/>
      <c r="BV34" s="375">
        <f t="shared" si="42"/>
        <v>0</v>
      </c>
      <c r="BW34" s="377">
        <f t="shared" si="20"/>
        <v>720000</v>
      </c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</row>
    <row r="35" spans="1:160" s="471" customFormat="1" x14ac:dyDescent="0.25">
      <c r="A35" s="975"/>
      <c r="B35" s="473"/>
      <c r="C35" s="460"/>
      <c r="D35" s="205" t="s">
        <v>692</v>
      </c>
      <c r="E35" s="205" t="s">
        <v>709</v>
      </c>
      <c r="F35" s="378">
        <v>2880</v>
      </c>
      <c r="G35" s="205">
        <f t="shared" si="34"/>
        <v>550</v>
      </c>
      <c r="H35" s="455">
        <f t="shared" si="35"/>
        <v>1584000</v>
      </c>
      <c r="I35" s="455"/>
      <c r="J35" s="455"/>
      <c r="K35" s="455"/>
      <c r="L35" s="455"/>
      <c r="M35" s="455">
        <f>H35*1</f>
        <v>1584000</v>
      </c>
      <c r="N35" s="455"/>
      <c r="O35" s="455"/>
      <c r="P35" s="455"/>
      <c r="Q35" s="455"/>
      <c r="R35" s="455">
        <f>H35*0</f>
        <v>0</v>
      </c>
      <c r="S35" s="143">
        <f t="shared" si="44"/>
        <v>55</v>
      </c>
      <c r="T35" s="185">
        <f t="shared" si="45"/>
        <v>55</v>
      </c>
      <c r="U35" s="185">
        <f t="shared" si="46"/>
        <v>137.5</v>
      </c>
      <c r="V35" s="185">
        <f t="shared" si="47"/>
        <v>302.5</v>
      </c>
      <c r="W35" s="455">
        <f t="shared" si="37"/>
        <v>158400</v>
      </c>
      <c r="X35" s="455">
        <f t="shared" si="38"/>
        <v>158400</v>
      </c>
      <c r="Y35" s="455">
        <f t="shared" si="39"/>
        <v>396000</v>
      </c>
      <c r="Z35" s="455">
        <f t="shared" si="40"/>
        <v>871200</v>
      </c>
      <c r="AA35" s="47">
        <v>40</v>
      </c>
      <c r="AB35" s="133">
        <f t="shared" si="24"/>
        <v>115200</v>
      </c>
      <c r="AC35" s="47">
        <v>20</v>
      </c>
      <c r="AD35" s="133">
        <f t="shared" si="1"/>
        <v>57600</v>
      </c>
      <c r="AE35" s="47">
        <v>30</v>
      </c>
      <c r="AF35" s="133">
        <f t="shared" si="2"/>
        <v>86400</v>
      </c>
      <c r="AG35" s="47">
        <v>50</v>
      </c>
      <c r="AH35" s="133">
        <f t="shared" si="3"/>
        <v>144000</v>
      </c>
      <c r="AI35" s="47">
        <v>20</v>
      </c>
      <c r="AJ35" s="133">
        <f t="shared" si="4"/>
        <v>57600</v>
      </c>
      <c r="AK35" s="47">
        <v>10</v>
      </c>
      <c r="AL35" s="133">
        <f t="shared" si="5"/>
        <v>28800</v>
      </c>
      <c r="AM35" s="47">
        <v>100</v>
      </c>
      <c r="AN35" s="133">
        <f t="shared" si="6"/>
        <v>288000</v>
      </c>
      <c r="AO35" s="47">
        <v>50</v>
      </c>
      <c r="AP35" s="133">
        <f t="shared" si="7"/>
        <v>144000</v>
      </c>
      <c r="AQ35" s="47">
        <v>50</v>
      </c>
      <c r="AR35" s="133">
        <f t="shared" si="8"/>
        <v>144000</v>
      </c>
      <c r="AS35" s="47">
        <v>50</v>
      </c>
      <c r="AT35" s="133">
        <f t="shared" si="9"/>
        <v>144000</v>
      </c>
      <c r="AU35" s="624">
        <v>20</v>
      </c>
      <c r="AV35" s="133">
        <f t="shared" si="10"/>
        <v>57600</v>
      </c>
      <c r="AW35" s="47"/>
      <c r="AX35" s="133">
        <f t="shared" si="11"/>
        <v>0</v>
      </c>
      <c r="AY35" s="47"/>
      <c r="AZ35" s="133">
        <f t="shared" si="12"/>
        <v>0</v>
      </c>
      <c r="BA35" s="47">
        <v>20</v>
      </c>
      <c r="BB35" s="133">
        <f t="shared" si="13"/>
        <v>57600</v>
      </c>
      <c r="BC35" s="47">
        <v>20</v>
      </c>
      <c r="BD35" s="133">
        <f t="shared" si="14"/>
        <v>57600</v>
      </c>
      <c r="BE35" s="47">
        <v>20</v>
      </c>
      <c r="BF35" s="133">
        <f t="shared" si="15"/>
        <v>57600</v>
      </c>
      <c r="BG35" s="47">
        <v>50</v>
      </c>
      <c r="BH35" s="133">
        <f t="shared" si="16"/>
        <v>144000</v>
      </c>
      <c r="BI35" s="47"/>
      <c r="BJ35" s="133">
        <f t="shared" si="17"/>
        <v>0</v>
      </c>
      <c r="BK35" s="47">
        <f t="shared" si="36"/>
        <v>550</v>
      </c>
      <c r="BL35" s="85">
        <f t="shared" si="36"/>
        <v>1584000</v>
      </c>
      <c r="BM35" s="330" t="s">
        <v>828</v>
      </c>
      <c r="BN35" s="106"/>
      <c r="BO35" s="375">
        <f t="shared" si="43"/>
        <v>1584000</v>
      </c>
      <c r="BP35" s="375"/>
      <c r="BQ35" s="375"/>
      <c r="BR35" s="375"/>
      <c r="BS35" s="375">
        <f t="shared" si="41"/>
        <v>1584000</v>
      </c>
      <c r="BT35" s="375"/>
      <c r="BU35" s="375"/>
      <c r="BV35" s="375">
        <f t="shared" si="42"/>
        <v>0</v>
      </c>
      <c r="BW35" s="377">
        <f t="shared" si="20"/>
        <v>1584000</v>
      </c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</row>
    <row r="36" spans="1:160" s="471" customFormat="1" x14ac:dyDescent="0.25">
      <c r="A36" s="975"/>
      <c r="B36" s="473"/>
      <c r="C36" s="460"/>
      <c r="D36" s="205" t="s">
        <v>699</v>
      </c>
      <c r="E36" s="205" t="s">
        <v>604</v>
      </c>
      <c r="F36" s="378">
        <v>210000</v>
      </c>
      <c r="G36" s="205">
        <f t="shared" si="34"/>
        <v>33</v>
      </c>
      <c r="H36" s="455">
        <f t="shared" si="35"/>
        <v>6930000</v>
      </c>
      <c r="I36" s="455"/>
      <c r="J36" s="455"/>
      <c r="K36" s="455"/>
      <c r="L36" s="455"/>
      <c r="M36" s="455">
        <f>H36*1</f>
        <v>6930000</v>
      </c>
      <c r="N36" s="455"/>
      <c r="O36" s="455"/>
      <c r="P36" s="455"/>
      <c r="Q36" s="455"/>
      <c r="R36" s="455">
        <f>H36*0</f>
        <v>0</v>
      </c>
      <c r="S36" s="143">
        <f t="shared" si="44"/>
        <v>3.3000000000000003</v>
      </c>
      <c r="T36" s="185">
        <f t="shared" si="45"/>
        <v>3.3000000000000003</v>
      </c>
      <c r="U36" s="185">
        <f t="shared" si="46"/>
        <v>8.25</v>
      </c>
      <c r="V36" s="185">
        <f t="shared" si="47"/>
        <v>18.150000000000002</v>
      </c>
      <c r="W36" s="455">
        <f t="shared" si="37"/>
        <v>693000</v>
      </c>
      <c r="X36" s="455">
        <f t="shared" si="38"/>
        <v>693000</v>
      </c>
      <c r="Y36" s="455">
        <f t="shared" si="39"/>
        <v>1732500</v>
      </c>
      <c r="Z36" s="455">
        <f t="shared" si="40"/>
        <v>3811500.0000000005</v>
      </c>
      <c r="AA36" s="47">
        <v>2</v>
      </c>
      <c r="AB36" s="133">
        <f t="shared" si="24"/>
        <v>420000</v>
      </c>
      <c r="AC36" s="47">
        <v>0</v>
      </c>
      <c r="AD36" s="133">
        <f t="shared" si="1"/>
        <v>0</v>
      </c>
      <c r="AE36" s="47"/>
      <c r="AF36" s="133">
        <f t="shared" si="2"/>
        <v>0</v>
      </c>
      <c r="AG36" s="47">
        <v>4</v>
      </c>
      <c r="AH36" s="133">
        <f t="shared" si="3"/>
        <v>840000</v>
      </c>
      <c r="AI36" s="47">
        <v>1</v>
      </c>
      <c r="AJ36" s="133">
        <f t="shared" si="4"/>
        <v>210000</v>
      </c>
      <c r="AK36" s="47">
        <v>2</v>
      </c>
      <c r="AL36" s="133">
        <f t="shared" si="5"/>
        <v>420000</v>
      </c>
      <c r="AM36" s="47">
        <v>4</v>
      </c>
      <c r="AN36" s="133">
        <f t="shared" si="6"/>
        <v>840000</v>
      </c>
      <c r="AO36" s="47"/>
      <c r="AP36" s="133">
        <f t="shared" si="7"/>
        <v>0</v>
      </c>
      <c r="AQ36" s="47">
        <v>2</v>
      </c>
      <c r="AR36" s="133">
        <f t="shared" si="8"/>
        <v>420000</v>
      </c>
      <c r="AS36" s="47">
        <v>3</v>
      </c>
      <c r="AT36" s="133">
        <f t="shared" si="9"/>
        <v>630000</v>
      </c>
      <c r="AU36" s="47">
        <v>2</v>
      </c>
      <c r="AV36" s="133">
        <f t="shared" si="10"/>
        <v>420000</v>
      </c>
      <c r="AW36" s="47"/>
      <c r="AX36" s="133">
        <f t="shared" si="11"/>
        <v>0</v>
      </c>
      <c r="AY36" s="47">
        <v>2</v>
      </c>
      <c r="AZ36" s="133">
        <f t="shared" si="12"/>
        <v>420000</v>
      </c>
      <c r="BA36" s="47">
        <v>5</v>
      </c>
      <c r="BB36" s="133">
        <f t="shared" si="13"/>
        <v>1050000</v>
      </c>
      <c r="BC36" s="47">
        <v>5</v>
      </c>
      <c r="BD36" s="133">
        <f t="shared" si="14"/>
        <v>1050000</v>
      </c>
      <c r="BE36" s="47">
        <v>1</v>
      </c>
      <c r="BF36" s="133">
        <f t="shared" si="15"/>
        <v>210000</v>
      </c>
      <c r="BG36" s="47"/>
      <c r="BH36" s="133">
        <f t="shared" si="16"/>
        <v>0</v>
      </c>
      <c r="BI36" s="47"/>
      <c r="BJ36" s="133">
        <f t="shared" si="17"/>
        <v>0</v>
      </c>
      <c r="BK36" s="47">
        <f t="shared" si="36"/>
        <v>33</v>
      </c>
      <c r="BL36" s="85">
        <f t="shared" si="36"/>
        <v>6930000</v>
      </c>
      <c r="BM36" s="330" t="s">
        <v>828</v>
      </c>
      <c r="BN36" s="106"/>
      <c r="BO36" s="375">
        <f t="shared" si="43"/>
        <v>6930000</v>
      </c>
      <c r="BP36" s="375"/>
      <c r="BQ36" s="375"/>
      <c r="BR36" s="375"/>
      <c r="BS36" s="375">
        <f t="shared" si="41"/>
        <v>6930000</v>
      </c>
      <c r="BT36" s="375"/>
      <c r="BU36" s="375"/>
      <c r="BV36" s="375">
        <f t="shared" si="42"/>
        <v>0</v>
      </c>
      <c r="BW36" s="377">
        <f t="shared" si="20"/>
        <v>6930000</v>
      </c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</row>
    <row r="37" spans="1:160" s="471" customFormat="1" x14ac:dyDescent="0.25">
      <c r="A37" s="975"/>
      <c r="B37" s="473"/>
      <c r="C37" s="137"/>
      <c r="D37" s="137"/>
      <c r="E37" s="137"/>
      <c r="F37" s="137"/>
      <c r="G37" s="137">
        <f>SUM(G27:G36)</f>
        <v>857</v>
      </c>
      <c r="H37" s="137">
        <f t="shared" ref="H37:BM37" si="48">SUM(H27:H36)</f>
        <v>95354000</v>
      </c>
      <c r="I37" s="137">
        <f t="shared" si="48"/>
        <v>1812000</v>
      </c>
      <c r="J37" s="137">
        <f t="shared" si="48"/>
        <v>0</v>
      </c>
      <c r="K37" s="137">
        <f t="shared" si="48"/>
        <v>30000000</v>
      </c>
      <c r="L37" s="137">
        <f t="shared" si="48"/>
        <v>20000000</v>
      </c>
      <c r="M37" s="137">
        <f t="shared" si="48"/>
        <v>39822000</v>
      </c>
      <c r="N37" s="137">
        <f t="shared" si="48"/>
        <v>3720000</v>
      </c>
      <c r="O37" s="137">
        <f t="shared" si="48"/>
        <v>0</v>
      </c>
      <c r="P37" s="137">
        <f t="shared" si="48"/>
        <v>0</v>
      </c>
      <c r="Q37" s="137">
        <f t="shared" si="48"/>
        <v>0</v>
      </c>
      <c r="R37" s="137">
        <f t="shared" si="48"/>
        <v>0</v>
      </c>
      <c r="S37" s="137">
        <f t="shared" si="48"/>
        <v>88.499999999999986</v>
      </c>
      <c r="T37" s="137">
        <f t="shared" si="48"/>
        <v>82.499999999999986</v>
      </c>
      <c r="U37" s="137">
        <f t="shared" si="48"/>
        <v>225.25</v>
      </c>
      <c r="V37" s="137">
        <f t="shared" si="48"/>
        <v>460.75</v>
      </c>
      <c r="W37" s="137">
        <f t="shared" si="48"/>
        <v>11945400</v>
      </c>
      <c r="X37" s="137">
        <f t="shared" si="48"/>
        <v>6845400</v>
      </c>
      <c r="Y37" s="137">
        <f t="shared" si="48"/>
        <v>33113500</v>
      </c>
      <c r="Z37" s="137">
        <f t="shared" si="48"/>
        <v>43449700</v>
      </c>
      <c r="AA37" s="242">
        <f t="shared" si="48"/>
        <v>64.2</v>
      </c>
      <c r="AB37" s="242">
        <f t="shared" si="48"/>
        <v>6895200</v>
      </c>
      <c r="AC37" s="242">
        <f t="shared" si="48"/>
        <v>30.5</v>
      </c>
      <c r="AD37" s="242">
        <f t="shared" si="48"/>
        <v>3187600</v>
      </c>
      <c r="AE37" s="242">
        <f t="shared" si="48"/>
        <v>46</v>
      </c>
      <c r="AF37" s="242">
        <f t="shared" si="48"/>
        <v>6226400</v>
      </c>
      <c r="AG37" s="242">
        <f t="shared" si="48"/>
        <v>77</v>
      </c>
      <c r="AH37" s="242">
        <f t="shared" si="48"/>
        <v>7654000</v>
      </c>
      <c r="AI37" s="242">
        <f t="shared" si="48"/>
        <v>29.3</v>
      </c>
      <c r="AJ37" s="242">
        <f t="shared" si="48"/>
        <v>4147600</v>
      </c>
      <c r="AK37" s="242">
        <f t="shared" si="48"/>
        <v>28</v>
      </c>
      <c r="AL37" s="242">
        <f t="shared" si="48"/>
        <v>6178800</v>
      </c>
      <c r="AM37" s="242">
        <f t="shared" si="48"/>
        <v>112.5</v>
      </c>
      <c r="AN37" s="242">
        <f t="shared" si="48"/>
        <v>3788000</v>
      </c>
      <c r="AO37" s="242">
        <f t="shared" si="48"/>
        <v>67.5</v>
      </c>
      <c r="AP37" s="242">
        <f t="shared" si="48"/>
        <v>3604000</v>
      </c>
      <c r="AQ37" s="242">
        <f t="shared" si="48"/>
        <v>65.5</v>
      </c>
      <c r="AR37" s="242">
        <f t="shared" si="48"/>
        <v>4704000</v>
      </c>
      <c r="AS37" s="242">
        <f t="shared" si="48"/>
        <v>71</v>
      </c>
      <c r="AT37" s="242">
        <f t="shared" si="48"/>
        <v>6584000</v>
      </c>
      <c r="AU37" s="242">
        <f t="shared" si="48"/>
        <v>47</v>
      </c>
      <c r="AV37" s="242">
        <f t="shared" si="48"/>
        <v>6527600</v>
      </c>
      <c r="AW37" s="242">
        <f t="shared" si="48"/>
        <v>13</v>
      </c>
      <c r="AX37" s="242">
        <f t="shared" si="48"/>
        <v>4700000</v>
      </c>
      <c r="AY37" s="242">
        <f t="shared" si="48"/>
        <v>15</v>
      </c>
      <c r="AZ37" s="242">
        <f t="shared" si="48"/>
        <v>5320000</v>
      </c>
      <c r="BA37" s="242">
        <f t="shared" si="48"/>
        <v>40</v>
      </c>
      <c r="BB37" s="242">
        <f t="shared" si="48"/>
        <v>6067600</v>
      </c>
      <c r="BC37" s="242">
        <f t="shared" si="48"/>
        <v>43.5</v>
      </c>
      <c r="BD37" s="242">
        <f t="shared" si="48"/>
        <v>8077600</v>
      </c>
      <c r="BE37" s="242">
        <f t="shared" si="48"/>
        <v>38.5</v>
      </c>
      <c r="BF37" s="242">
        <f t="shared" si="48"/>
        <v>3747600</v>
      </c>
      <c r="BG37" s="242">
        <f t="shared" si="48"/>
        <v>68.5</v>
      </c>
      <c r="BH37" s="242">
        <f t="shared" si="48"/>
        <v>7944000</v>
      </c>
      <c r="BI37" s="242">
        <f t="shared" si="48"/>
        <v>0</v>
      </c>
      <c r="BJ37" s="242">
        <f t="shared" si="48"/>
        <v>0</v>
      </c>
      <c r="BK37" s="201">
        <f t="shared" si="48"/>
        <v>857</v>
      </c>
      <c r="BL37" s="242">
        <f t="shared" si="48"/>
        <v>95354000</v>
      </c>
      <c r="BM37" s="339">
        <f t="shared" si="48"/>
        <v>0</v>
      </c>
      <c r="BN37" s="67"/>
      <c r="BO37" s="137">
        <f t="shared" ref="BO37:BW37" si="49">SUM(BO27:BO36)</f>
        <v>95354000</v>
      </c>
      <c r="BP37" s="137">
        <f t="shared" si="49"/>
        <v>0</v>
      </c>
      <c r="BQ37" s="137">
        <f t="shared" si="49"/>
        <v>0</v>
      </c>
      <c r="BR37" s="137">
        <f t="shared" si="49"/>
        <v>0</v>
      </c>
      <c r="BS37" s="137">
        <f t="shared" si="49"/>
        <v>95354000</v>
      </c>
      <c r="BT37" s="137">
        <f t="shared" si="49"/>
        <v>0</v>
      </c>
      <c r="BU37" s="137">
        <f t="shared" si="49"/>
        <v>0</v>
      </c>
      <c r="BV37" s="137">
        <f t="shared" si="49"/>
        <v>0</v>
      </c>
      <c r="BW37" s="137">
        <f t="shared" si="49"/>
        <v>95354000</v>
      </c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9"/>
      <c r="DD37" s="269"/>
      <c r="DE37" s="269"/>
      <c r="DF37" s="269"/>
      <c r="DG37" s="269"/>
      <c r="DH37" s="269"/>
      <c r="DI37" s="269"/>
      <c r="DJ37" s="269"/>
      <c r="DK37" s="269"/>
      <c r="DL37" s="269"/>
      <c r="DM37" s="269"/>
      <c r="DN37" s="269"/>
      <c r="DO37" s="269"/>
      <c r="DP37" s="269"/>
      <c r="DQ37" s="269"/>
      <c r="DR37" s="269"/>
      <c r="DS37" s="269"/>
      <c r="DT37" s="269"/>
      <c r="DU37" s="269"/>
      <c r="DV37" s="269"/>
      <c r="DW37" s="269"/>
      <c r="DX37" s="269"/>
      <c r="DY37" s="269"/>
      <c r="DZ37" s="269"/>
      <c r="EA37" s="269"/>
      <c r="EB37" s="269"/>
      <c r="EC37" s="269"/>
      <c r="ED37" s="269"/>
      <c r="EE37" s="269"/>
      <c r="EF37" s="269"/>
      <c r="EG37" s="269"/>
      <c r="EH37" s="269"/>
      <c r="EI37" s="269"/>
      <c r="EJ37" s="269"/>
      <c r="EK37" s="269"/>
      <c r="EL37" s="269"/>
      <c r="EM37" s="269"/>
      <c r="EN37" s="269"/>
      <c r="EO37" s="269"/>
      <c r="EP37" s="269"/>
      <c r="EQ37" s="269"/>
      <c r="ER37" s="269"/>
      <c r="ES37" s="269"/>
      <c r="ET37" s="269"/>
      <c r="EU37" s="269"/>
      <c r="EV37" s="269"/>
      <c r="EW37" s="269"/>
      <c r="EX37" s="269"/>
      <c r="EY37" s="269"/>
      <c r="EZ37" s="269"/>
      <c r="FA37" s="269"/>
      <c r="FB37" s="269"/>
      <c r="FC37" s="269"/>
      <c r="FD37" s="269"/>
    </row>
    <row r="38" spans="1:160" x14ac:dyDescent="0.25">
      <c r="A38" s="975"/>
      <c r="B38" s="473"/>
      <c r="C38" s="357">
        <v>31500</v>
      </c>
      <c r="D38" s="357" t="s">
        <v>217</v>
      </c>
      <c r="E38" s="205"/>
      <c r="F38" s="378"/>
      <c r="G38" s="20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185"/>
      <c r="T38" s="142">
        <f>G38*0.2</f>
        <v>0</v>
      </c>
      <c r="U38" s="142">
        <f>G38*0.6</f>
        <v>0</v>
      </c>
      <c r="V38" s="142">
        <f>G38*0.2</f>
        <v>0</v>
      </c>
      <c r="W38" s="85"/>
      <c r="X38" s="133">
        <f>H38*0.2</f>
        <v>0</v>
      </c>
      <c r="Y38" s="133">
        <f>H38*0.6</f>
        <v>0</v>
      </c>
      <c r="Z38" s="133">
        <f>H38*0.2</f>
        <v>0</v>
      </c>
      <c r="AA38" s="47"/>
      <c r="AB38" s="133">
        <f t="shared" si="24"/>
        <v>0</v>
      </c>
      <c r="AC38" s="47"/>
      <c r="AD38" s="133">
        <f t="shared" si="1"/>
        <v>0</v>
      </c>
      <c r="AE38" s="47"/>
      <c r="AF38" s="133">
        <f t="shared" si="2"/>
        <v>0</v>
      </c>
      <c r="AG38" s="47"/>
      <c r="AH38" s="133">
        <f t="shared" si="3"/>
        <v>0</v>
      </c>
      <c r="AI38" s="47"/>
      <c r="AJ38" s="133">
        <f t="shared" si="4"/>
        <v>0</v>
      </c>
      <c r="AK38" s="47"/>
      <c r="AL38" s="133">
        <f t="shared" si="5"/>
        <v>0</v>
      </c>
      <c r="AM38" s="47"/>
      <c r="AN38" s="133">
        <f t="shared" si="6"/>
        <v>0</v>
      </c>
      <c r="AO38" s="47"/>
      <c r="AP38" s="133">
        <f t="shared" si="7"/>
        <v>0</v>
      </c>
      <c r="AQ38" s="47"/>
      <c r="AR38" s="133">
        <f t="shared" si="8"/>
        <v>0</v>
      </c>
      <c r="AS38" s="47"/>
      <c r="AT38" s="133">
        <f t="shared" si="9"/>
        <v>0</v>
      </c>
      <c r="AU38" s="47"/>
      <c r="AV38" s="133">
        <f t="shared" si="10"/>
        <v>0</v>
      </c>
      <c r="AW38" s="47"/>
      <c r="AX38" s="133">
        <f t="shared" si="11"/>
        <v>0</v>
      </c>
      <c r="AY38" s="47"/>
      <c r="AZ38" s="133">
        <f t="shared" si="12"/>
        <v>0</v>
      </c>
      <c r="BA38" s="47"/>
      <c r="BB38" s="133">
        <f t="shared" si="13"/>
        <v>0</v>
      </c>
      <c r="BC38" s="47"/>
      <c r="BD38" s="133">
        <f t="shared" si="14"/>
        <v>0</v>
      </c>
      <c r="BE38" s="47"/>
      <c r="BF38" s="133">
        <f t="shared" si="15"/>
        <v>0</v>
      </c>
      <c r="BG38" s="47"/>
      <c r="BH38" s="133">
        <f t="shared" si="16"/>
        <v>0</v>
      </c>
      <c r="BI38" s="47"/>
      <c r="BJ38" s="133">
        <f t="shared" si="17"/>
        <v>0</v>
      </c>
      <c r="BK38" s="47"/>
      <c r="BL38" s="85"/>
      <c r="BM38" s="338"/>
      <c r="BO38" s="375"/>
      <c r="BP38" s="375"/>
      <c r="BQ38" s="375"/>
      <c r="BR38" s="375"/>
      <c r="BS38" s="375"/>
      <c r="BT38" s="375"/>
      <c r="BU38" s="375"/>
      <c r="BV38" s="375"/>
      <c r="BW38" s="377">
        <f t="shared" si="20"/>
        <v>0</v>
      </c>
    </row>
    <row r="39" spans="1:160" x14ac:dyDescent="0.25">
      <c r="A39" s="975"/>
      <c r="B39" s="473"/>
      <c r="C39" s="472"/>
      <c r="D39" s="205" t="s">
        <v>218</v>
      </c>
      <c r="E39" s="205" t="s">
        <v>604</v>
      </c>
      <c r="F39" s="378">
        <v>800000</v>
      </c>
      <c r="G39" s="205">
        <f>BK39</f>
        <v>26</v>
      </c>
      <c r="H39" s="455">
        <f>F39*G39</f>
        <v>20800000</v>
      </c>
      <c r="I39" s="455">
        <f>H39*0</f>
        <v>0</v>
      </c>
      <c r="J39" s="455">
        <f>H39*0</f>
        <v>0</v>
      </c>
      <c r="K39" s="455">
        <f>H39*0</f>
        <v>0</v>
      </c>
      <c r="L39" s="455">
        <f>H39*0</f>
        <v>0</v>
      </c>
      <c r="M39" s="455">
        <f>H39*1</f>
        <v>20800000</v>
      </c>
      <c r="N39" s="455">
        <f>H39*0</f>
        <v>0</v>
      </c>
      <c r="O39" s="455">
        <f>H39*0</f>
        <v>0</v>
      </c>
      <c r="P39" s="455">
        <f>H39*0</f>
        <v>0</v>
      </c>
      <c r="Q39" s="455">
        <f>H39*0</f>
        <v>0</v>
      </c>
      <c r="R39" s="455">
        <f>H39*0</f>
        <v>0</v>
      </c>
      <c r="S39" s="185">
        <v>3</v>
      </c>
      <c r="T39" s="142">
        <v>5</v>
      </c>
      <c r="U39" s="142">
        <v>12</v>
      </c>
      <c r="V39" s="142">
        <v>6</v>
      </c>
      <c r="W39" s="455">
        <f>S39*F39</f>
        <v>2400000</v>
      </c>
      <c r="X39" s="455">
        <f>T39*F39</f>
        <v>4000000</v>
      </c>
      <c r="Y39" s="455">
        <f>U39*F39</f>
        <v>9600000</v>
      </c>
      <c r="Z39" s="455">
        <f>V39*F39</f>
        <v>4800000</v>
      </c>
      <c r="AA39" s="47">
        <v>2</v>
      </c>
      <c r="AB39" s="133">
        <f t="shared" si="24"/>
        <v>1600000</v>
      </c>
      <c r="AC39" s="47">
        <v>1</v>
      </c>
      <c r="AD39" s="133">
        <f t="shared" si="1"/>
        <v>800000</v>
      </c>
      <c r="AE39" s="47">
        <v>1</v>
      </c>
      <c r="AF39" s="133">
        <f t="shared" si="2"/>
        <v>800000</v>
      </c>
      <c r="AG39" s="47">
        <v>3</v>
      </c>
      <c r="AH39" s="133">
        <f t="shared" si="3"/>
        <v>2400000</v>
      </c>
      <c r="AI39" s="47">
        <v>2</v>
      </c>
      <c r="AJ39" s="133">
        <f t="shared" si="4"/>
        <v>1600000</v>
      </c>
      <c r="AK39" s="47">
        <v>2</v>
      </c>
      <c r="AL39" s="133">
        <f>AK39*F39</f>
        <v>1600000</v>
      </c>
      <c r="AM39" s="47">
        <v>1</v>
      </c>
      <c r="AN39" s="133">
        <f t="shared" si="6"/>
        <v>800000</v>
      </c>
      <c r="AO39" s="47">
        <v>2</v>
      </c>
      <c r="AP39" s="133">
        <f t="shared" si="7"/>
        <v>1600000</v>
      </c>
      <c r="AQ39" s="47">
        <v>1</v>
      </c>
      <c r="AR39" s="133">
        <f t="shared" si="8"/>
        <v>800000</v>
      </c>
      <c r="AS39" s="47">
        <v>1</v>
      </c>
      <c r="AT39" s="133">
        <f t="shared" si="9"/>
        <v>800000</v>
      </c>
      <c r="AU39" s="47">
        <v>1</v>
      </c>
      <c r="AV39" s="133">
        <f t="shared" si="10"/>
        <v>800000</v>
      </c>
      <c r="AW39" s="47">
        <v>2</v>
      </c>
      <c r="AX39" s="133">
        <f t="shared" si="11"/>
        <v>1600000</v>
      </c>
      <c r="AY39" s="47">
        <v>1</v>
      </c>
      <c r="AZ39" s="133">
        <f t="shared" si="12"/>
        <v>800000</v>
      </c>
      <c r="BA39" s="47">
        <v>1</v>
      </c>
      <c r="BB39" s="133">
        <f t="shared" si="13"/>
        <v>800000</v>
      </c>
      <c r="BC39" s="47">
        <v>2</v>
      </c>
      <c r="BD39" s="133">
        <f t="shared" si="14"/>
        <v>1600000</v>
      </c>
      <c r="BE39" s="47">
        <v>2</v>
      </c>
      <c r="BF39" s="133">
        <f t="shared" si="15"/>
        <v>1600000</v>
      </c>
      <c r="BG39" s="47">
        <v>1</v>
      </c>
      <c r="BH39" s="133">
        <f t="shared" si="16"/>
        <v>800000</v>
      </c>
      <c r="BI39" s="47">
        <v>0</v>
      </c>
      <c r="BJ39" s="133">
        <f t="shared" si="17"/>
        <v>0</v>
      </c>
      <c r="BK39" s="47">
        <f t="shared" ref="BK39:BL41" si="50">AA39+AC39+AE39+AG39+AI39+AK39+AM39+AO39+AQ39+AS39+AU39+AW39+AY39+BA39+BC39+BE39+BG39+BI39</f>
        <v>26</v>
      </c>
      <c r="BL39" s="85">
        <f t="shared" si="50"/>
        <v>20800000</v>
      </c>
      <c r="BM39" s="330" t="s">
        <v>828</v>
      </c>
      <c r="BO39" s="375">
        <f>H39</f>
        <v>20800000</v>
      </c>
      <c r="BP39" s="375"/>
      <c r="BQ39" s="375"/>
      <c r="BR39" s="375"/>
      <c r="BS39" s="375">
        <f>BO39+BP39+BQ39+BR39</f>
        <v>20800000</v>
      </c>
      <c r="BT39" s="375"/>
      <c r="BU39" s="375"/>
      <c r="BV39" s="375">
        <f>BT39+BU39</f>
        <v>0</v>
      </c>
      <c r="BW39" s="377">
        <f t="shared" si="20"/>
        <v>20800000</v>
      </c>
    </row>
    <row r="40" spans="1:160" ht="31.5" x14ac:dyDescent="0.25">
      <c r="A40" s="975"/>
      <c r="B40" s="473"/>
      <c r="C40" s="472"/>
      <c r="D40" s="205" t="s">
        <v>693</v>
      </c>
      <c r="E40" s="205" t="s">
        <v>604</v>
      </c>
      <c r="F40" s="378">
        <v>200000</v>
      </c>
      <c r="G40" s="205">
        <f>BK40</f>
        <v>54</v>
      </c>
      <c r="H40" s="455">
        <f>F40*G40</f>
        <v>10800000</v>
      </c>
      <c r="I40" s="455"/>
      <c r="J40" s="455"/>
      <c r="K40" s="455"/>
      <c r="L40" s="455"/>
      <c r="M40" s="455">
        <f>H40*1</f>
        <v>10800000</v>
      </c>
      <c r="N40" s="455"/>
      <c r="O40" s="455"/>
      <c r="P40" s="455"/>
      <c r="Q40" s="455"/>
      <c r="R40" s="455">
        <f>H40*0</f>
        <v>0</v>
      </c>
      <c r="S40" s="185"/>
      <c r="T40" s="142">
        <f>G40*0.2</f>
        <v>10.8</v>
      </c>
      <c r="U40" s="142">
        <f>G40*0.6</f>
        <v>32.4</v>
      </c>
      <c r="V40" s="142">
        <f>G40*0.2</f>
        <v>10.8</v>
      </c>
      <c r="W40" s="455">
        <f>S40*F40</f>
        <v>0</v>
      </c>
      <c r="X40" s="455">
        <f>T40*F40</f>
        <v>2160000</v>
      </c>
      <c r="Y40" s="455">
        <f>U40*F40</f>
        <v>6480000</v>
      </c>
      <c r="Z40" s="455">
        <f>V40*F40</f>
        <v>2160000</v>
      </c>
      <c r="AA40" s="47">
        <v>2</v>
      </c>
      <c r="AB40" s="133">
        <f t="shared" si="24"/>
        <v>400000</v>
      </c>
      <c r="AC40" s="47">
        <v>1</v>
      </c>
      <c r="AD40" s="133">
        <f t="shared" si="1"/>
        <v>200000</v>
      </c>
      <c r="AE40" s="47">
        <v>1</v>
      </c>
      <c r="AF40" s="133">
        <f t="shared" si="2"/>
        <v>200000</v>
      </c>
      <c r="AG40" s="47">
        <v>5</v>
      </c>
      <c r="AH40" s="133">
        <f t="shared" si="3"/>
        <v>1000000</v>
      </c>
      <c r="AI40" s="47"/>
      <c r="AJ40" s="133">
        <f t="shared" si="4"/>
        <v>0</v>
      </c>
      <c r="AK40" s="47">
        <v>8</v>
      </c>
      <c r="AL40" s="133">
        <f t="shared" si="5"/>
        <v>1600000</v>
      </c>
      <c r="AM40" s="47">
        <v>5</v>
      </c>
      <c r="AN40" s="133">
        <f t="shared" si="6"/>
        <v>1000000</v>
      </c>
      <c r="AO40" s="47"/>
      <c r="AP40" s="133">
        <f t="shared" si="7"/>
        <v>0</v>
      </c>
      <c r="AQ40" s="47">
        <v>3</v>
      </c>
      <c r="AR40" s="133">
        <f t="shared" si="8"/>
        <v>600000</v>
      </c>
      <c r="AS40" s="47">
        <v>4</v>
      </c>
      <c r="AT40" s="133">
        <f t="shared" si="9"/>
        <v>800000</v>
      </c>
      <c r="AU40" s="47">
        <v>2</v>
      </c>
      <c r="AV40" s="133">
        <f t="shared" si="10"/>
        <v>400000</v>
      </c>
      <c r="AW40" s="47">
        <v>8</v>
      </c>
      <c r="AX40" s="133">
        <f t="shared" si="11"/>
        <v>1600000</v>
      </c>
      <c r="AY40" s="47">
        <v>5</v>
      </c>
      <c r="AZ40" s="133">
        <f t="shared" si="12"/>
        <v>1000000</v>
      </c>
      <c r="BA40" s="47">
        <v>4</v>
      </c>
      <c r="BB40" s="133">
        <f t="shared" si="13"/>
        <v>800000</v>
      </c>
      <c r="BC40" s="47">
        <v>2</v>
      </c>
      <c r="BD40" s="133">
        <f t="shared" si="14"/>
        <v>400000</v>
      </c>
      <c r="BE40" s="47">
        <v>2</v>
      </c>
      <c r="BF40" s="133">
        <f t="shared" si="15"/>
        <v>400000</v>
      </c>
      <c r="BG40" s="47">
        <v>2</v>
      </c>
      <c r="BH40" s="133">
        <f t="shared" si="16"/>
        <v>400000</v>
      </c>
      <c r="BI40" s="47"/>
      <c r="BJ40" s="133">
        <f t="shared" si="17"/>
        <v>0</v>
      </c>
      <c r="BK40" s="47">
        <f t="shared" si="50"/>
        <v>54</v>
      </c>
      <c r="BL40" s="85">
        <f t="shared" si="50"/>
        <v>10800000</v>
      </c>
      <c r="BM40" s="330" t="s">
        <v>828</v>
      </c>
      <c r="BO40" s="375">
        <f>H40</f>
        <v>10800000</v>
      </c>
      <c r="BP40" s="375"/>
      <c r="BQ40" s="375"/>
      <c r="BR40" s="375"/>
      <c r="BS40" s="375">
        <f>BO40+BP40+BQ40+BR40</f>
        <v>10800000</v>
      </c>
      <c r="BT40" s="375"/>
      <c r="BU40" s="375"/>
      <c r="BV40" s="375"/>
      <c r="BW40" s="377">
        <f t="shared" si="20"/>
        <v>10800000</v>
      </c>
    </row>
    <row r="41" spans="1:160" x14ac:dyDescent="0.25">
      <c r="A41" s="975"/>
      <c r="B41" s="473"/>
      <c r="C41" s="472"/>
      <c r="D41" s="205" t="s">
        <v>812</v>
      </c>
      <c r="E41" s="205" t="s">
        <v>604</v>
      </c>
      <c r="F41" s="378">
        <v>500000</v>
      </c>
      <c r="G41" s="205">
        <f>BK41</f>
        <v>70</v>
      </c>
      <c r="H41" s="455">
        <f>F41*G41</f>
        <v>35000000</v>
      </c>
      <c r="I41" s="455"/>
      <c r="J41" s="455"/>
      <c r="K41" s="455"/>
      <c r="L41" s="455">
        <f>H41*1</f>
        <v>35000000</v>
      </c>
      <c r="M41" s="455"/>
      <c r="N41" s="455"/>
      <c r="O41" s="455"/>
      <c r="P41" s="455"/>
      <c r="Q41" s="455"/>
      <c r="R41" s="455"/>
      <c r="S41" s="185">
        <v>10</v>
      </c>
      <c r="T41" s="142">
        <v>5</v>
      </c>
      <c r="U41" s="142">
        <v>40</v>
      </c>
      <c r="V41" s="142">
        <v>15</v>
      </c>
      <c r="W41" s="455">
        <f>S41*F41</f>
        <v>5000000</v>
      </c>
      <c r="X41" s="455">
        <f>T41*F41</f>
        <v>2500000</v>
      </c>
      <c r="Y41" s="455">
        <f>U41*F41</f>
        <v>20000000</v>
      </c>
      <c r="Z41" s="455">
        <f>V41*F41</f>
        <v>7500000</v>
      </c>
      <c r="AA41" s="47">
        <v>6</v>
      </c>
      <c r="AB41" s="133">
        <f t="shared" si="24"/>
        <v>3000000</v>
      </c>
      <c r="AC41" s="47">
        <v>2</v>
      </c>
      <c r="AD41" s="133">
        <f t="shared" si="1"/>
        <v>1000000</v>
      </c>
      <c r="AE41" s="47">
        <v>6</v>
      </c>
      <c r="AF41" s="133">
        <f t="shared" si="2"/>
        <v>3000000</v>
      </c>
      <c r="AG41" s="47">
        <v>5</v>
      </c>
      <c r="AH41" s="133">
        <f t="shared" si="3"/>
        <v>2500000</v>
      </c>
      <c r="AI41" s="47">
        <v>2</v>
      </c>
      <c r="AJ41" s="133">
        <f t="shared" si="4"/>
        <v>1000000</v>
      </c>
      <c r="AK41" s="47">
        <v>4</v>
      </c>
      <c r="AL41" s="133">
        <f t="shared" si="5"/>
        <v>2000000</v>
      </c>
      <c r="AM41" s="47">
        <v>3</v>
      </c>
      <c r="AN41" s="133">
        <f t="shared" si="6"/>
        <v>1500000</v>
      </c>
      <c r="AO41" s="47">
        <v>4</v>
      </c>
      <c r="AP41" s="133">
        <f t="shared" si="7"/>
        <v>2000000</v>
      </c>
      <c r="AQ41" s="47">
        <v>4</v>
      </c>
      <c r="AR41" s="133">
        <f t="shared" si="8"/>
        <v>2000000</v>
      </c>
      <c r="AS41" s="47">
        <v>5</v>
      </c>
      <c r="AT41" s="133">
        <f t="shared" si="9"/>
        <v>2500000</v>
      </c>
      <c r="AU41" s="47">
        <v>4</v>
      </c>
      <c r="AV41" s="133">
        <f t="shared" si="10"/>
        <v>2000000</v>
      </c>
      <c r="AW41" s="47">
        <v>4</v>
      </c>
      <c r="AX41" s="133">
        <f t="shared" si="11"/>
        <v>2000000</v>
      </c>
      <c r="AY41" s="47">
        <v>4</v>
      </c>
      <c r="AZ41" s="133">
        <f t="shared" si="12"/>
        <v>2000000</v>
      </c>
      <c r="BA41" s="47">
        <v>4</v>
      </c>
      <c r="BB41" s="133">
        <f t="shared" si="13"/>
        <v>2000000</v>
      </c>
      <c r="BC41" s="47">
        <v>4</v>
      </c>
      <c r="BD41" s="133">
        <f t="shared" si="14"/>
        <v>2000000</v>
      </c>
      <c r="BE41" s="47">
        <v>3</v>
      </c>
      <c r="BF41" s="133">
        <f t="shared" si="15"/>
        <v>1500000</v>
      </c>
      <c r="BG41" s="47">
        <v>6</v>
      </c>
      <c r="BH41" s="133">
        <f t="shared" si="16"/>
        <v>3000000</v>
      </c>
      <c r="BI41" s="47"/>
      <c r="BJ41" s="133">
        <f t="shared" si="17"/>
        <v>0</v>
      </c>
      <c r="BK41" s="47">
        <f t="shared" si="50"/>
        <v>70</v>
      </c>
      <c r="BL41" s="85">
        <f t="shared" si="50"/>
        <v>35000000</v>
      </c>
      <c r="BM41" s="330" t="s">
        <v>809</v>
      </c>
      <c r="BO41" s="375">
        <f>H41</f>
        <v>35000000</v>
      </c>
      <c r="BP41" s="375"/>
      <c r="BQ41" s="375"/>
      <c r="BR41" s="375"/>
      <c r="BS41" s="375">
        <f>BO41+BP41+BQ41+BR41</f>
        <v>35000000</v>
      </c>
      <c r="BT41" s="375"/>
      <c r="BU41" s="375"/>
      <c r="BV41" s="375"/>
      <c r="BW41" s="377">
        <f t="shared" si="20"/>
        <v>35000000</v>
      </c>
    </row>
    <row r="42" spans="1:160" x14ac:dyDescent="0.25">
      <c r="A42" s="975"/>
      <c r="B42" s="473"/>
      <c r="C42" s="461"/>
      <c r="D42" s="461"/>
      <c r="E42" s="461"/>
      <c r="F42" s="461"/>
      <c r="G42" s="137">
        <f>SUM(G39:G41)</f>
        <v>150</v>
      </c>
      <c r="H42" s="139">
        <f>SUM(H39:H41)</f>
        <v>66600000</v>
      </c>
      <c r="I42" s="139">
        <f>SUM(I39:I41)</f>
        <v>0</v>
      </c>
      <c r="J42" s="139">
        <f t="shared" ref="J42:R42" si="51">SUM(J39:J41)</f>
        <v>0</v>
      </c>
      <c r="K42" s="139">
        <f t="shared" si="51"/>
        <v>0</v>
      </c>
      <c r="L42" s="139">
        <f t="shared" si="51"/>
        <v>35000000</v>
      </c>
      <c r="M42" s="139">
        <f t="shared" si="51"/>
        <v>31600000</v>
      </c>
      <c r="N42" s="139">
        <f t="shared" si="51"/>
        <v>0</v>
      </c>
      <c r="O42" s="139">
        <f t="shared" si="51"/>
        <v>0</v>
      </c>
      <c r="P42" s="139">
        <f t="shared" si="51"/>
        <v>0</v>
      </c>
      <c r="Q42" s="139">
        <f t="shared" si="51"/>
        <v>0</v>
      </c>
      <c r="R42" s="139">
        <f t="shared" si="51"/>
        <v>0</v>
      </c>
      <c r="S42" s="468">
        <f t="shared" ref="S42:BL42" si="52">SUM(S39:S41)</f>
        <v>13</v>
      </c>
      <c r="T42" s="468">
        <f t="shared" si="52"/>
        <v>20.8</v>
      </c>
      <c r="U42" s="468">
        <f t="shared" si="52"/>
        <v>84.4</v>
      </c>
      <c r="V42" s="468">
        <f t="shared" si="52"/>
        <v>31.8</v>
      </c>
      <c r="W42" s="468">
        <f t="shared" si="52"/>
        <v>7400000</v>
      </c>
      <c r="X42" s="468">
        <f t="shared" si="52"/>
        <v>8660000</v>
      </c>
      <c r="Y42" s="468">
        <f t="shared" si="52"/>
        <v>36080000</v>
      </c>
      <c r="Z42" s="468">
        <f t="shared" si="52"/>
        <v>14460000</v>
      </c>
      <c r="AA42" s="242">
        <f t="shared" si="52"/>
        <v>10</v>
      </c>
      <c r="AB42" s="242">
        <f t="shared" si="52"/>
        <v>5000000</v>
      </c>
      <c r="AC42" s="242">
        <f t="shared" si="52"/>
        <v>4</v>
      </c>
      <c r="AD42" s="242">
        <f t="shared" si="52"/>
        <v>2000000</v>
      </c>
      <c r="AE42" s="242">
        <f t="shared" si="52"/>
        <v>8</v>
      </c>
      <c r="AF42" s="242">
        <f t="shared" si="52"/>
        <v>4000000</v>
      </c>
      <c r="AG42" s="242">
        <f t="shared" si="52"/>
        <v>13</v>
      </c>
      <c r="AH42" s="242">
        <f t="shared" si="52"/>
        <v>5900000</v>
      </c>
      <c r="AI42" s="242">
        <f t="shared" si="52"/>
        <v>4</v>
      </c>
      <c r="AJ42" s="242">
        <f t="shared" si="52"/>
        <v>2600000</v>
      </c>
      <c r="AK42" s="242">
        <f t="shared" si="52"/>
        <v>14</v>
      </c>
      <c r="AL42" s="242">
        <f t="shared" si="52"/>
        <v>5200000</v>
      </c>
      <c r="AM42" s="242">
        <f t="shared" si="52"/>
        <v>9</v>
      </c>
      <c r="AN42" s="242">
        <f t="shared" si="52"/>
        <v>3300000</v>
      </c>
      <c r="AO42" s="242">
        <f t="shared" si="52"/>
        <v>6</v>
      </c>
      <c r="AP42" s="242">
        <f t="shared" si="52"/>
        <v>3600000</v>
      </c>
      <c r="AQ42" s="242">
        <f t="shared" si="52"/>
        <v>8</v>
      </c>
      <c r="AR42" s="242">
        <f t="shared" si="52"/>
        <v>3400000</v>
      </c>
      <c r="AS42" s="242">
        <f t="shared" si="52"/>
        <v>10</v>
      </c>
      <c r="AT42" s="242">
        <f t="shared" si="52"/>
        <v>4100000</v>
      </c>
      <c r="AU42" s="242">
        <f t="shared" si="52"/>
        <v>7</v>
      </c>
      <c r="AV42" s="242">
        <f t="shared" si="52"/>
        <v>3200000</v>
      </c>
      <c r="AW42" s="242">
        <f t="shared" si="52"/>
        <v>14</v>
      </c>
      <c r="AX42" s="242">
        <f t="shared" si="52"/>
        <v>5200000</v>
      </c>
      <c r="AY42" s="242">
        <f t="shared" si="52"/>
        <v>10</v>
      </c>
      <c r="AZ42" s="242">
        <f t="shared" si="52"/>
        <v>3800000</v>
      </c>
      <c r="BA42" s="242">
        <f t="shared" si="52"/>
        <v>9</v>
      </c>
      <c r="BB42" s="242">
        <f t="shared" si="52"/>
        <v>3600000</v>
      </c>
      <c r="BC42" s="242">
        <f t="shared" si="52"/>
        <v>8</v>
      </c>
      <c r="BD42" s="242">
        <f t="shared" si="52"/>
        <v>4000000</v>
      </c>
      <c r="BE42" s="242">
        <f t="shared" si="52"/>
        <v>7</v>
      </c>
      <c r="BF42" s="242">
        <f t="shared" si="52"/>
        <v>3500000</v>
      </c>
      <c r="BG42" s="242">
        <f t="shared" si="52"/>
        <v>9</v>
      </c>
      <c r="BH42" s="242">
        <f t="shared" si="52"/>
        <v>4200000</v>
      </c>
      <c r="BI42" s="242">
        <f t="shared" si="52"/>
        <v>0</v>
      </c>
      <c r="BJ42" s="242">
        <f t="shared" si="52"/>
        <v>0</v>
      </c>
      <c r="BK42" s="242">
        <f t="shared" si="52"/>
        <v>150</v>
      </c>
      <c r="BL42" s="242">
        <f t="shared" si="52"/>
        <v>66600000</v>
      </c>
      <c r="BM42" s="339"/>
      <c r="BN42" s="67"/>
      <c r="BO42" s="474">
        <f>SUM(BO39:BO41)</f>
        <v>66600000</v>
      </c>
      <c r="BP42" s="137">
        <f t="shared" ref="BP42:BV42" si="53">SUM(BP39:BP40)</f>
        <v>0</v>
      </c>
      <c r="BQ42" s="137">
        <f t="shared" si="53"/>
        <v>0</v>
      </c>
      <c r="BR42" s="137">
        <f t="shared" si="53"/>
        <v>0</v>
      </c>
      <c r="BS42" s="474">
        <f>SUM(BS39:BS41)</f>
        <v>66600000</v>
      </c>
      <c r="BT42" s="137">
        <f t="shared" si="53"/>
        <v>0</v>
      </c>
      <c r="BU42" s="137">
        <f t="shared" si="53"/>
        <v>0</v>
      </c>
      <c r="BV42" s="137">
        <f t="shared" si="53"/>
        <v>0</v>
      </c>
      <c r="BW42" s="474">
        <f>SUM(BW39:BW41)</f>
        <v>66600000</v>
      </c>
    </row>
    <row r="43" spans="1:160" x14ac:dyDescent="0.25">
      <c r="A43" s="975"/>
      <c r="B43" s="473"/>
      <c r="C43" s="357">
        <v>31600</v>
      </c>
      <c r="D43" s="357" t="s">
        <v>219</v>
      </c>
      <c r="E43" s="205"/>
      <c r="F43" s="378"/>
      <c r="G43" s="20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185"/>
      <c r="T43" s="142">
        <f>G43*0.2</f>
        <v>0</v>
      </c>
      <c r="U43" s="142">
        <f>G43*0.6</f>
        <v>0</v>
      </c>
      <c r="V43" s="142">
        <f>G43*0.2</f>
        <v>0</v>
      </c>
      <c r="W43" s="85"/>
      <c r="X43" s="133">
        <f>H43*0.2</f>
        <v>0</v>
      </c>
      <c r="Y43" s="133">
        <f>H43*0.6</f>
        <v>0</v>
      </c>
      <c r="Z43" s="133">
        <f>H43*0.2</f>
        <v>0</v>
      </c>
      <c r="AA43" s="47"/>
      <c r="AB43" s="133">
        <f t="shared" si="24"/>
        <v>0</v>
      </c>
      <c r="AC43" s="47"/>
      <c r="AD43" s="133">
        <f t="shared" si="1"/>
        <v>0</v>
      </c>
      <c r="AE43" s="47"/>
      <c r="AF43" s="133">
        <f t="shared" si="2"/>
        <v>0</v>
      </c>
      <c r="AG43" s="47"/>
      <c r="AH43" s="133">
        <f t="shared" si="3"/>
        <v>0</v>
      </c>
      <c r="AI43" s="47"/>
      <c r="AJ43" s="133">
        <f t="shared" si="4"/>
        <v>0</v>
      </c>
      <c r="AK43" s="47"/>
      <c r="AL43" s="133">
        <f t="shared" si="5"/>
        <v>0</v>
      </c>
      <c r="AM43" s="47"/>
      <c r="AN43" s="133">
        <f t="shared" si="6"/>
        <v>0</v>
      </c>
      <c r="AO43" s="47"/>
      <c r="AP43" s="133">
        <f t="shared" si="7"/>
        <v>0</v>
      </c>
      <c r="AQ43" s="47"/>
      <c r="AR43" s="133">
        <f t="shared" si="8"/>
        <v>0</v>
      </c>
      <c r="AS43" s="47"/>
      <c r="AT43" s="133">
        <f t="shared" si="9"/>
        <v>0</v>
      </c>
      <c r="AU43" s="47"/>
      <c r="AV43" s="133">
        <f t="shared" si="10"/>
        <v>0</v>
      </c>
      <c r="AW43" s="47"/>
      <c r="AX43" s="133">
        <f t="shared" si="11"/>
        <v>0</v>
      </c>
      <c r="AY43" s="47"/>
      <c r="AZ43" s="133">
        <f t="shared" si="12"/>
        <v>0</v>
      </c>
      <c r="BA43" s="47"/>
      <c r="BB43" s="133">
        <f t="shared" si="13"/>
        <v>0</v>
      </c>
      <c r="BC43" s="47"/>
      <c r="BD43" s="133">
        <f t="shared" si="14"/>
        <v>0</v>
      </c>
      <c r="BE43" s="47"/>
      <c r="BF43" s="133">
        <f t="shared" si="15"/>
        <v>0</v>
      </c>
      <c r="BG43" s="47"/>
      <c r="BH43" s="133">
        <f t="shared" si="16"/>
        <v>0</v>
      </c>
      <c r="BI43" s="47"/>
      <c r="BJ43" s="133">
        <f t="shared" si="17"/>
        <v>0</v>
      </c>
      <c r="BK43" s="47"/>
      <c r="BL43" s="85"/>
      <c r="BM43" s="338"/>
      <c r="BO43" s="375"/>
      <c r="BP43" s="375"/>
      <c r="BQ43" s="375"/>
      <c r="BR43" s="375"/>
      <c r="BS43" s="375"/>
      <c r="BT43" s="375"/>
      <c r="BU43" s="375"/>
      <c r="BV43" s="375"/>
      <c r="BW43" s="377">
        <f t="shared" si="20"/>
        <v>0</v>
      </c>
    </row>
    <row r="44" spans="1:160" x14ac:dyDescent="0.25">
      <c r="A44" s="975"/>
      <c r="B44" s="473"/>
      <c r="C44" s="472"/>
      <c r="D44" s="205" t="s">
        <v>220</v>
      </c>
      <c r="E44" s="205" t="s">
        <v>208</v>
      </c>
      <c r="F44" s="378">
        <v>300000</v>
      </c>
      <c r="G44" s="205">
        <f>BK44</f>
        <v>31</v>
      </c>
      <c r="H44" s="455">
        <f>F44*G44</f>
        <v>9300000</v>
      </c>
      <c r="I44" s="455">
        <f>H44*0</f>
        <v>0</v>
      </c>
      <c r="J44" s="455">
        <f>H44*0</f>
        <v>0</v>
      </c>
      <c r="K44" s="455">
        <f>H44*0</f>
        <v>0</v>
      </c>
      <c r="L44" s="455">
        <f>H44*0</f>
        <v>0</v>
      </c>
      <c r="M44" s="455">
        <f>H44*1</f>
        <v>9300000</v>
      </c>
      <c r="N44" s="455">
        <f>H44*0</f>
        <v>0</v>
      </c>
      <c r="O44" s="455">
        <f>H44*0</f>
        <v>0</v>
      </c>
      <c r="P44" s="455">
        <f>H44*0</f>
        <v>0</v>
      </c>
      <c r="Q44" s="455">
        <f>H44*0</f>
        <v>0</v>
      </c>
      <c r="R44" s="455">
        <f>H44*0</f>
        <v>0</v>
      </c>
      <c r="S44" s="143">
        <f t="shared" ref="S44" si="54">G44*0.1</f>
        <v>3.1</v>
      </c>
      <c r="T44" s="185">
        <f t="shared" ref="T44" si="55">G44*0.1</f>
        <v>3.1</v>
      </c>
      <c r="U44" s="185">
        <f t="shared" ref="U44" si="56">G44*0.25</f>
        <v>7.75</v>
      </c>
      <c r="V44" s="185">
        <f t="shared" ref="V44" si="57">G44*0.55</f>
        <v>17.05</v>
      </c>
      <c r="W44" s="455">
        <f>S44*F44</f>
        <v>930000</v>
      </c>
      <c r="X44" s="455">
        <f>T44*F44</f>
        <v>930000</v>
      </c>
      <c r="Y44" s="455">
        <f>U44*F44</f>
        <v>2325000</v>
      </c>
      <c r="Z44" s="455">
        <f>V44*F44</f>
        <v>5115000</v>
      </c>
      <c r="AA44" s="47">
        <v>1</v>
      </c>
      <c r="AB44" s="133">
        <f t="shared" si="24"/>
        <v>300000</v>
      </c>
      <c r="AC44" s="47">
        <v>0</v>
      </c>
      <c r="AD44" s="133">
        <f t="shared" si="1"/>
        <v>0</v>
      </c>
      <c r="AE44" s="47">
        <v>0</v>
      </c>
      <c r="AF44" s="133">
        <f t="shared" si="2"/>
        <v>0</v>
      </c>
      <c r="AG44" s="624">
        <v>5</v>
      </c>
      <c r="AH44" s="133">
        <f t="shared" si="3"/>
        <v>1500000</v>
      </c>
      <c r="AI44" s="47">
        <v>2</v>
      </c>
      <c r="AJ44" s="133">
        <f t="shared" si="4"/>
        <v>600000</v>
      </c>
      <c r="AK44" s="47">
        <v>3</v>
      </c>
      <c r="AL44" s="133">
        <f t="shared" si="5"/>
        <v>900000</v>
      </c>
      <c r="AM44" s="47">
        <v>2</v>
      </c>
      <c r="AN44" s="133">
        <f t="shared" si="6"/>
        <v>600000</v>
      </c>
      <c r="AO44" s="47">
        <v>0</v>
      </c>
      <c r="AP44" s="133">
        <f t="shared" si="7"/>
        <v>0</v>
      </c>
      <c r="AQ44" s="47">
        <v>1</v>
      </c>
      <c r="AR44" s="133">
        <f t="shared" si="8"/>
        <v>300000</v>
      </c>
      <c r="AS44" s="47">
        <v>2</v>
      </c>
      <c r="AT44" s="133">
        <f t="shared" si="9"/>
        <v>600000</v>
      </c>
      <c r="AU44" s="624">
        <v>5</v>
      </c>
      <c r="AV44" s="133">
        <f t="shared" si="10"/>
        <v>1500000</v>
      </c>
      <c r="AW44" s="47">
        <v>0</v>
      </c>
      <c r="AX44" s="133">
        <f t="shared" si="11"/>
        <v>0</v>
      </c>
      <c r="AY44" s="47">
        <v>2</v>
      </c>
      <c r="AZ44" s="133">
        <f t="shared" si="12"/>
        <v>600000</v>
      </c>
      <c r="BA44" s="47">
        <v>2</v>
      </c>
      <c r="BB44" s="133">
        <f t="shared" si="13"/>
        <v>600000</v>
      </c>
      <c r="BC44" s="47">
        <v>2</v>
      </c>
      <c r="BD44" s="133">
        <f t="shared" si="14"/>
        <v>600000</v>
      </c>
      <c r="BE44" s="47">
        <v>2</v>
      </c>
      <c r="BF44" s="133">
        <f t="shared" si="15"/>
        <v>600000</v>
      </c>
      <c r="BG44" s="47">
        <v>2</v>
      </c>
      <c r="BH44" s="133">
        <f t="shared" si="16"/>
        <v>600000</v>
      </c>
      <c r="BI44" s="47">
        <v>0</v>
      </c>
      <c r="BJ44" s="133">
        <f t="shared" si="17"/>
        <v>0</v>
      </c>
      <c r="BK44" s="47">
        <f t="shared" ref="BK44:BL48" si="58">AA44+AC44+AE44+AG44+AI44+AK44+AM44+AO44+AQ44+AS44+AU44+AW44+AY44+BA44+BC44+BE44+BG44+BI44</f>
        <v>31</v>
      </c>
      <c r="BL44" s="85">
        <f t="shared" si="58"/>
        <v>9300000</v>
      </c>
      <c r="BM44" s="338" t="s">
        <v>795</v>
      </c>
      <c r="BO44" s="375">
        <f>H44</f>
        <v>9300000</v>
      </c>
      <c r="BP44" s="375"/>
      <c r="BQ44" s="375"/>
      <c r="BR44" s="375"/>
      <c r="BS44" s="375">
        <f>BO44+BP44+BQ44+BR44</f>
        <v>9300000</v>
      </c>
      <c r="BT44" s="375"/>
      <c r="BU44" s="375"/>
      <c r="BV44" s="375">
        <f>BT44+BU44</f>
        <v>0</v>
      </c>
      <c r="BW44" s="377">
        <f t="shared" si="20"/>
        <v>9300000</v>
      </c>
    </row>
    <row r="45" spans="1:160" x14ac:dyDescent="0.25">
      <c r="A45" s="975"/>
      <c r="B45" s="473"/>
      <c r="C45" s="472"/>
      <c r="D45" s="205" t="s">
        <v>221</v>
      </c>
      <c r="E45" s="205" t="s">
        <v>208</v>
      </c>
      <c r="F45" s="378">
        <f>5*100000</f>
        <v>500000</v>
      </c>
      <c r="G45" s="205">
        <f>BK45</f>
        <v>14</v>
      </c>
      <c r="H45" s="455">
        <f>F45*G45</f>
        <v>7000000</v>
      </c>
      <c r="I45" s="455">
        <f>H45*0</f>
        <v>0</v>
      </c>
      <c r="J45" s="455">
        <f>H45*0</f>
        <v>0</v>
      </c>
      <c r="K45" s="455">
        <f>H45*0</f>
        <v>0</v>
      </c>
      <c r="L45" s="455">
        <f>H45*0</f>
        <v>0</v>
      </c>
      <c r="M45" s="455">
        <f>H45*1</f>
        <v>7000000</v>
      </c>
      <c r="N45" s="455">
        <f>H45*0</f>
        <v>0</v>
      </c>
      <c r="O45" s="455">
        <f>H45*0</f>
        <v>0</v>
      </c>
      <c r="P45" s="455">
        <f>H45*0</f>
        <v>0</v>
      </c>
      <c r="Q45" s="455">
        <f>H45*0</f>
        <v>0</v>
      </c>
      <c r="R45" s="455">
        <f>H45*0</f>
        <v>0</v>
      </c>
      <c r="S45" s="143">
        <f t="shared" ref="S45:S48" si="59">G45*0.1</f>
        <v>1.4000000000000001</v>
      </c>
      <c r="T45" s="185">
        <f t="shared" ref="T45:T48" si="60">G45*0.1</f>
        <v>1.4000000000000001</v>
      </c>
      <c r="U45" s="185">
        <f t="shared" ref="U45:U48" si="61">G45*0.25</f>
        <v>3.5</v>
      </c>
      <c r="V45" s="185">
        <f t="shared" ref="V45:V48" si="62">G45*0.55</f>
        <v>7.7000000000000011</v>
      </c>
      <c r="W45" s="455">
        <f>S45*F45</f>
        <v>700000.00000000012</v>
      </c>
      <c r="X45" s="455">
        <f>T45*F45</f>
        <v>700000.00000000012</v>
      </c>
      <c r="Y45" s="455">
        <f>U45*F45</f>
        <v>1750000</v>
      </c>
      <c r="Z45" s="455">
        <f>V45*F45</f>
        <v>3850000.0000000005</v>
      </c>
      <c r="AA45" s="47">
        <v>0</v>
      </c>
      <c r="AB45" s="133">
        <f t="shared" si="24"/>
        <v>0</v>
      </c>
      <c r="AC45" s="47">
        <v>0</v>
      </c>
      <c r="AD45" s="133">
        <f t="shared" si="1"/>
        <v>0</v>
      </c>
      <c r="AE45" s="47">
        <v>0</v>
      </c>
      <c r="AF45" s="133">
        <f t="shared" si="2"/>
        <v>0</v>
      </c>
      <c r="AG45" s="47">
        <v>1</v>
      </c>
      <c r="AH45" s="133">
        <f t="shared" si="3"/>
        <v>500000</v>
      </c>
      <c r="AI45" s="47">
        <v>1</v>
      </c>
      <c r="AJ45" s="133">
        <f t="shared" si="4"/>
        <v>500000</v>
      </c>
      <c r="AK45" s="47">
        <v>0</v>
      </c>
      <c r="AL45" s="133">
        <f t="shared" si="5"/>
        <v>0</v>
      </c>
      <c r="AM45" s="47">
        <v>0</v>
      </c>
      <c r="AN45" s="133">
        <f t="shared" si="6"/>
        <v>0</v>
      </c>
      <c r="AO45" s="47">
        <v>0</v>
      </c>
      <c r="AP45" s="133">
        <f t="shared" si="7"/>
        <v>0</v>
      </c>
      <c r="AQ45" s="47">
        <v>0</v>
      </c>
      <c r="AR45" s="133">
        <f t="shared" si="8"/>
        <v>0</v>
      </c>
      <c r="AS45" s="47">
        <v>3</v>
      </c>
      <c r="AT45" s="133">
        <f t="shared" si="9"/>
        <v>1500000</v>
      </c>
      <c r="AU45" s="624">
        <v>2</v>
      </c>
      <c r="AV45" s="133">
        <f t="shared" si="10"/>
        <v>1000000</v>
      </c>
      <c r="AW45" s="47">
        <v>1</v>
      </c>
      <c r="AX45" s="133">
        <f t="shared" si="11"/>
        <v>500000</v>
      </c>
      <c r="AY45" s="47">
        <v>2</v>
      </c>
      <c r="AZ45" s="133">
        <f t="shared" si="12"/>
        <v>1000000</v>
      </c>
      <c r="BA45" s="47">
        <v>0</v>
      </c>
      <c r="BB45" s="133">
        <f t="shared" si="13"/>
        <v>0</v>
      </c>
      <c r="BC45" s="47">
        <v>2</v>
      </c>
      <c r="BD45" s="133">
        <f t="shared" si="14"/>
        <v>1000000</v>
      </c>
      <c r="BE45" s="47">
        <v>1</v>
      </c>
      <c r="BF45" s="133">
        <f t="shared" si="15"/>
        <v>500000</v>
      </c>
      <c r="BG45" s="47">
        <v>1</v>
      </c>
      <c r="BH45" s="133">
        <f t="shared" si="16"/>
        <v>500000</v>
      </c>
      <c r="BI45" s="47">
        <v>0</v>
      </c>
      <c r="BJ45" s="133">
        <f t="shared" si="17"/>
        <v>0</v>
      </c>
      <c r="BK45" s="47">
        <f t="shared" si="58"/>
        <v>14</v>
      </c>
      <c r="BL45" s="85">
        <f t="shared" si="58"/>
        <v>7000000</v>
      </c>
      <c r="BM45" s="338" t="s">
        <v>795</v>
      </c>
      <c r="BO45" s="375">
        <f>H45</f>
        <v>7000000</v>
      </c>
      <c r="BP45" s="375"/>
      <c r="BQ45" s="375"/>
      <c r="BR45" s="375"/>
      <c r="BS45" s="375">
        <f>BO45+BP45+BQ45+BR45</f>
        <v>7000000</v>
      </c>
      <c r="BT45" s="375"/>
      <c r="BU45" s="375"/>
      <c r="BV45" s="375">
        <f>BT45+BU45</f>
        <v>0</v>
      </c>
      <c r="BW45" s="377">
        <f t="shared" si="20"/>
        <v>7000000</v>
      </c>
    </row>
    <row r="46" spans="1:160" x14ac:dyDescent="0.25">
      <c r="A46" s="975"/>
      <c r="B46" s="473"/>
      <c r="C46" s="472"/>
      <c r="D46" s="635" t="s">
        <v>222</v>
      </c>
      <c r="E46" s="205" t="s">
        <v>208</v>
      </c>
      <c r="F46" s="378">
        <f>4*100000</f>
        <v>400000</v>
      </c>
      <c r="G46" s="205">
        <f>BK46</f>
        <v>18</v>
      </c>
      <c r="H46" s="455">
        <f>F46*G46</f>
        <v>7200000</v>
      </c>
      <c r="I46" s="455">
        <f>0.2*H46</f>
        <v>1440000</v>
      </c>
      <c r="J46" s="455">
        <f>0.8*H46</f>
        <v>5760000</v>
      </c>
      <c r="K46" s="455">
        <f>H46*0</f>
        <v>0</v>
      </c>
      <c r="L46" s="455">
        <f>H46*0</f>
        <v>0</v>
      </c>
      <c r="M46" s="455">
        <f>H46*0</f>
        <v>0</v>
      </c>
      <c r="N46" s="455">
        <f>H46*0</f>
        <v>0</v>
      </c>
      <c r="O46" s="455">
        <f>H46*0</f>
        <v>0</v>
      </c>
      <c r="P46" s="455">
        <f>H46*0</f>
        <v>0</v>
      </c>
      <c r="Q46" s="455">
        <f>H46*0</f>
        <v>0</v>
      </c>
      <c r="R46" s="455">
        <f>H46*0</f>
        <v>0</v>
      </c>
      <c r="S46" s="143">
        <f t="shared" si="59"/>
        <v>1.8</v>
      </c>
      <c r="T46" s="185">
        <f t="shared" si="60"/>
        <v>1.8</v>
      </c>
      <c r="U46" s="185">
        <f t="shared" si="61"/>
        <v>4.5</v>
      </c>
      <c r="V46" s="185">
        <f t="shared" si="62"/>
        <v>9.9</v>
      </c>
      <c r="W46" s="455">
        <f>S46*F46</f>
        <v>720000</v>
      </c>
      <c r="X46" s="455">
        <f>T46*F46</f>
        <v>720000</v>
      </c>
      <c r="Y46" s="455">
        <f>U46*F46</f>
        <v>1800000</v>
      </c>
      <c r="Z46" s="455">
        <f>V46*F46</f>
        <v>3960000</v>
      </c>
      <c r="AA46" s="47">
        <v>0</v>
      </c>
      <c r="AB46" s="133">
        <f t="shared" si="24"/>
        <v>0</v>
      </c>
      <c r="AC46" s="47">
        <v>0</v>
      </c>
      <c r="AD46" s="133">
        <f t="shared" si="1"/>
        <v>0</v>
      </c>
      <c r="AE46" s="47">
        <v>1</v>
      </c>
      <c r="AF46" s="692">
        <f t="shared" si="2"/>
        <v>400000</v>
      </c>
      <c r="AG46" s="47">
        <v>2</v>
      </c>
      <c r="AH46" s="133">
        <f t="shared" si="3"/>
        <v>800000</v>
      </c>
      <c r="AI46" s="47">
        <v>1</v>
      </c>
      <c r="AJ46" s="133">
        <f t="shared" si="4"/>
        <v>400000</v>
      </c>
      <c r="AK46" s="47">
        <v>2</v>
      </c>
      <c r="AL46" s="133">
        <f t="shared" si="5"/>
        <v>800000</v>
      </c>
      <c r="AM46" s="47">
        <v>2</v>
      </c>
      <c r="AN46" s="133">
        <f t="shared" si="6"/>
        <v>800000</v>
      </c>
      <c r="AO46" s="47">
        <v>1</v>
      </c>
      <c r="AP46" s="133">
        <f t="shared" si="7"/>
        <v>400000</v>
      </c>
      <c r="AQ46" s="47">
        <v>0</v>
      </c>
      <c r="AR46" s="133">
        <f t="shared" si="8"/>
        <v>0</v>
      </c>
      <c r="AS46" s="47">
        <v>1</v>
      </c>
      <c r="AT46" s="133">
        <f t="shared" si="9"/>
        <v>400000</v>
      </c>
      <c r="AU46" s="47">
        <v>1</v>
      </c>
      <c r="AV46" s="133">
        <f t="shared" si="10"/>
        <v>400000</v>
      </c>
      <c r="AW46" s="47">
        <v>1</v>
      </c>
      <c r="AX46" s="133">
        <f t="shared" si="11"/>
        <v>400000</v>
      </c>
      <c r="AY46" s="47">
        <v>1</v>
      </c>
      <c r="AZ46" s="133">
        <f>AY46*F46</f>
        <v>400000</v>
      </c>
      <c r="BA46" s="47">
        <v>1</v>
      </c>
      <c r="BB46" s="133">
        <f t="shared" si="13"/>
        <v>400000</v>
      </c>
      <c r="BC46" s="47">
        <v>2</v>
      </c>
      <c r="BD46" s="133">
        <f t="shared" si="14"/>
        <v>800000</v>
      </c>
      <c r="BE46" s="47">
        <v>1</v>
      </c>
      <c r="BF46" s="133">
        <f t="shared" si="15"/>
        <v>400000</v>
      </c>
      <c r="BG46" s="47">
        <v>1</v>
      </c>
      <c r="BH46" s="133">
        <f t="shared" si="16"/>
        <v>400000</v>
      </c>
      <c r="BI46" s="47">
        <v>0</v>
      </c>
      <c r="BJ46" s="133">
        <f t="shared" si="17"/>
        <v>0</v>
      </c>
      <c r="BK46" s="47">
        <f t="shared" si="58"/>
        <v>18</v>
      </c>
      <c r="BL46" s="85">
        <f t="shared" si="58"/>
        <v>7200000</v>
      </c>
      <c r="BM46" s="634" t="s">
        <v>858</v>
      </c>
      <c r="BO46" s="375">
        <f>H46</f>
        <v>7200000</v>
      </c>
      <c r="BP46" s="375"/>
      <c r="BQ46" s="375"/>
      <c r="BR46" s="375"/>
      <c r="BS46" s="375">
        <f>BO46+BP46+BQ46+BR46</f>
        <v>7200000</v>
      </c>
      <c r="BT46" s="375"/>
      <c r="BU46" s="375"/>
      <c r="BV46" s="375">
        <f>BT46+BU46</f>
        <v>0</v>
      </c>
      <c r="BW46" s="377">
        <f t="shared" si="20"/>
        <v>7200000</v>
      </c>
    </row>
    <row r="47" spans="1:160" x14ac:dyDescent="0.25">
      <c r="A47" s="975"/>
      <c r="B47" s="473"/>
      <c r="C47" s="472"/>
      <c r="D47" s="205" t="s">
        <v>223</v>
      </c>
      <c r="E47" s="205" t="s">
        <v>208</v>
      </c>
      <c r="F47" s="378">
        <f>3*100000</f>
        <v>300000</v>
      </c>
      <c r="G47" s="205">
        <f>BK47</f>
        <v>24</v>
      </c>
      <c r="H47" s="455">
        <f>F47*G47</f>
        <v>7200000</v>
      </c>
      <c r="I47" s="455">
        <f>H47*0</f>
        <v>0</v>
      </c>
      <c r="J47" s="455">
        <f>H47*0</f>
        <v>0</v>
      </c>
      <c r="K47" s="455">
        <f>H47*0</f>
        <v>0</v>
      </c>
      <c r="L47" s="455">
        <f>H47*0</f>
        <v>0</v>
      </c>
      <c r="M47" s="455">
        <f>H47*1</f>
        <v>7200000</v>
      </c>
      <c r="N47" s="455">
        <f>H47*0</f>
        <v>0</v>
      </c>
      <c r="O47" s="455">
        <f>H47*0</f>
        <v>0</v>
      </c>
      <c r="P47" s="455">
        <f>H47*0</f>
        <v>0</v>
      </c>
      <c r="Q47" s="455">
        <f>H47*0</f>
        <v>0</v>
      </c>
      <c r="R47" s="455">
        <f>H47*0</f>
        <v>0</v>
      </c>
      <c r="S47" s="143">
        <f t="shared" si="59"/>
        <v>2.4000000000000004</v>
      </c>
      <c r="T47" s="185">
        <f t="shared" si="60"/>
        <v>2.4000000000000004</v>
      </c>
      <c r="U47" s="185">
        <f t="shared" si="61"/>
        <v>6</v>
      </c>
      <c r="V47" s="185">
        <f t="shared" si="62"/>
        <v>13.200000000000001</v>
      </c>
      <c r="W47" s="455">
        <f>S47*F47</f>
        <v>720000.00000000012</v>
      </c>
      <c r="X47" s="455">
        <f>T47*F47</f>
        <v>720000.00000000012</v>
      </c>
      <c r="Y47" s="455">
        <f>U47*F47</f>
        <v>1800000</v>
      </c>
      <c r="Z47" s="455">
        <f>V47*F47</f>
        <v>3960000.0000000005</v>
      </c>
      <c r="AA47" s="47">
        <v>2</v>
      </c>
      <c r="AB47" s="133">
        <f t="shared" si="24"/>
        <v>600000</v>
      </c>
      <c r="AC47" s="47">
        <v>1</v>
      </c>
      <c r="AD47" s="133">
        <f t="shared" si="1"/>
        <v>300000</v>
      </c>
      <c r="AE47" s="47">
        <v>1</v>
      </c>
      <c r="AF47" s="133">
        <f t="shared" si="2"/>
        <v>300000</v>
      </c>
      <c r="AG47" s="47">
        <v>2</v>
      </c>
      <c r="AH47" s="133">
        <f t="shared" si="3"/>
        <v>600000</v>
      </c>
      <c r="AI47" s="47">
        <v>1</v>
      </c>
      <c r="AJ47" s="133">
        <f t="shared" si="4"/>
        <v>300000</v>
      </c>
      <c r="AK47" s="47">
        <v>2</v>
      </c>
      <c r="AL47" s="133">
        <f t="shared" si="5"/>
        <v>600000</v>
      </c>
      <c r="AM47" s="47">
        <v>1</v>
      </c>
      <c r="AN47" s="133">
        <f t="shared" si="6"/>
        <v>300000</v>
      </c>
      <c r="AO47" s="47">
        <v>2</v>
      </c>
      <c r="AP47" s="133">
        <f t="shared" si="7"/>
        <v>600000</v>
      </c>
      <c r="AQ47" s="47">
        <v>1</v>
      </c>
      <c r="AR47" s="133">
        <f t="shared" si="8"/>
        <v>300000</v>
      </c>
      <c r="AS47" s="47">
        <v>1</v>
      </c>
      <c r="AT47" s="133">
        <f t="shared" si="9"/>
        <v>300000</v>
      </c>
      <c r="AU47" s="47">
        <v>1</v>
      </c>
      <c r="AV47" s="133">
        <f t="shared" si="10"/>
        <v>300000</v>
      </c>
      <c r="AW47" s="47">
        <v>1</v>
      </c>
      <c r="AX47" s="133">
        <f t="shared" si="11"/>
        <v>300000</v>
      </c>
      <c r="AY47" s="47">
        <v>1</v>
      </c>
      <c r="AZ47" s="133">
        <f t="shared" si="12"/>
        <v>300000</v>
      </c>
      <c r="BA47" s="47">
        <v>2</v>
      </c>
      <c r="BB47" s="133">
        <f t="shared" si="13"/>
        <v>600000</v>
      </c>
      <c r="BC47" s="47">
        <v>2</v>
      </c>
      <c r="BD47" s="133">
        <f t="shared" si="14"/>
        <v>600000</v>
      </c>
      <c r="BE47" s="47">
        <v>1</v>
      </c>
      <c r="BF47" s="133">
        <f t="shared" si="15"/>
        <v>300000</v>
      </c>
      <c r="BG47" s="47">
        <v>2</v>
      </c>
      <c r="BH47" s="133">
        <f t="shared" si="16"/>
        <v>600000</v>
      </c>
      <c r="BI47" s="47">
        <v>0</v>
      </c>
      <c r="BJ47" s="133">
        <f t="shared" si="17"/>
        <v>0</v>
      </c>
      <c r="BK47" s="47">
        <f t="shared" si="58"/>
        <v>24</v>
      </c>
      <c r="BL47" s="85">
        <f t="shared" si="58"/>
        <v>7200000</v>
      </c>
      <c r="BM47" s="338" t="s">
        <v>795</v>
      </c>
      <c r="BO47" s="375">
        <f>H47</f>
        <v>7200000</v>
      </c>
      <c r="BP47" s="375"/>
      <c r="BQ47" s="375"/>
      <c r="BR47" s="375"/>
      <c r="BS47" s="375">
        <f>BO47+BP47+BQ47+BR47</f>
        <v>7200000</v>
      </c>
      <c r="BT47" s="375"/>
      <c r="BU47" s="375"/>
      <c r="BV47" s="375">
        <f>BT47+BU47</f>
        <v>0</v>
      </c>
      <c r="BW47" s="377">
        <f t="shared" si="20"/>
        <v>7200000</v>
      </c>
    </row>
    <row r="48" spans="1:160" x14ac:dyDescent="0.25">
      <c r="A48" s="975"/>
      <c r="B48" s="473"/>
      <c r="C48" s="472"/>
      <c r="D48" s="205" t="s">
        <v>728</v>
      </c>
      <c r="E48" s="205" t="s">
        <v>208</v>
      </c>
      <c r="F48" s="378">
        <v>3000000</v>
      </c>
      <c r="G48" s="205">
        <f>BK48</f>
        <v>0</v>
      </c>
      <c r="H48" s="455">
        <f>F48*G48</f>
        <v>0</v>
      </c>
      <c r="I48" s="455"/>
      <c r="J48" s="455">
        <f>H48</f>
        <v>0</v>
      </c>
      <c r="K48" s="455"/>
      <c r="L48" s="455"/>
      <c r="M48" s="455"/>
      <c r="N48" s="455"/>
      <c r="O48" s="455"/>
      <c r="P48" s="455"/>
      <c r="Q48" s="455"/>
      <c r="R48" s="455"/>
      <c r="S48" s="143">
        <f t="shared" si="59"/>
        <v>0</v>
      </c>
      <c r="T48" s="185">
        <f t="shared" si="60"/>
        <v>0</v>
      </c>
      <c r="U48" s="185">
        <f t="shared" si="61"/>
        <v>0</v>
      </c>
      <c r="V48" s="185">
        <f t="shared" si="62"/>
        <v>0</v>
      </c>
      <c r="W48" s="455">
        <f>S48*F48</f>
        <v>0</v>
      </c>
      <c r="X48" s="455">
        <f>T48*F48</f>
        <v>0</v>
      </c>
      <c r="Y48" s="455">
        <f>U48*F48</f>
        <v>0</v>
      </c>
      <c r="Z48" s="455">
        <f>V48*F48</f>
        <v>0</v>
      </c>
      <c r="AA48" s="47">
        <v>0</v>
      </c>
      <c r="AB48" s="133">
        <f t="shared" si="24"/>
        <v>0</v>
      </c>
      <c r="AC48" s="47">
        <v>0</v>
      </c>
      <c r="AD48" s="133">
        <f t="shared" si="1"/>
        <v>0</v>
      </c>
      <c r="AE48" s="47">
        <v>0</v>
      </c>
      <c r="AF48" s="133">
        <f t="shared" si="2"/>
        <v>0</v>
      </c>
      <c r="AG48" s="47">
        <v>0</v>
      </c>
      <c r="AH48" s="133">
        <f t="shared" si="3"/>
        <v>0</v>
      </c>
      <c r="AI48" s="47">
        <v>0</v>
      </c>
      <c r="AJ48" s="133">
        <f t="shared" si="4"/>
        <v>0</v>
      </c>
      <c r="AK48" s="47">
        <v>0</v>
      </c>
      <c r="AL48" s="133">
        <f t="shared" si="5"/>
        <v>0</v>
      </c>
      <c r="AM48" s="47">
        <v>0</v>
      </c>
      <c r="AN48" s="133">
        <f t="shared" si="6"/>
        <v>0</v>
      </c>
      <c r="AO48" s="47">
        <v>0</v>
      </c>
      <c r="AP48" s="133">
        <f t="shared" si="7"/>
        <v>0</v>
      </c>
      <c r="AQ48" s="47">
        <v>0</v>
      </c>
      <c r="AR48" s="133">
        <f t="shared" si="8"/>
        <v>0</v>
      </c>
      <c r="AS48" s="47">
        <v>0</v>
      </c>
      <c r="AT48" s="133">
        <f t="shared" si="9"/>
        <v>0</v>
      </c>
      <c r="AU48" s="47">
        <v>0</v>
      </c>
      <c r="AV48" s="133">
        <f t="shared" si="10"/>
        <v>0</v>
      </c>
      <c r="AW48" s="47">
        <v>0</v>
      </c>
      <c r="AX48" s="133">
        <f t="shared" si="11"/>
        <v>0</v>
      </c>
      <c r="AY48" s="47">
        <v>0</v>
      </c>
      <c r="AZ48" s="133">
        <f t="shared" si="12"/>
        <v>0</v>
      </c>
      <c r="BA48" s="47">
        <v>0</v>
      </c>
      <c r="BB48" s="133">
        <f t="shared" si="13"/>
        <v>0</v>
      </c>
      <c r="BC48" s="47">
        <v>0</v>
      </c>
      <c r="BD48" s="133">
        <f t="shared" si="14"/>
        <v>0</v>
      </c>
      <c r="BE48" s="47">
        <v>0</v>
      </c>
      <c r="BF48" s="133">
        <f t="shared" si="15"/>
        <v>0</v>
      </c>
      <c r="BG48" s="47">
        <v>0</v>
      </c>
      <c r="BH48" s="133">
        <f t="shared" si="16"/>
        <v>0</v>
      </c>
      <c r="BI48" s="47">
        <v>0</v>
      </c>
      <c r="BJ48" s="133">
        <f t="shared" si="17"/>
        <v>0</v>
      </c>
      <c r="BK48" s="47">
        <f t="shared" si="58"/>
        <v>0</v>
      </c>
      <c r="BL48" s="85">
        <f t="shared" si="58"/>
        <v>0</v>
      </c>
      <c r="BM48" s="330" t="s">
        <v>729</v>
      </c>
      <c r="BO48" s="375">
        <f>H48</f>
        <v>0</v>
      </c>
      <c r="BP48" s="375"/>
      <c r="BQ48" s="375"/>
      <c r="BR48" s="375"/>
      <c r="BS48" s="375">
        <f>BO48+BP48+BQ48+BR48</f>
        <v>0</v>
      </c>
      <c r="BT48" s="375"/>
      <c r="BU48" s="375"/>
      <c r="BV48" s="375">
        <f>BT48+BU48</f>
        <v>0</v>
      </c>
      <c r="BW48" s="377">
        <f t="shared" si="20"/>
        <v>0</v>
      </c>
    </row>
    <row r="49" spans="1:160" s="471" customFormat="1" x14ac:dyDescent="0.25">
      <c r="A49" s="975"/>
      <c r="B49" s="473"/>
      <c r="C49" s="137"/>
      <c r="D49" s="137"/>
      <c r="E49" s="137"/>
      <c r="F49" s="137"/>
      <c r="G49" s="137">
        <f>SUM(G44:G48)</f>
        <v>87</v>
      </c>
      <c r="H49" s="139">
        <f>SUM(H44:H48)</f>
        <v>30700000</v>
      </c>
      <c r="I49" s="139">
        <f>SUM(I44:I48)</f>
        <v>1440000</v>
      </c>
      <c r="J49" s="139">
        <f t="shared" ref="J49:R49" si="63">SUM(J44:J48)</f>
        <v>5760000</v>
      </c>
      <c r="K49" s="139">
        <f t="shared" si="63"/>
        <v>0</v>
      </c>
      <c r="L49" s="139">
        <f t="shared" si="63"/>
        <v>0</v>
      </c>
      <c r="M49" s="139">
        <f t="shared" si="63"/>
        <v>23500000</v>
      </c>
      <c r="N49" s="139">
        <f t="shared" si="63"/>
        <v>0</v>
      </c>
      <c r="O49" s="139">
        <f t="shared" si="63"/>
        <v>0</v>
      </c>
      <c r="P49" s="139">
        <f t="shared" si="63"/>
        <v>0</v>
      </c>
      <c r="Q49" s="139">
        <f t="shared" si="63"/>
        <v>0</v>
      </c>
      <c r="R49" s="139">
        <f t="shared" si="63"/>
        <v>0</v>
      </c>
      <c r="S49" s="468">
        <f>SUM(S44:S48)</f>
        <v>8.6999999999999993</v>
      </c>
      <c r="T49" s="468">
        <f t="shared" ref="T49:Z49" si="64">SUM(T44:T48)</f>
        <v>8.6999999999999993</v>
      </c>
      <c r="U49" s="468">
        <f t="shared" si="64"/>
        <v>21.75</v>
      </c>
      <c r="V49" s="468">
        <f t="shared" si="64"/>
        <v>47.85</v>
      </c>
      <c r="W49" s="468">
        <f t="shared" si="64"/>
        <v>3070000</v>
      </c>
      <c r="X49" s="468">
        <f t="shared" si="64"/>
        <v>3070000</v>
      </c>
      <c r="Y49" s="468">
        <f t="shared" si="64"/>
        <v>7675000</v>
      </c>
      <c r="Z49" s="468">
        <f t="shared" si="64"/>
        <v>16885000</v>
      </c>
      <c r="AA49" s="242">
        <f>SUM(AA44:AA48)</f>
        <v>3</v>
      </c>
      <c r="AB49" s="242">
        <f t="shared" ref="AB49:BL49" si="65">SUM(AB44:AB48)</f>
        <v>900000</v>
      </c>
      <c r="AC49" s="242">
        <f t="shared" si="65"/>
        <v>1</v>
      </c>
      <c r="AD49" s="242">
        <f t="shared" si="65"/>
        <v>300000</v>
      </c>
      <c r="AE49" s="242">
        <f t="shared" si="65"/>
        <v>2</v>
      </c>
      <c r="AF49" s="242">
        <f t="shared" si="65"/>
        <v>700000</v>
      </c>
      <c r="AG49" s="242">
        <f t="shared" si="65"/>
        <v>10</v>
      </c>
      <c r="AH49" s="242">
        <f t="shared" si="65"/>
        <v>3400000</v>
      </c>
      <c r="AI49" s="242">
        <f t="shared" si="65"/>
        <v>5</v>
      </c>
      <c r="AJ49" s="242">
        <f t="shared" si="65"/>
        <v>1800000</v>
      </c>
      <c r="AK49" s="242">
        <f t="shared" si="65"/>
        <v>7</v>
      </c>
      <c r="AL49" s="242">
        <f t="shared" si="65"/>
        <v>2300000</v>
      </c>
      <c r="AM49" s="242">
        <f t="shared" si="65"/>
        <v>5</v>
      </c>
      <c r="AN49" s="242">
        <f t="shared" si="65"/>
        <v>1700000</v>
      </c>
      <c r="AO49" s="242">
        <f t="shared" si="65"/>
        <v>3</v>
      </c>
      <c r="AP49" s="242">
        <f t="shared" si="65"/>
        <v>1000000</v>
      </c>
      <c r="AQ49" s="242">
        <f t="shared" si="65"/>
        <v>2</v>
      </c>
      <c r="AR49" s="242">
        <f t="shared" si="65"/>
        <v>600000</v>
      </c>
      <c r="AS49" s="242">
        <f t="shared" si="65"/>
        <v>7</v>
      </c>
      <c r="AT49" s="242">
        <f t="shared" si="65"/>
        <v>2800000</v>
      </c>
      <c r="AU49" s="242">
        <f t="shared" si="65"/>
        <v>9</v>
      </c>
      <c r="AV49" s="242">
        <f t="shared" si="65"/>
        <v>3200000</v>
      </c>
      <c r="AW49" s="242">
        <f t="shared" si="65"/>
        <v>3</v>
      </c>
      <c r="AX49" s="242">
        <f t="shared" si="65"/>
        <v>1200000</v>
      </c>
      <c r="AY49" s="242">
        <f t="shared" si="65"/>
        <v>6</v>
      </c>
      <c r="AZ49" s="242">
        <f t="shared" si="65"/>
        <v>2300000</v>
      </c>
      <c r="BA49" s="242">
        <f t="shared" si="65"/>
        <v>5</v>
      </c>
      <c r="BB49" s="242">
        <f t="shared" si="65"/>
        <v>1600000</v>
      </c>
      <c r="BC49" s="242">
        <f t="shared" si="65"/>
        <v>8</v>
      </c>
      <c r="BD49" s="242">
        <f t="shared" si="65"/>
        <v>3000000</v>
      </c>
      <c r="BE49" s="242">
        <f t="shared" si="65"/>
        <v>5</v>
      </c>
      <c r="BF49" s="242">
        <f t="shared" si="65"/>
        <v>1800000</v>
      </c>
      <c r="BG49" s="242">
        <f t="shared" si="65"/>
        <v>6</v>
      </c>
      <c r="BH49" s="242">
        <f t="shared" si="65"/>
        <v>2100000</v>
      </c>
      <c r="BI49" s="242">
        <f t="shared" si="65"/>
        <v>0</v>
      </c>
      <c r="BJ49" s="242">
        <f t="shared" si="65"/>
        <v>0</v>
      </c>
      <c r="BK49" s="242">
        <f t="shared" si="65"/>
        <v>87</v>
      </c>
      <c r="BL49" s="242">
        <f t="shared" si="65"/>
        <v>30700000</v>
      </c>
      <c r="BM49" s="340"/>
      <c r="BN49" s="292"/>
      <c r="BO49" s="139">
        <f t="shared" ref="BO49:BW49" si="66">SUM(BO44:BO48)</f>
        <v>30700000</v>
      </c>
      <c r="BP49" s="139">
        <f t="shared" si="66"/>
        <v>0</v>
      </c>
      <c r="BQ49" s="139">
        <f t="shared" si="66"/>
        <v>0</v>
      </c>
      <c r="BR49" s="139">
        <f t="shared" si="66"/>
        <v>0</v>
      </c>
      <c r="BS49" s="139">
        <f t="shared" si="66"/>
        <v>30700000</v>
      </c>
      <c r="BT49" s="139">
        <f t="shared" si="66"/>
        <v>0</v>
      </c>
      <c r="BU49" s="139">
        <f t="shared" si="66"/>
        <v>0</v>
      </c>
      <c r="BV49" s="139">
        <f t="shared" si="66"/>
        <v>0</v>
      </c>
      <c r="BW49" s="139">
        <f t="shared" si="66"/>
        <v>30700000</v>
      </c>
      <c r="BX49" s="269"/>
      <c r="BY49" s="269"/>
      <c r="BZ49" s="269"/>
      <c r="CA49" s="269"/>
      <c r="CB49" s="269"/>
      <c r="CC49" s="269"/>
      <c r="CD49" s="269"/>
      <c r="CE49" s="269"/>
      <c r="CF49" s="269"/>
      <c r="CG49" s="269"/>
      <c r="CH49" s="269"/>
      <c r="CI49" s="269"/>
      <c r="CJ49" s="269"/>
      <c r="CK49" s="269"/>
      <c r="CL49" s="269"/>
      <c r="CM49" s="269"/>
      <c r="CN49" s="269"/>
      <c r="CO49" s="269"/>
      <c r="CP49" s="269"/>
      <c r="CQ49" s="269"/>
      <c r="CR49" s="269"/>
      <c r="CS49" s="269"/>
      <c r="CT49" s="269"/>
      <c r="CU49" s="269"/>
      <c r="CV49" s="269"/>
      <c r="CW49" s="269"/>
      <c r="CX49" s="269"/>
      <c r="CY49" s="269"/>
      <c r="CZ49" s="269"/>
      <c r="DA49" s="269"/>
      <c r="DB49" s="269"/>
      <c r="DC49" s="269"/>
      <c r="DD49" s="269"/>
      <c r="DE49" s="269"/>
      <c r="DF49" s="269"/>
      <c r="DG49" s="269"/>
      <c r="DH49" s="269"/>
      <c r="DI49" s="269"/>
      <c r="DJ49" s="269"/>
      <c r="DK49" s="269"/>
      <c r="DL49" s="269"/>
      <c r="DM49" s="269"/>
      <c r="DN49" s="269"/>
      <c r="DO49" s="269"/>
      <c r="DP49" s="269"/>
      <c r="DQ49" s="269"/>
      <c r="DR49" s="269"/>
      <c r="DS49" s="269"/>
      <c r="DT49" s="269"/>
      <c r="DU49" s="269"/>
      <c r="DV49" s="269"/>
      <c r="DW49" s="269"/>
      <c r="DX49" s="269"/>
      <c r="DY49" s="269"/>
      <c r="DZ49" s="269"/>
      <c r="EA49" s="269"/>
      <c r="EB49" s="269"/>
      <c r="EC49" s="269"/>
      <c r="ED49" s="269"/>
      <c r="EE49" s="269"/>
      <c r="EF49" s="269"/>
      <c r="EG49" s="269"/>
      <c r="EH49" s="269"/>
      <c r="EI49" s="269"/>
      <c r="EJ49" s="269"/>
      <c r="EK49" s="269"/>
      <c r="EL49" s="269"/>
      <c r="EM49" s="269"/>
      <c r="EN49" s="269"/>
      <c r="EO49" s="269"/>
      <c r="EP49" s="269"/>
      <c r="EQ49" s="269"/>
      <c r="ER49" s="269"/>
      <c r="ES49" s="269"/>
      <c r="ET49" s="269"/>
      <c r="EU49" s="269"/>
      <c r="EV49" s="269"/>
      <c r="EW49" s="269"/>
      <c r="EX49" s="269"/>
      <c r="EY49" s="269"/>
      <c r="EZ49" s="269"/>
      <c r="FA49" s="269"/>
      <c r="FB49" s="269"/>
      <c r="FC49" s="269"/>
      <c r="FD49" s="269"/>
    </row>
    <row r="50" spans="1:160" ht="22.5" customHeight="1" x14ac:dyDescent="0.25">
      <c r="A50" s="975"/>
      <c r="B50" s="473"/>
      <c r="C50" s="357">
        <v>31700</v>
      </c>
      <c r="D50" s="357" t="s">
        <v>224</v>
      </c>
      <c r="E50" s="205"/>
      <c r="F50" s="378"/>
      <c r="G50" s="205"/>
      <c r="H50" s="85"/>
      <c r="I50" s="85"/>
      <c r="J50" s="85"/>
      <c r="K50" s="85"/>
      <c r="L50" s="85"/>
      <c r="M50" s="85"/>
      <c r="N50" s="85"/>
      <c r="O50" s="85"/>
      <c r="P50" s="144"/>
      <c r="Q50" s="144"/>
      <c r="R50" s="144"/>
      <c r="S50" s="143"/>
      <c r="T50" s="142">
        <f>G50*0.2</f>
        <v>0</v>
      </c>
      <c r="U50" s="142">
        <f>G50*0.6</f>
        <v>0</v>
      </c>
      <c r="V50" s="142">
        <f>G50*0.2</f>
        <v>0</v>
      </c>
      <c r="W50" s="144"/>
      <c r="X50" s="133">
        <f>H50*0.2</f>
        <v>0</v>
      </c>
      <c r="Y50" s="133">
        <f>H50*0.6</f>
        <v>0</v>
      </c>
      <c r="Z50" s="133">
        <f>H50*0.2</f>
        <v>0</v>
      </c>
      <c r="AA50" s="145"/>
      <c r="AB50" s="133">
        <f t="shared" si="24"/>
        <v>0</v>
      </c>
      <c r="AC50" s="145"/>
      <c r="AD50" s="133">
        <f t="shared" si="1"/>
        <v>0</v>
      </c>
      <c r="AE50" s="145"/>
      <c r="AF50" s="133">
        <f t="shared" si="2"/>
        <v>0</v>
      </c>
      <c r="AG50" s="145"/>
      <c r="AH50" s="133">
        <f t="shared" si="3"/>
        <v>0</v>
      </c>
      <c r="AI50" s="145"/>
      <c r="AJ50" s="133">
        <f t="shared" si="4"/>
        <v>0</v>
      </c>
      <c r="AK50" s="145"/>
      <c r="AL50" s="133">
        <f t="shared" si="5"/>
        <v>0</v>
      </c>
      <c r="AM50" s="145"/>
      <c r="AN50" s="133">
        <f t="shared" si="6"/>
        <v>0</v>
      </c>
      <c r="AO50" s="145"/>
      <c r="AP50" s="133">
        <f t="shared" si="7"/>
        <v>0</v>
      </c>
      <c r="AQ50" s="145"/>
      <c r="AR50" s="133">
        <f t="shared" si="8"/>
        <v>0</v>
      </c>
      <c r="AS50" s="145"/>
      <c r="AT50" s="133">
        <f t="shared" si="9"/>
        <v>0</v>
      </c>
      <c r="AU50" s="145"/>
      <c r="AV50" s="133">
        <f t="shared" si="10"/>
        <v>0</v>
      </c>
      <c r="AW50" s="145"/>
      <c r="AX50" s="133">
        <f t="shared" si="11"/>
        <v>0</v>
      </c>
      <c r="AY50" s="145"/>
      <c r="AZ50" s="133">
        <f t="shared" si="12"/>
        <v>0</v>
      </c>
      <c r="BA50" s="145"/>
      <c r="BB50" s="133">
        <f t="shared" si="13"/>
        <v>0</v>
      </c>
      <c r="BC50" s="145"/>
      <c r="BD50" s="133">
        <f t="shared" si="14"/>
        <v>0</v>
      </c>
      <c r="BE50" s="145"/>
      <c r="BF50" s="133">
        <f t="shared" si="15"/>
        <v>0</v>
      </c>
      <c r="BG50" s="145"/>
      <c r="BH50" s="133">
        <f t="shared" si="16"/>
        <v>0</v>
      </c>
      <c r="BI50" s="145"/>
      <c r="BJ50" s="133">
        <f t="shared" si="17"/>
        <v>0</v>
      </c>
      <c r="BK50" s="145"/>
      <c r="BL50" s="39"/>
      <c r="BM50" s="338"/>
      <c r="BO50" s="375"/>
      <c r="BP50" s="375"/>
      <c r="BQ50" s="375"/>
      <c r="BR50" s="375"/>
      <c r="BS50" s="375"/>
      <c r="BT50" s="375"/>
      <c r="BU50" s="375"/>
      <c r="BV50" s="375"/>
      <c r="BW50" s="377">
        <f t="shared" si="20"/>
        <v>0</v>
      </c>
    </row>
    <row r="51" spans="1:160" ht="26.25" customHeight="1" x14ac:dyDescent="0.25">
      <c r="A51" s="975"/>
      <c r="B51" s="473"/>
      <c r="C51" s="472"/>
      <c r="D51" s="205" t="s">
        <v>842</v>
      </c>
      <c r="E51" s="205" t="s">
        <v>225</v>
      </c>
      <c r="F51" s="378">
        <v>300000</v>
      </c>
      <c r="G51" s="205">
        <f>BK51</f>
        <v>97</v>
      </c>
      <c r="H51" s="455">
        <f>F51*G51</f>
        <v>29100000</v>
      </c>
      <c r="I51" s="455">
        <f>H51*0.05</f>
        <v>1455000</v>
      </c>
      <c r="J51" s="455">
        <f>H51*0</f>
        <v>0</v>
      </c>
      <c r="K51" s="455">
        <f>H51*0.45</f>
        <v>13095000</v>
      </c>
      <c r="L51" s="455">
        <f>H51*0</f>
        <v>0</v>
      </c>
      <c r="M51" s="455">
        <f>H51*0.45</f>
        <v>13095000</v>
      </c>
      <c r="N51" s="455">
        <f>H51*0</f>
        <v>0</v>
      </c>
      <c r="O51" s="455">
        <f>H51*0</f>
        <v>0</v>
      </c>
      <c r="P51" s="455">
        <f>H51*0</f>
        <v>0</v>
      </c>
      <c r="Q51" s="455">
        <f>H51*0.05</f>
        <v>1455000</v>
      </c>
      <c r="R51" s="455">
        <f>H51*0</f>
        <v>0</v>
      </c>
      <c r="S51" s="185">
        <v>9</v>
      </c>
      <c r="T51" s="142">
        <f>G51*0.2</f>
        <v>19.400000000000002</v>
      </c>
      <c r="U51" s="142">
        <f>G51*0.6</f>
        <v>58.199999999999996</v>
      </c>
      <c r="V51" s="142">
        <v>10</v>
      </c>
      <c r="W51" s="455">
        <f>S51*F51</f>
        <v>2700000</v>
      </c>
      <c r="X51" s="455">
        <f>T51*F51</f>
        <v>5820000.0000000009</v>
      </c>
      <c r="Y51" s="455">
        <f>U51*F51</f>
        <v>17460000</v>
      </c>
      <c r="Z51" s="455">
        <f>V51*F51</f>
        <v>3000000</v>
      </c>
      <c r="AA51" s="48">
        <v>8</v>
      </c>
      <c r="AB51" s="133">
        <f t="shared" si="24"/>
        <v>2400000</v>
      </c>
      <c r="AC51" s="48">
        <v>3</v>
      </c>
      <c r="AD51" s="133">
        <f t="shared" si="1"/>
        <v>900000</v>
      </c>
      <c r="AE51" s="48">
        <v>8</v>
      </c>
      <c r="AF51" s="133">
        <f t="shared" si="2"/>
        <v>2400000</v>
      </c>
      <c r="AG51" s="48">
        <v>8</v>
      </c>
      <c r="AH51" s="133">
        <f t="shared" si="3"/>
        <v>2400000</v>
      </c>
      <c r="AI51" s="48">
        <v>3</v>
      </c>
      <c r="AJ51" s="133">
        <f t="shared" si="4"/>
        <v>900000</v>
      </c>
      <c r="AK51" s="48">
        <v>7</v>
      </c>
      <c r="AL51" s="133">
        <f t="shared" si="5"/>
        <v>2100000</v>
      </c>
      <c r="AM51" s="48">
        <v>4</v>
      </c>
      <c r="AN51" s="133">
        <f t="shared" si="6"/>
        <v>1200000</v>
      </c>
      <c r="AO51" s="48">
        <v>2</v>
      </c>
      <c r="AP51" s="133">
        <f t="shared" si="7"/>
        <v>600000</v>
      </c>
      <c r="AQ51" s="48">
        <v>6</v>
      </c>
      <c r="AR51" s="133">
        <f t="shared" si="8"/>
        <v>1800000</v>
      </c>
      <c r="AS51" s="48">
        <v>7</v>
      </c>
      <c r="AT51" s="133">
        <f t="shared" si="9"/>
        <v>2100000</v>
      </c>
      <c r="AU51" s="48">
        <v>7</v>
      </c>
      <c r="AV51" s="133">
        <f t="shared" si="10"/>
        <v>2100000</v>
      </c>
      <c r="AW51" s="48">
        <v>5</v>
      </c>
      <c r="AX51" s="133">
        <f t="shared" si="11"/>
        <v>1500000</v>
      </c>
      <c r="AY51" s="48">
        <v>5</v>
      </c>
      <c r="AZ51" s="133">
        <f t="shared" si="12"/>
        <v>1500000</v>
      </c>
      <c r="BA51" s="48">
        <v>6</v>
      </c>
      <c r="BB51" s="133">
        <f t="shared" si="13"/>
        <v>1800000</v>
      </c>
      <c r="BC51" s="48">
        <v>5</v>
      </c>
      <c r="BD51" s="133">
        <f t="shared" si="14"/>
        <v>1500000</v>
      </c>
      <c r="BE51" s="48">
        <v>4</v>
      </c>
      <c r="BF51" s="133">
        <f t="shared" si="15"/>
        <v>1200000</v>
      </c>
      <c r="BG51" s="48">
        <v>9</v>
      </c>
      <c r="BH51" s="133">
        <f t="shared" si="16"/>
        <v>2700000</v>
      </c>
      <c r="BI51" s="48">
        <v>0</v>
      </c>
      <c r="BJ51" s="133">
        <f t="shared" si="17"/>
        <v>0</v>
      </c>
      <c r="BK51" s="47">
        <f>AA51+AC51+AE51+AG51+AI51+AK51+AM51+AO51+AQ51+AS51+AU51+AW51+AY51+BA51+BC51+BE51+BG51+BI51</f>
        <v>97</v>
      </c>
      <c r="BL51" s="85">
        <f>AB51+AD51+AF51+AH51+AJ51+AL51+AN51+AP51+AR51+AT51+AV51+AX51+AZ51+BB51+BD51+BF51+BH51+BJ51</f>
        <v>29100000</v>
      </c>
      <c r="BM51" s="330" t="s">
        <v>475</v>
      </c>
      <c r="BO51" s="375"/>
      <c r="BP51" s="375"/>
      <c r="BQ51" s="375">
        <f>H51</f>
        <v>29100000</v>
      </c>
      <c r="BR51" s="375"/>
      <c r="BS51" s="375">
        <f>BO51+BP51+BQ51+BR51</f>
        <v>29100000</v>
      </c>
      <c r="BT51" s="375"/>
      <c r="BU51" s="375"/>
      <c r="BV51" s="375">
        <f>BT51+BU51</f>
        <v>0</v>
      </c>
      <c r="BW51" s="377">
        <f t="shared" si="20"/>
        <v>29100000</v>
      </c>
    </row>
    <row r="52" spans="1:160" s="779" customFormat="1" x14ac:dyDescent="0.25">
      <c r="A52" s="975"/>
      <c r="B52" s="780"/>
      <c r="C52" s="137"/>
      <c r="D52" s="137"/>
      <c r="E52" s="137"/>
      <c r="F52" s="137"/>
      <c r="G52" s="137">
        <f t="shared" ref="G52:BL52" si="67">SUM(G51:G51)</f>
        <v>97</v>
      </c>
      <c r="H52" s="139">
        <f t="shared" si="67"/>
        <v>29100000</v>
      </c>
      <c r="I52" s="139">
        <f t="shared" si="67"/>
        <v>1455000</v>
      </c>
      <c r="J52" s="139">
        <f t="shared" si="67"/>
        <v>0</v>
      </c>
      <c r="K52" s="139">
        <f t="shared" si="67"/>
        <v>13095000</v>
      </c>
      <c r="L52" s="139">
        <f t="shared" si="67"/>
        <v>0</v>
      </c>
      <c r="M52" s="139">
        <f t="shared" si="67"/>
        <v>13095000</v>
      </c>
      <c r="N52" s="139">
        <f t="shared" si="67"/>
        <v>0</v>
      </c>
      <c r="O52" s="139">
        <f t="shared" si="67"/>
        <v>0</v>
      </c>
      <c r="P52" s="139">
        <f t="shared" si="67"/>
        <v>0</v>
      </c>
      <c r="Q52" s="139">
        <f t="shared" si="67"/>
        <v>1455000</v>
      </c>
      <c r="R52" s="139">
        <f t="shared" si="67"/>
        <v>0</v>
      </c>
      <c r="S52" s="137">
        <f t="shared" si="67"/>
        <v>9</v>
      </c>
      <c r="T52" s="468">
        <f t="shared" si="67"/>
        <v>19.400000000000002</v>
      </c>
      <c r="U52" s="468">
        <f t="shared" si="67"/>
        <v>58.199999999999996</v>
      </c>
      <c r="V52" s="468">
        <f t="shared" si="67"/>
        <v>10</v>
      </c>
      <c r="W52" s="139">
        <f t="shared" si="67"/>
        <v>2700000</v>
      </c>
      <c r="X52" s="139">
        <f t="shared" si="67"/>
        <v>5820000.0000000009</v>
      </c>
      <c r="Y52" s="139">
        <f t="shared" si="67"/>
        <v>17460000</v>
      </c>
      <c r="Z52" s="139">
        <f t="shared" si="67"/>
        <v>3000000</v>
      </c>
      <c r="AA52" s="242">
        <f t="shared" si="67"/>
        <v>8</v>
      </c>
      <c r="AB52" s="242">
        <f t="shared" si="67"/>
        <v>2400000</v>
      </c>
      <c r="AC52" s="242">
        <f t="shared" si="67"/>
        <v>3</v>
      </c>
      <c r="AD52" s="242">
        <f t="shared" si="67"/>
        <v>900000</v>
      </c>
      <c r="AE52" s="242">
        <f t="shared" si="67"/>
        <v>8</v>
      </c>
      <c r="AF52" s="242">
        <f t="shared" si="67"/>
        <v>2400000</v>
      </c>
      <c r="AG52" s="242">
        <f t="shared" si="67"/>
        <v>8</v>
      </c>
      <c r="AH52" s="242">
        <f t="shared" si="67"/>
        <v>2400000</v>
      </c>
      <c r="AI52" s="242">
        <f t="shared" si="67"/>
        <v>3</v>
      </c>
      <c r="AJ52" s="242">
        <f t="shared" si="67"/>
        <v>900000</v>
      </c>
      <c r="AK52" s="242">
        <f t="shared" si="67"/>
        <v>7</v>
      </c>
      <c r="AL52" s="242">
        <f t="shared" si="67"/>
        <v>2100000</v>
      </c>
      <c r="AM52" s="242">
        <f t="shared" si="67"/>
        <v>4</v>
      </c>
      <c r="AN52" s="242">
        <f t="shared" si="67"/>
        <v>1200000</v>
      </c>
      <c r="AO52" s="242">
        <f t="shared" si="67"/>
        <v>2</v>
      </c>
      <c r="AP52" s="242">
        <f t="shared" si="67"/>
        <v>600000</v>
      </c>
      <c r="AQ52" s="242">
        <f t="shared" si="67"/>
        <v>6</v>
      </c>
      <c r="AR52" s="242">
        <f t="shared" si="67"/>
        <v>1800000</v>
      </c>
      <c r="AS52" s="242">
        <f t="shared" si="67"/>
        <v>7</v>
      </c>
      <c r="AT52" s="242">
        <f t="shared" si="67"/>
        <v>2100000</v>
      </c>
      <c r="AU52" s="242">
        <f t="shared" si="67"/>
        <v>7</v>
      </c>
      <c r="AV52" s="242">
        <f t="shared" si="67"/>
        <v>2100000</v>
      </c>
      <c r="AW52" s="242">
        <f t="shared" si="67"/>
        <v>5</v>
      </c>
      <c r="AX52" s="242">
        <f t="shared" si="67"/>
        <v>1500000</v>
      </c>
      <c r="AY52" s="242">
        <f t="shared" si="67"/>
        <v>5</v>
      </c>
      <c r="AZ52" s="242">
        <f t="shared" si="67"/>
        <v>1500000</v>
      </c>
      <c r="BA52" s="242">
        <f t="shared" si="67"/>
        <v>6</v>
      </c>
      <c r="BB52" s="242">
        <f t="shared" si="67"/>
        <v>1800000</v>
      </c>
      <c r="BC52" s="242">
        <f t="shared" si="67"/>
        <v>5</v>
      </c>
      <c r="BD52" s="242">
        <f t="shared" si="67"/>
        <v>1500000</v>
      </c>
      <c r="BE52" s="242">
        <f t="shared" si="67"/>
        <v>4</v>
      </c>
      <c r="BF52" s="242">
        <f t="shared" si="67"/>
        <v>1200000</v>
      </c>
      <c r="BG52" s="242">
        <f t="shared" si="67"/>
        <v>9</v>
      </c>
      <c r="BH52" s="242">
        <f t="shared" si="67"/>
        <v>2700000</v>
      </c>
      <c r="BI52" s="242">
        <f t="shared" si="67"/>
        <v>0</v>
      </c>
      <c r="BJ52" s="242">
        <f t="shared" si="67"/>
        <v>0</v>
      </c>
      <c r="BK52" s="242">
        <f t="shared" si="67"/>
        <v>97</v>
      </c>
      <c r="BL52" s="242">
        <f t="shared" si="67"/>
        <v>29100000</v>
      </c>
      <c r="BM52" s="46"/>
      <c r="BN52" s="269"/>
      <c r="BO52" s="386">
        <f t="shared" ref="BO52:BV52" si="68">SUM(BO51:BO51)</f>
        <v>0</v>
      </c>
      <c r="BP52" s="386">
        <f t="shared" si="68"/>
        <v>0</v>
      </c>
      <c r="BQ52" s="386">
        <f t="shared" si="68"/>
        <v>29100000</v>
      </c>
      <c r="BR52" s="386">
        <f t="shared" si="68"/>
        <v>0</v>
      </c>
      <c r="BS52" s="386">
        <f t="shared" si="68"/>
        <v>29100000</v>
      </c>
      <c r="BT52" s="386">
        <f t="shared" si="68"/>
        <v>0</v>
      </c>
      <c r="BU52" s="386">
        <f t="shared" si="68"/>
        <v>0</v>
      </c>
      <c r="BV52" s="386">
        <f t="shared" si="68"/>
        <v>0</v>
      </c>
      <c r="BW52" s="470">
        <f t="shared" si="20"/>
        <v>29100000</v>
      </c>
      <c r="BX52" s="269"/>
      <c r="BY52" s="269"/>
      <c r="BZ52" s="269"/>
      <c r="CA52" s="269"/>
      <c r="CB52" s="269"/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69"/>
      <c r="CX52" s="269"/>
      <c r="CY52" s="269"/>
      <c r="CZ52" s="269"/>
      <c r="DA52" s="269"/>
      <c r="DB52" s="269"/>
      <c r="DC52" s="269"/>
      <c r="DD52" s="269"/>
      <c r="DE52" s="269"/>
      <c r="DF52" s="269"/>
      <c r="DG52" s="269"/>
      <c r="DH52" s="269"/>
      <c r="DI52" s="269"/>
      <c r="DJ52" s="269"/>
      <c r="DK52" s="269"/>
      <c r="DL52" s="269"/>
      <c r="DM52" s="269"/>
      <c r="DN52" s="269"/>
      <c r="DO52" s="269"/>
      <c r="DP52" s="269"/>
      <c r="DQ52" s="269"/>
      <c r="DR52" s="269"/>
      <c r="DS52" s="269"/>
      <c r="DT52" s="269"/>
      <c r="DU52" s="269"/>
      <c r="DV52" s="269"/>
      <c r="DW52" s="269"/>
      <c r="DX52" s="269"/>
      <c r="DY52" s="269"/>
      <c r="DZ52" s="269"/>
      <c r="EA52" s="269"/>
      <c r="EB52" s="269"/>
      <c r="EC52" s="269"/>
      <c r="ED52" s="269"/>
      <c r="EE52" s="269"/>
      <c r="EF52" s="269"/>
      <c r="EG52" s="269"/>
      <c r="EH52" s="269"/>
      <c r="EI52" s="269"/>
      <c r="EJ52" s="269"/>
      <c r="EK52" s="269"/>
      <c r="EL52" s="269"/>
      <c r="EM52" s="269"/>
      <c r="EN52" s="269"/>
      <c r="EO52" s="269"/>
      <c r="EP52" s="269"/>
      <c r="EQ52" s="269"/>
      <c r="ER52" s="269"/>
      <c r="ES52" s="269"/>
      <c r="ET52" s="269"/>
      <c r="EU52" s="269"/>
      <c r="EV52" s="269"/>
      <c r="EW52" s="269"/>
      <c r="EX52" s="269"/>
      <c r="EY52" s="269"/>
      <c r="EZ52" s="269"/>
      <c r="FA52" s="269"/>
      <c r="FB52" s="269"/>
      <c r="FC52" s="269"/>
      <c r="FD52" s="269"/>
    </row>
    <row r="53" spans="1:160" s="779" customFormat="1" x14ac:dyDescent="0.25">
      <c r="A53" s="966"/>
      <c r="B53" s="780"/>
      <c r="C53" s="118"/>
      <c r="D53" s="475"/>
      <c r="E53" s="476"/>
      <c r="F53" s="476"/>
      <c r="G53" s="476">
        <f t="shared" ref="G53:AL53" si="69">G52+G49+G42+G37+G25+G20+G13</f>
        <v>4057</v>
      </c>
      <c r="H53" s="477">
        <f t="shared" si="69"/>
        <v>374854000</v>
      </c>
      <c r="I53" s="477">
        <f t="shared" si="69"/>
        <v>14467000</v>
      </c>
      <c r="J53" s="477">
        <f t="shared" si="69"/>
        <v>14400000</v>
      </c>
      <c r="K53" s="477">
        <f t="shared" si="69"/>
        <v>43095000</v>
      </c>
      <c r="L53" s="477">
        <f t="shared" si="69"/>
        <v>55000000</v>
      </c>
      <c r="M53" s="477">
        <f t="shared" si="69"/>
        <v>242717000</v>
      </c>
      <c r="N53" s="477">
        <f t="shared" si="69"/>
        <v>3720000</v>
      </c>
      <c r="O53" s="477">
        <f t="shared" si="69"/>
        <v>0</v>
      </c>
      <c r="P53" s="477">
        <f t="shared" si="69"/>
        <v>0</v>
      </c>
      <c r="Q53" s="477">
        <f t="shared" si="69"/>
        <v>1455000</v>
      </c>
      <c r="R53" s="477">
        <f t="shared" si="69"/>
        <v>0</v>
      </c>
      <c r="S53" s="476">
        <f t="shared" si="69"/>
        <v>532.9</v>
      </c>
      <c r="T53" s="476">
        <f t="shared" si="69"/>
        <v>422</v>
      </c>
      <c r="U53" s="476">
        <f t="shared" si="69"/>
        <v>2086.8000000000002</v>
      </c>
      <c r="V53" s="476">
        <f t="shared" si="69"/>
        <v>1018.8999999999999</v>
      </c>
      <c r="W53" s="477">
        <f t="shared" si="69"/>
        <v>42415400</v>
      </c>
      <c r="X53" s="477">
        <f t="shared" si="69"/>
        <v>34145400</v>
      </c>
      <c r="Y53" s="477">
        <f t="shared" si="69"/>
        <v>172828500</v>
      </c>
      <c r="Z53" s="477">
        <f t="shared" si="69"/>
        <v>125344700</v>
      </c>
      <c r="AA53" s="476">
        <f t="shared" si="69"/>
        <v>657.2</v>
      </c>
      <c r="AB53" s="476">
        <f t="shared" si="69"/>
        <v>29445200</v>
      </c>
      <c r="AC53" s="476">
        <f t="shared" si="69"/>
        <v>202.5</v>
      </c>
      <c r="AD53" s="476">
        <f t="shared" si="69"/>
        <v>16837600</v>
      </c>
      <c r="AE53" s="476">
        <f t="shared" si="69"/>
        <v>176.5</v>
      </c>
      <c r="AF53" s="476">
        <f t="shared" si="69"/>
        <v>25976400</v>
      </c>
      <c r="AG53" s="476">
        <f t="shared" si="69"/>
        <v>117.5</v>
      </c>
      <c r="AH53" s="476">
        <f t="shared" si="69"/>
        <v>30054000</v>
      </c>
      <c r="AI53" s="476">
        <f t="shared" si="69"/>
        <v>447.3</v>
      </c>
      <c r="AJ53" s="476">
        <f t="shared" si="69"/>
        <v>16197600</v>
      </c>
      <c r="AK53" s="476">
        <f t="shared" si="69"/>
        <v>112.5</v>
      </c>
      <c r="AL53" s="476">
        <f t="shared" si="69"/>
        <v>25028800</v>
      </c>
      <c r="AM53" s="476">
        <f t="shared" ref="AM53:BL53" si="70">AM52+AM49+AM42+AM37+AM25+AM20+AM13</f>
        <v>139.5</v>
      </c>
      <c r="AN53" s="476">
        <f t="shared" si="70"/>
        <v>18438000</v>
      </c>
      <c r="AO53" s="476">
        <f t="shared" si="70"/>
        <v>84.5</v>
      </c>
      <c r="AP53" s="476">
        <f t="shared" si="70"/>
        <v>15804000</v>
      </c>
      <c r="AQ53" s="476">
        <f t="shared" si="70"/>
        <v>287</v>
      </c>
      <c r="AR53" s="476">
        <f t="shared" si="70"/>
        <v>15754000</v>
      </c>
      <c r="AS53" s="476">
        <f t="shared" si="70"/>
        <v>106</v>
      </c>
      <c r="AT53" s="476">
        <f t="shared" si="70"/>
        <v>25584000</v>
      </c>
      <c r="AU53" s="476">
        <f t="shared" si="70"/>
        <v>77</v>
      </c>
      <c r="AV53" s="476">
        <f t="shared" si="70"/>
        <v>22927600</v>
      </c>
      <c r="AW53" s="476">
        <f t="shared" si="70"/>
        <v>52</v>
      </c>
      <c r="AX53" s="476">
        <f t="shared" si="70"/>
        <v>20250000</v>
      </c>
      <c r="AY53" s="476">
        <f t="shared" si="70"/>
        <v>52</v>
      </c>
      <c r="AZ53" s="476">
        <f t="shared" si="70"/>
        <v>20170000</v>
      </c>
      <c r="BA53" s="476">
        <f t="shared" si="70"/>
        <v>1303</v>
      </c>
      <c r="BB53" s="476">
        <f t="shared" si="70"/>
        <v>19417600</v>
      </c>
      <c r="BC53" s="476">
        <f t="shared" si="70"/>
        <v>76.5</v>
      </c>
      <c r="BD53" s="476">
        <f t="shared" si="70"/>
        <v>27477600</v>
      </c>
      <c r="BE53" s="476">
        <f t="shared" si="70"/>
        <v>59.5</v>
      </c>
      <c r="BF53" s="476">
        <f t="shared" si="70"/>
        <v>16347600</v>
      </c>
      <c r="BG53" s="476">
        <f t="shared" si="70"/>
        <v>106.5</v>
      </c>
      <c r="BH53" s="476">
        <f t="shared" si="70"/>
        <v>29144000</v>
      </c>
      <c r="BI53" s="476">
        <f t="shared" si="70"/>
        <v>0</v>
      </c>
      <c r="BJ53" s="476">
        <f t="shared" si="70"/>
        <v>0</v>
      </c>
      <c r="BK53" s="476">
        <f t="shared" si="70"/>
        <v>4057</v>
      </c>
      <c r="BL53" s="476">
        <f t="shared" si="70"/>
        <v>374854000</v>
      </c>
      <c r="BM53" s="46"/>
      <c r="BN53" s="269"/>
      <c r="BO53" s="478">
        <f t="shared" ref="BO53:BV53" si="71">BO52+BO49+BO42+BO37+BO25+BO20+BO13</f>
        <v>345754000</v>
      </c>
      <c r="BP53" s="479">
        <f t="shared" si="71"/>
        <v>0</v>
      </c>
      <c r="BQ53" s="479">
        <f t="shared" si="71"/>
        <v>29100000</v>
      </c>
      <c r="BR53" s="479">
        <f t="shared" si="71"/>
        <v>0</v>
      </c>
      <c r="BS53" s="479">
        <f t="shared" si="71"/>
        <v>374854000</v>
      </c>
      <c r="BT53" s="479">
        <f t="shared" si="71"/>
        <v>0</v>
      </c>
      <c r="BU53" s="479">
        <f t="shared" si="71"/>
        <v>0</v>
      </c>
      <c r="BV53" s="479">
        <f t="shared" si="71"/>
        <v>0</v>
      </c>
      <c r="BW53" s="480">
        <f t="shared" si="20"/>
        <v>374854000</v>
      </c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9"/>
      <c r="CT53" s="269"/>
      <c r="CU53" s="269"/>
      <c r="CV53" s="269"/>
      <c r="CW53" s="269"/>
      <c r="CX53" s="269"/>
      <c r="CY53" s="269"/>
      <c r="CZ53" s="269"/>
      <c r="DA53" s="269"/>
      <c r="DB53" s="269"/>
      <c r="DC53" s="269"/>
      <c r="DD53" s="269"/>
      <c r="DE53" s="269"/>
      <c r="DF53" s="269"/>
      <c r="DG53" s="269"/>
      <c r="DH53" s="269"/>
      <c r="DI53" s="269"/>
      <c r="DJ53" s="269"/>
      <c r="DK53" s="269"/>
      <c r="DL53" s="269"/>
      <c r="DM53" s="269"/>
      <c r="DN53" s="269"/>
      <c r="DO53" s="269"/>
      <c r="DP53" s="269"/>
      <c r="DQ53" s="269"/>
      <c r="DR53" s="269"/>
      <c r="DS53" s="269"/>
      <c r="DT53" s="269"/>
      <c r="DU53" s="269"/>
      <c r="DV53" s="269"/>
      <c r="DW53" s="269"/>
      <c r="DX53" s="269"/>
      <c r="DY53" s="269"/>
      <c r="DZ53" s="269"/>
      <c r="EA53" s="269"/>
      <c r="EB53" s="269"/>
      <c r="EC53" s="269"/>
      <c r="ED53" s="269"/>
      <c r="EE53" s="269"/>
      <c r="EF53" s="269"/>
      <c r="EG53" s="269"/>
      <c r="EH53" s="269"/>
      <c r="EI53" s="269"/>
      <c r="EJ53" s="269"/>
      <c r="EK53" s="269"/>
      <c r="EL53" s="269"/>
      <c r="EM53" s="269"/>
      <c r="EN53" s="269"/>
      <c r="EO53" s="269"/>
      <c r="EP53" s="269"/>
      <c r="EQ53" s="269"/>
      <c r="ER53" s="269"/>
      <c r="ES53" s="269"/>
      <c r="ET53" s="269"/>
      <c r="EU53" s="269"/>
      <c r="EV53" s="269"/>
      <c r="EW53" s="269"/>
      <c r="EX53" s="269"/>
      <c r="EY53" s="269"/>
      <c r="EZ53" s="269"/>
      <c r="FA53" s="269"/>
      <c r="FB53" s="269"/>
      <c r="FC53" s="269"/>
      <c r="FD53" s="269"/>
    </row>
    <row r="54" spans="1:160" x14ac:dyDescent="0.25">
      <c r="D54" s="39" t="s">
        <v>505</v>
      </c>
      <c r="E54" s="985"/>
      <c r="F54" s="985"/>
      <c r="G54" s="985"/>
    </row>
    <row r="55" spans="1:160" x14ac:dyDescent="0.25">
      <c r="D55" s="39" t="s">
        <v>559</v>
      </c>
    </row>
    <row r="56" spans="1:160" x14ac:dyDescent="0.25">
      <c r="D56" s="39" t="s">
        <v>560</v>
      </c>
    </row>
    <row r="57" spans="1:160" x14ac:dyDescent="0.25">
      <c r="D57" s="39" t="s">
        <v>561</v>
      </c>
    </row>
    <row r="58" spans="1:160" x14ac:dyDescent="0.25">
      <c r="D58" s="39" t="s">
        <v>562</v>
      </c>
    </row>
  </sheetData>
  <mergeCells count="46">
    <mergeCell ref="A1:C1"/>
    <mergeCell ref="D1:R1"/>
    <mergeCell ref="A2:C2"/>
    <mergeCell ref="D2:R2"/>
    <mergeCell ref="A6:E6"/>
    <mergeCell ref="A4:C4"/>
    <mergeCell ref="D4:R4"/>
    <mergeCell ref="A5:C5"/>
    <mergeCell ref="D5:R5"/>
    <mergeCell ref="A3:C3"/>
    <mergeCell ref="D3:R3"/>
    <mergeCell ref="W6:Z7"/>
    <mergeCell ref="AA6:AB7"/>
    <mergeCell ref="AC6:AD7"/>
    <mergeCell ref="G6:H6"/>
    <mergeCell ref="E54:G54"/>
    <mergeCell ref="S6:V7"/>
    <mergeCell ref="H7:H8"/>
    <mergeCell ref="BM6:BM8"/>
    <mergeCell ref="BO7:BS7"/>
    <mergeCell ref="BG6:BH7"/>
    <mergeCell ref="AM6:AN7"/>
    <mergeCell ref="AO6:AP7"/>
    <mergeCell ref="AQ6:AR7"/>
    <mergeCell ref="AS6:AT7"/>
    <mergeCell ref="AU6:AV7"/>
    <mergeCell ref="AW6:AX7"/>
    <mergeCell ref="AY6:AZ7"/>
    <mergeCell ref="BA6:BB7"/>
    <mergeCell ref="BC6:BD7"/>
    <mergeCell ref="BT7:BV7"/>
    <mergeCell ref="BW7:BW8"/>
    <mergeCell ref="A9:A53"/>
    <mergeCell ref="BI6:BJ7"/>
    <mergeCell ref="BK6:BL7"/>
    <mergeCell ref="C7:C8"/>
    <mergeCell ref="D7:D8"/>
    <mergeCell ref="G7:G8"/>
    <mergeCell ref="BE6:BF7"/>
    <mergeCell ref="AI6:AJ7"/>
    <mergeCell ref="AK6:AL7"/>
    <mergeCell ref="F7:F8"/>
    <mergeCell ref="AE6:AF7"/>
    <mergeCell ref="AG6:AH7"/>
    <mergeCell ref="I6:R6"/>
    <mergeCell ref="E7:E8"/>
  </mergeCells>
  <pageMargins left="0.26" right="0.34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Quarterly plan</vt:lpstr>
      <vt:lpstr>Sum, scheme</vt:lpstr>
      <vt:lpstr>Sum , MPA</vt:lpstr>
      <vt:lpstr>1.1</vt:lpstr>
      <vt:lpstr>1.2 </vt:lpstr>
      <vt:lpstr>2.1</vt:lpstr>
      <vt:lpstr>2.2</vt:lpstr>
      <vt:lpstr>2.3</vt:lpstr>
      <vt:lpstr>3.1 </vt:lpstr>
      <vt:lpstr>3.2 </vt:lpstr>
      <vt:lpstr>4.1 </vt:lpstr>
      <vt:lpstr>4.2</vt:lpstr>
      <vt:lpstr>4.3 </vt:lpstr>
      <vt:lpstr>'Sum , MPA'!Print_Titles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fao</dc:creator>
  <cp:lastModifiedBy>acer</cp:lastModifiedBy>
  <cp:lastPrinted>2020-02-04T13:35:14Z</cp:lastPrinted>
  <dcterms:created xsi:type="dcterms:W3CDTF">2000-12-31T18:57:07Z</dcterms:created>
  <dcterms:modified xsi:type="dcterms:W3CDTF">2020-11-12T04:20:51Z</dcterms:modified>
</cp:coreProperties>
</file>